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'クラウド利用費'!$A$4:$N$27</definedName>
    <definedName name="_xlnm.Print_Area" localSheetId="13">'委託費'!$A$4:$N$27</definedName>
    <definedName name="_xlnm.Print_Area" localSheetId="9">'運搬費'!$A$4:$N$27</definedName>
    <definedName name="_xlnm.Print_Area" localSheetId="12">'外注加工費'!$A$4:$N$27</definedName>
    <definedName name="_xlnm.Print_Area" localSheetId="5">'機械装置費（50万円以上）'!$A$4:$R$27</definedName>
    <definedName name="_xlnm.Print_Area" localSheetId="6">'機械装置費（50万円未満）'!$A$4:$P$27</definedName>
    <definedName name="_xlnm.Print_Area" localSheetId="7">'技術導入費'!$A$4:$N$27</definedName>
    <definedName name="_xlnm.Print_Area" localSheetId="4">'経費明細表'!$A$5:$M$60</definedName>
    <definedName name="_xlnm.Print_Area" localSheetId="11">'原材料費'!$A$4:$N$27</definedName>
    <definedName name="_xlnm.Print_Area" localSheetId="8">'専門家経費'!$A$4:$N$27</definedName>
    <definedName name="_xlnm.Print_Area" localSheetId="14">'知的財産権等関連経費'!$A$4:$N$27</definedName>
    <definedName name="事業類型" localSheetId="4">'経費明細表'!$AJ$45</definedName>
    <definedName name="消費税率" localSheetId="4">'経費明細表'!$AJ$44</definedName>
    <definedName name="補助下限額">'経費明細表'!$AJ$50</definedName>
    <definedName name="補助上限額" localSheetId="4">'経費明細表'!$AJ$49</definedName>
    <definedName name="補助名">'経費明細表'!$AJ$48</definedName>
    <definedName name="補助率">'経費明細表'!$AK$48</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3.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4.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5.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(1)セルI19～I28：（予算額）補助金交付決定額
(2)セルM19～M28：（実績額）補助金の額
(1)≧(2)の場合について、この経費から他経費へ流用できる上限を計算</t>
        </r>
      </text>
    </comment>
    <comment ref="U38" authorId="0">
      <text>
        <r>
          <rPr>
            <sz val="11"/>
            <rFont val="ＭＳ Ｐゴシック"/>
            <family val="3"/>
          </rPr>
          <t>①予算額にない経費区分を実績で計上することはできない。
②設備投資のみで試作開発がない場合、原材料費、外注加工費、委託費、知的財産等関連経費の計上はできない。</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流用順序の最上位の費目から順に、⑦各経費区分ごとの流用上限（ｾﾙX60～X69）を考慮し、ｾﾙT70の流用可能金額を手入力により入れてください。</t>
        </r>
      </text>
    </comment>
    <comment ref="AA57" authorId="4">
      <text>
        <r>
          <rPr>
            <sz val="11"/>
            <rFont val="ＭＳ Ｐゴシック"/>
            <family val="3"/>
          </rPr>
          <t>「この額を反映させる」ボタンで、流用計算後の額を実績額の補助金の額（ｾﾙM19～M28）に転記することができます。</t>
        </r>
      </text>
    </comment>
    <comment ref="T58" authorId="1">
      <text>
        <r>
          <rPr>
            <sz val="12"/>
            <rFont val="ＭＳ Ｐゴシック"/>
            <family val="3"/>
          </rPr>
          <t>(1)セルI19～I28：（予算額）補助金交付決定額
(2)セルQ60～Q69：（実績額）補助金の額への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補助金の額の合計額が補助金交付決定額（ｾﾙL30）に満たない場合、⑨流用額（ｾﾙX60～X69）を適宜加算することが可能です。</t>
        </r>
      </text>
    </comment>
  </commentList>
</comments>
</file>

<file path=xl/comments6.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<sst xmlns="http://schemas.openxmlformats.org/spreadsheetml/2006/main" count="823" uniqueCount="347">
  <si>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</si>
  <si>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</si>
  <si>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</si>
  <si>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</si>
  <si>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</si>
  <si>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</si>
  <si>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</si>
  <si>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</si>
  <si>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</si>
  <si>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</si>
  <si>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</si>
  <si>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</si>
  <si>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</si>
  <si>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</si>
  <si>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</si>
  <si>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</si>
  <si>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</si>
  <si>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</si>
  <si>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</si>
  <si>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</si>
  <si>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</si>
  <si>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</si>
  <si>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</si>
  <si>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</si>
  <si>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</si>
  <si>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</si>
  <si>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</si>
  <si>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</si>
  <si>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</si>
  <si>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</si>
  <si>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</si>
  <si>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</si>
  <si>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</si>
  <si>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</si>
  <si>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</si>
  <si>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</si>
  <si>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</si>
  <si>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</si>
  <si>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</si>
  <si>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</si>
  <si>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</si>
  <si>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</si>
  <si>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</si>
  <si>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</si>
  <si>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</si>
  <si>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</si>
  <si>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</si>
  <si>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</si>
  <si>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</si>
  <si>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</si>
  <si>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</si>
  <si>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</si>
  <si>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</si>
  <si>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</si>
  <si>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</si>
  <si>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</si>
  <si>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</si>
  <si>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</si>
  <si>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</si>
  <si>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</si>
  <si>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</si>
  <si>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</si>
  <si>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</si>
  <si>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</si>
  <si>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</si>
  <si>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</si>
  <si>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</si>
  <si>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</si>
  <si>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</si>
  <si>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</si>
  <si>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</si>
  <si>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</si>
  <si>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</si>
  <si>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</si>
  <si>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</si>
  <si>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</si>
  <si>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</si>
  <si>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</si>
  <si>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</si>
  <si>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</si>
  <si>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</si>
  <si>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</si>
  <si>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</si>
  <si>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</si>
  <si>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</si>
  <si>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</si>
  <si>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</si>
  <si>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</si>
  <si>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</si>
  <si>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</si>
  <si>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</si>
  <si>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委託費</t>
  </si>
  <si>
    <t>判定対象外</t>
  </si>
  <si>
    <t>革新的サービス</t>
  </si>
  <si>
    <t>ものづくり技術</t>
  </si>
  <si>
    <t>補助下限額</t>
  </si>
  <si>
    <t>経費明細表</t>
  </si>
  <si>
    <t>原材料費(※）</t>
  </si>
  <si>
    <t>外注加工費(※）</t>
  </si>
  <si>
    <t>委託費(※）</t>
  </si>
  <si>
    <t>知的財産権等関連経費(※）</t>
  </si>
  <si>
    <t>機械装置費で補助対象経費にして単価５０万円以上の設備投資が必要</t>
  </si>
  <si>
    <t>①費目別経費支出明細書</t>
  </si>
  <si>
    <t>知的財産権等関連経費</t>
  </si>
  <si>
    <t>対象項目</t>
  </si>
  <si>
    <t xml:space="preserve"> </t>
  </si>
  <si>
    <t>技術導入費</t>
  </si>
  <si>
    <t>運搬費</t>
  </si>
  <si>
    <t>専門家経費</t>
  </si>
  <si>
    <t>円</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</si>
  <si>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</si>
  <si>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</si>
  <si>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</si>
  <si>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</si>
  <si>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</si>
  <si>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</si>
  <si>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</si>
  <si>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</si>
  <si>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</si>
  <si>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</si>
  <si>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</si>
  <si>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</si>
  <si>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</si>
  <si>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</si>
  <si>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</si>
  <si>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</si>
  <si>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</si>
  <si>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</si>
  <si>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</si>
  <si>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</si>
  <si>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</si>
  <si>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</si>
  <si>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</si>
  <si>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</si>
  <si>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</si>
  <si>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</si>
  <si>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</si>
  <si>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</si>
  <si>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</si>
  <si>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</si>
  <si>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</si>
  <si>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</si>
  <si>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</si>
  <si>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</si>
  <si>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</si>
  <si>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</si>
  <si>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</si>
  <si>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</si>
  <si>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</si>
  <si>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</si>
  <si>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</si>
  <si>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</si>
  <si>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</si>
  <si>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</si>
  <si>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</si>
  <si>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</si>
  <si>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</si>
  <si>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</si>
  <si>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</si>
  <si>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</si>
  <si>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</si>
  <si>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</si>
  <si>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</si>
  <si>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</si>
  <si>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（注2）　「経費区分」には上限が設定（外注加工費、委託費、知的財産権等関連経費）されているものがありますのでご注意ください。</t>
  </si>
  <si>
    <t>機１</t>
  </si>
  <si>
    <t>機２</t>
  </si>
  <si>
    <t>材</t>
  </si>
  <si>
    <t>技</t>
  </si>
  <si>
    <t>外</t>
  </si>
  <si>
    <t>委</t>
  </si>
  <si>
    <t>知</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</si>
  <si>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</si>
  <si>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</si>
  <si>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</si>
  <si>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</si>
  <si>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</si>
  <si>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</si>
  <si>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</si>
  <si>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</si>
  <si>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</si>
  <si>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</si>
  <si>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</si>
  <si>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</si>
  <si>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</si>
  <si>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計上不可の経費区分に計上していないか
(セルA19～A28、C19～C28参照)</t>
  </si>
  <si>
    <t>補助金の額（実績額）の補助金交付決定額（予算額）からの増分は20％以内か</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</si>
  <si>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</si>
  <si>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</si>
  <si>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</si>
  <si>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</si>
  <si>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</si>
  <si>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</si>
  <si>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</si>
  <si>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</si>
  <si>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</si>
  <si>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</si>
  <si>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</si>
  <si>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</si>
  <si>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</si>
  <si>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</si>
  <si>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</si>
  <si>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</si>
  <si>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</si>
  <si>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</si>
  <si>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</si>
  <si>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</si>
  <si>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</si>
  <si>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</si>
  <si>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</si>
  <si>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</si>
  <si>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内訳</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</si>
  <si>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</si>
  <si>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</si>
  <si>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</si>
  <si>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</si>
  <si>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</si>
  <si>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</si>
  <si>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</si>
  <si>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</si>
  <si>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</si>
  <si>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</si>
  <si>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</si>
  <si>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</si>
  <si>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</si>
  <si>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</si>
  <si>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</si>
  <si>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</si>
  <si>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</si>
  <si>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</si>
  <si>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</si>
  <si>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</si>
  <si>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</si>
  <si>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</si>
  <si>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</si>
  <si>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</si>
  <si>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</si>
  <si>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</si>
  <si>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</si>
  <si>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</si>
  <si>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</si>
  <si>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</si>
  <si>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</si>
  <si>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</si>
  <si>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</si>
  <si>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</si>
  <si>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</si>
  <si>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</si>
  <si>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事業対象外の経費を使用していないか</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</si>
  <si>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</si>
  <si>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</si>
  <si>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</si>
  <si>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</si>
  <si>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</si>
  <si>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</si>
  <si>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</si>
  <si>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</si>
  <si>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</si>
  <si>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r>
      <t xml:space="preserve">ここで算定された流用可能額を、下記の点を考慮し、Z60～Z69に配分して下さい。
　・Y60～Y69 流用（配分する時の）順序の小さい番号から順に入力
　・X60～X69 </t>
    </r>
    <r>
      <rPr>
        <b/>
        <u val="single"/>
        <sz val="14"/>
        <color indexed="10"/>
        <rFont val="ＭＳ Ｐゴシック"/>
        <family val="3"/>
      </rPr>
      <t>各経費区分の流用上限額</t>
    </r>
    <r>
      <rPr>
        <b/>
        <sz val="14"/>
        <color indexed="30"/>
        <rFont val="ＭＳ Ｐゴシック"/>
        <family val="3"/>
      </rPr>
      <t>を超えないこと</t>
    </r>
  </si>
  <si>
    <t>※は小規模型の「試作開発等」のみ使用可</t>
  </si>
  <si>
    <t>原材料費</t>
  </si>
  <si>
    <t>外注加工費</t>
  </si>
  <si>
    <t>委託費</t>
  </si>
  <si>
    <t>知的財産権等関連経費</t>
  </si>
  <si>
    <t>クラウド利用費</t>
  </si>
  <si>
    <t>原材料費</t>
  </si>
  <si>
    <t>委託費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</si>
  <si>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</si>
  <si>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</si>
  <si>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</si>
  <si>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</si>
  <si>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</si>
  <si>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</si>
  <si>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</si>
  <si>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</si>
  <si>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</si>
  <si>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</si>
  <si>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</si>
  <si>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</si>
  <si>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</si>
  <si>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</si>
  <si>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</si>
  <si>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</si>
  <si>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</si>
  <si>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</si>
  <si>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</si>
  <si>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</si>
  <si>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　”⑨流用額（セルZ60～Z69）”　に適宜入力して、”この額を反映させる</t>
  </si>
  <si>
    <t>様式第６の別紙２</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</si>
  <si>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</si>
  <si>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</si>
  <si>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</si>
  <si>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</si>
  <si>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</si>
  <si>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</si>
  <si>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</si>
  <si>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</si>
  <si>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</si>
  <si>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</si>
  <si>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</si>
  <si>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</si>
  <si>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</si>
  <si>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</si>
  <si>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</si>
  <si>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</si>
  <si>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（B)補助対象経費</t>
  </si>
  <si>
    <t>（C)補助金交付申請額</t>
  </si>
  <si>
    <t>（単位：円）</t>
  </si>
  <si>
    <t>企業等の名称
（自社に◎）</t>
  </si>
  <si>
    <t>（Ｃ）補助金交付申請額（税抜き）</t>
  </si>
  <si>
    <t>基本補助上限額
（1,000万円以内）</t>
  </si>
  <si>
    <t>計</t>
  </si>
  <si>
    <t>幹事企業</t>
  </si>
  <si>
    <t>　※連携企業数：幹事企業＋連携企業数で最大10社（連携がない場合は1社となります）</t>
  </si>
  <si>
    <t>「様式第２　交付決定通知書」の補助対象経費と補助金交付決定額を入力してください。</t>
  </si>
  <si>
    <t>補助上限額</t>
  </si>
  <si>
    <t>専門家活動</t>
  </si>
  <si>
    <t>金額</t>
  </si>
  <si>
    <t>補助率</t>
  </si>
  <si>
    <t>率</t>
  </si>
  <si>
    <t>専門家活用なし</t>
  </si>
  <si>
    <t>２／３</t>
  </si>
  <si>
    <t>一般型</t>
  </si>
  <si>
    <t>専門家活用あり</t>
  </si>
  <si>
    <t>１／２</t>
  </si>
  <si>
    <t>（設備投資のみ）</t>
  </si>
  <si>
    <t>（試作開発等）</t>
  </si>
  <si>
    <t>判定８</t>
  </si>
  <si>
    <t>小規模型（設備投資のみ）</t>
  </si>
  <si>
    <t>小規模型（試作開発等）</t>
  </si>
  <si>
    <t>技術導入費が補助対象経費の1/3を超えていないか</t>
  </si>
  <si>
    <t>専門家の活用ありで専門家経費を使用しているか</t>
  </si>
  <si>
    <t>技、外、委、知は補助対象経費総額の1/3・1/2・1/2/・1/3以内か</t>
  </si>
  <si>
    <t>判定8</t>
  </si>
  <si>
    <t>生産性向上専門家活用チェック有で３０万円増額の全部または一部を生産性向上専門家活用の経費で使用しているか（通常の専門家経費は専門家活用チェックなくとも使用可）</t>
  </si>
  <si>
    <t>専門家の活用ありで専門家経費を使用しているか</t>
  </si>
  <si>
    <t>専門家の活用ありで専門家経費を使用しているか
（上図）</t>
  </si>
  <si>
    <t>「×」の場合、判定１～判定8参照</t>
  </si>
  <si>
    <t>実績額　経費区分間の流用計算シート(経費区分間で流用する場合はセルZ60～Z69に流用額を入力)</t>
  </si>
  <si>
    <t>（注３）金額の修正は経費明細表ではなく、費目別経費支出明細書のシートで修正してください。</t>
  </si>
  <si>
    <t>クラウド利用費</t>
  </si>
  <si>
    <t>「機械装置費（50万円以上）」から「知的財産権等関連経費」まで該当の「費目別経費支出明細書」へ見積書等の証拠書類をもとに入力してください。</t>
  </si>
  <si>
    <t>公募で採択された、共同申請者全体の「（B)補助対象経費」「（C)補助金交付申請額」の総額を下表に入力下さい。</t>
  </si>
  <si>
    <t>&lt;別表&gt; 共同申請者全体の配分表（記載例：「一般形」の共同申請者の場合）</t>
  </si>
  <si>
    <t>生産性向上
専門化活用
増額分
（共通申請者全体で30万円）</t>
  </si>
  <si>
    <t>注.共同申請への参加事業者数の上限はありません。共同申請者内の各事業者の補助金額は個々に交付決定時に定められるため、</t>
  </si>
  <si>
    <t xml:space="preserve">　　交付決定後に共同申請者内で流用することはできません。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</si>
</sst>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s>
  <fonts count="164">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4"/>
      <color indexed="8"/>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sz val="26"/>
      <color indexed="30"/>
      <name val="ＭＳ Ｐゴシック"/>
      <family val="3"/>
    </font>
    <font>
      <b/>
      <sz val="14"/>
      <color indexed="21"/>
      <name val="ＭＳ Ｐゴシック"/>
      <family val="3"/>
    </font>
    <font>
      <sz val="13"/>
      <color indexed="56"/>
      <name val="ＭＳ Ｐゴシック"/>
      <family val="3"/>
    </font>
    <font>
      <sz val="8"/>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b/>
      <sz val="14"/>
      <color theme="1"/>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sz val="8"/>
      <color theme="1"/>
      <name val="ＭＳ Ｐゴシック"/>
      <family val="3"/>
    </font>
    <font>
      <sz val="11"/>
      <color rgb="FF002060"/>
      <name val="ＭＳ Ｐゴシック"/>
      <family val="3"/>
    </font>
    <font>
      <b/>
      <sz val="11"/>
      <color rgb="FF002060"/>
      <name val="Calibri"/>
      <family val="3"/>
    </font>
    <font>
      <sz val="13"/>
      <color rgb="FF002060"/>
      <name val="Calibri"/>
      <family val="3"/>
    </font>
    <font>
      <b/>
      <sz val="14"/>
      <color theme="8" tint="-0.4999699890613556"/>
      <name val="Calibri"/>
      <family val="3"/>
    </font>
    <font>
      <sz val="26"/>
      <color rgb="FF0070C0"/>
      <name val="Calibri"/>
      <family val="3"/>
    </font>
    <font>
      <b/>
      <sz val="12"/>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6" tint="0.5999600291252136"/>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color indexed="63"/>
      </left>
      <right style="thin"/>
      <top style="thin"/>
      <bottom style="hair"/>
    </border>
    <border>
      <left/>
      <right style="thin"/>
      <top style="hair"/>
      <bottom style="hair"/>
    </border>
    <border>
      <left>
        <color indexed="63"/>
      </left>
      <right style="thin"/>
      <top style="hair"/>
      <bottom style="thin"/>
    </border>
    <border>
      <left style="medium"/>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style="thin"/>
      <right style="thin"/>
      <top style="thin"/>
      <bottom/>
    </border>
    <border>
      <left>
        <color indexed="63"/>
      </left>
      <right>
        <color indexed="63"/>
      </right>
      <top style="thin"/>
      <bottom style="hair"/>
    </border>
    <border>
      <left>
        <color indexed="63"/>
      </left>
      <right>
        <color indexed="63"/>
      </right>
      <top style="hair"/>
      <bottom style="thin"/>
    </border>
    <border diagonalUp="1">
      <left style="thin"/>
      <right style="thin"/>
      <top style="thin"/>
      <bottom style="thin"/>
      <diagonal style="thin"/>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left style="thin"/>
      <right style="medium">
        <color rgb="FFFF0000"/>
      </right>
      <top style="hair"/>
      <bottom style="thin"/>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style="thin"/>
      <right>
        <color indexed="63"/>
      </right>
      <top style="thin"/>
      <bottom style="hair"/>
    </border>
    <border>
      <left style="thin"/>
      <right style="medium"/>
      <top style="hair"/>
      <bottom style="hair"/>
    </border>
    <border>
      <left style="thin"/>
      <right style="medium"/>
      <top style="hair"/>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hair"/>
    </border>
    <border>
      <left/>
      <right style="medium"/>
      <top style="hair"/>
      <bottom style="hair"/>
    </border>
    <border>
      <left>
        <color indexed="63"/>
      </left>
      <right style="medium"/>
      <top style="hair"/>
      <bottom style="thin"/>
    </border>
    <border>
      <left style="thin"/>
      <right style="medium"/>
      <top style="thin"/>
      <bottom/>
    </border>
    <border>
      <left style="medium">
        <color rgb="FF0070C0"/>
      </left>
      <right style="thick">
        <color rgb="FF0070C0"/>
      </right>
      <top style="medium">
        <color rgb="FF0070C0"/>
      </top>
      <bottom style="medium">
        <color rgb="FF0070C0"/>
      </bottom>
    </border>
    <border diagonalUp="1">
      <left style="thin"/>
      <right style="thin"/>
      <top>
        <color indexed="63"/>
      </top>
      <bottom style="thin"/>
      <diagonal style="thin"/>
    </border>
    <border>
      <left style="medium">
        <color rgb="FF0070C0"/>
      </left>
      <right style="thick">
        <color rgb="FF0070C0"/>
      </right>
      <top style="thick">
        <color rgb="FF0070C0"/>
      </top>
      <bottom style="medium">
        <color rgb="FF0070C0"/>
      </bottom>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style="thin"/>
    </border>
    <border>
      <left style="medium"/>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bottom style="medium"/>
    </border>
    <border>
      <left style="thin"/>
      <right style="medium"/>
      <top/>
      <bottom style="medium"/>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FF0000"/>
      </left>
      <right style="medium">
        <color rgb="FFFF0000"/>
      </right>
      <top style="hair"/>
      <bottom style="thin"/>
    </border>
    <border>
      <left style="medium">
        <color rgb="FFFF0000"/>
      </left>
      <right style="thin"/>
      <top style="hair"/>
      <bottom style="thin"/>
    </border>
    <border>
      <left style="medium">
        <color rgb="FFFF0000"/>
      </left>
      <right style="medium">
        <color rgb="FFFF0000"/>
      </right>
      <top>
        <color indexed="63"/>
      </top>
      <bottom style="medium">
        <color rgb="FFFF0000"/>
      </bottom>
    </border>
    <border>
      <left style="medium">
        <color rgb="FF002060"/>
      </left>
      <right style="medium">
        <color rgb="FF00206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left style="thin"/>
      <right>
        <color indexed="63"/>
      </right>
      <top style="hair"/>
      <bottom style="thin"/>
    </border>
    <border>
      <left style="medium">
        <color rgb="FF002060"/>
      </left>
      <right style="medium">
        <color rgb="FF002060"/>
      </right>
      <top style="hair"/>
      <bottom style="thin"/>
    </border>
    <border>
      <left style="medium">
        <color rgb="FF002060"/>
      </left>
      <right style="thin"/>
      <top style="hair"/>
      <bottom style="thin"/>
    </border>
    <border>
      <left style="mediumDashed">
        <color rgb="FF0070C0"/>
      </left>
      <right style="mediumDashed">
        <color rgb="FF0070C0"/>
      </right>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diagonalUp="1">
      <left style="thin"/>
      <right>
        <color indexed="63"/>
      </right>
      <top>
        <color indexed="63"/>
      </top>
      <bottom style="thin"/>
      <diagonal style="thin"/>
    </border>
    <border>
      <left style="mediumDashed">
        <color rgb="FF0070C0"/>
      </left>
      <right style="mediumDashed">
        <color rgb="FF0070C0"/>
      </right>
      <top/>
      <bottom style="mediumDashed">
        <color rgb="FF0070C0"/>
      </bottom>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thin"/>
      <right>
        <color indexed="63"/>
      </right>
      <top style="hair"/>
      <bottom style="thick"/>
    </border>
    <border>
      <left style="double"/>
      <right style="thin"/>
      <top style="double"/>
      <bottom style="thin"/>
    </border>
    <border>
      <left style="double"/>
      <right style="thin"/>
      <top/>
      <bottom style="thin"/>
    </border>
    <border>
      <left style="double"/>
      <right style="thin"/>
      <top style="thin"/>
      <bottom style="thin"/>
    </border>
    <border>
      <left/>
      <right/>
      <top style="thin"/>
      <bottom style="thin"/>
    </border>
    <border>
      <left style="double">
        <color rgb="FF002060"/>
      </left>
      <right>
        <color indexed="63"/>
      </right>
      <top>
        <color indexed="63"/>
      </top>
      <bottom>
        <color indexed="63"/>
      </bottom>
    </border>
    <border>
      <left style="medium"/>
      <right style="thin"/>
      <top style="thin"/>
      <bottom/>
    </border>
    <border>
      <left>
        <color indexed="63"/>
      </left>
      <right>
        <color indexed="63"/>
      </right>
      <top>
        <color indexed="63"/>
      </top>
      <bottom style="double">
        <color rgb="FF002060"/>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style="hair"/>
      <right style="hair"/>
      <top>
        <color indexed="63"/>
      </top>
      <bottom style="thin"/>
    </border>
    <border>
      <left style="hair"/>
      <right style="thin"/>
      <top/>
      <bottom style="thin"/>
    </border>
    <border>
      <left style="medium">
        <color rgb="FF002060"/>
      </left>
      <right style="thin">
        <color rgb="FF002060"/>
      </right>
      <top style="thin">
        <color rgb="FF002060"/>
      </top>
      <bottom style="thin">
        <color rgb="FF002060"/>
      </bottom>
    </border>
    <border>
      <left style="thin">
        <color rgb="FF002060"/>
      </left>
      <right style="medium">
        <color rgb="FF002060"/>
      </right>
      <top style="thin">
        <color rgb="FF002060"/>
      </top>
      <bottom style="thin">
        <color rgb="FF002060"/>
      </bottom>
    </border>
    <border>
      <left style="hair"/>
      <right>
        <color indexed="63"/>
      </right>
      <top style="thin"/>
      <bottom>
        <color indexed="63"/>
      </bottom>
    </border>
    <border>
      <left style="hair"/>
      <right>
        <color indexed="63"/>
      </right>
      <top>
        <color indexed="63"/>
      </top>
      <bottom style="thin"/>
    </border>
    <border>
      <left>
        <color indexed="63"/>
      </left>
      <right style="medium">
        <color rgb="FF002060"/>
      </right>
      <top>
        <color indexed="63"/>
      </top>
      <bottom>
        <color indexed="63"/>
      </bottom>
    </border>
    <border>
      <left style="medium">
        <color rgb="FF002060"/>
      </left>
      <right style="thin">
        <color rgb="FF002060"/>
      </right>
      <top style="thin">
        <color rgb="FF002060"/>
      </top>
      <bottom style="medium">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style="thin"/>
      <right style="double"/>
      <top style="thin"/>
      <bottom>
        <color indexed="63"/>
      </bottom>
    </border>
    <border>
      <left style="thin"/>
      <right style="double"/>
      <top>
        <color indexed="63"/>
      </top>
      <bottom style="double"/>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medium"/>
      <right style="medium"/>
      <top style="thin"/>
      <bottom/>
    </border>
    <border>
      <left>
        <color indexed="63"/>
      </left>
      <right style="thick">
        <color rgb="FF0070C0"/>
      </right>
      <top>
        <color indexed="63"/>
      </top>
      <bottom>
        <color indexed="63"/>
      </bottom>
    </border>
    <border>
      <left style="hair"/>
      <right/>
      <top/>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thin"/>
      <right style="thin"/>
      <top>
        <color indexed="63"/>
      </top>
      <bottom style="hair"/>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medium"/>
      <right style="medium"/>
      <top style="thick">
        <color theme="8" tint="-0.4999699890613556"/>
      </top>
      <bottom>
        <color indexed="63"/>
      </bottom>
    </border>
    <border>
      <left style="medium"/>
      <right style="medium"/>
      <top>
        <color indexed="63"/>
      </top>
      <bottom>
        <color indexed="63"/>
      </bottom>
    </border>
    <border>
      <left style="thin"/>
      <right style="mediumDashed">
        <color rgb="FF0070C0"/>
      </right>
      <top style="thin"/>
      <bottom>
        <color indexed="63"/>
      </bottom>
    </border>
    <border>
      <left style="thin"/>
      <right style="mediumDashed">
        <color rgb="FF0070C0"/>
      </right>
      <top>
        <color indexed="63"/>
      </top>
      <bottom style="hair"/>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hair"/>
    </border>
    <border>
      <left style="mediumDashed">
        <color rgb="FF0070C0"/>
      </left>
      <right style="thin"/>
      <top style="thin"/>
      <bottom>
        <color indexed="63"/>
      </bottom>
    </border>
    <border>
      <left style="mediumDashed">
        <color rgb="FF0070C0"/>
      </left>
      <right style="thin"/>
      <top>
        <color indexed="63"/>
      </top>
      <bottom style="hair"/>
    </border>
    <border>
      <left style="medium">
        <color rgb="FF002060"/>
      </left>
      <right style="thin"/>
      <top>
        <color indexed="63"/>
      </top>
      <bottom style="hair"/>
    </border>
    <border>
      <left style="medium">
        <color rgb="FF002060"/>
      </left>
      <right style="thin"/>
      <top>
        <color indexed="63"/>
      </top>
      <bottom>
        <color indexed="63"/>
      </bottom>
    </border>
    <border>
      <left style="thin"/>
      <right style="medium"/>
      <top style="medium"/>
      <bottom>
        <color indexed="63"/>
      </bottom>
    </border>
    <border>
      <left style="medium"/>
      <right style="thin"/>
      <top style="medium"/>
      <bottom>
        <color indexed="63"/>
      </bottom>
    </border>
    <border>
      <left/>
      <right/>
      <top style="medium"/>
      <bottom/>
    </border>
    <border>
      <left/>
      <right style="thin"/>
      <top style="medium"/>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5" fillId="0" borderId="0" applyNumberFormat="0" applyFill="0" applyBorder="0" applyAlignment="0" applyProtection="0"/>
    <xf numFmtId="0" fontId="106" fillId="32" borderId="0" applyNumberFormat="0" applyBorder="0" applyAlignment="0" applyProtection="0"/>
  </cellStyleXfs>
  <cellXfs count="820">
    <xf numFmtId="0" fontId="0" fillId="0" borderId="0" xfId="0" applyFont="1" applyAlignment="1">
      <alignment vertical="center"/>
    </xf>
    <xf numFmtId="0" fontId="0" fillId="0" borderId="0" xfId="0" applyAlignment="1">
      <alignment horizontal="left" vertical="center"/>
    </xf>
    <xf numFmtId="0" fontId="0" fillId="0" borderId="0" xfId="0" applyAlignment="1" applyProtection="1">
      <alignment vertical="center"/>
      <protection locked="0"/>
    </xf>
    <xf numFmtId="0" fontId="107" fillId="0" borderId="0" xfId="0" applyFont="1" applyAlignment="1" applyProtection="1">
      <alignment vertical="center"/>
      <protection locked="0"/>
    </xf>
    <xf numFmtId="184" fontId="8" fillId="0" borderId="10" xfId="0" applyNumberFormat="1" applyFont="1" applyBorder="1" applyAlignment="1">
      <alignment horizontal="right" vertical="center" wrapText="1"/>
    </xf>
    <xf numFmtId="0" fontId="108" fillId="0" borderId="0" xfId="0" applyFont="1" applyAlignment="1" applyProtection="1">
      <alignment vertical="center"/>
      <protection locked="0"/>
    </xf>
    <xf numFmtId="0" fontId="4" fillId="0" borderId="0" xfId="0" applyFont="1" applyAlignment="1" applyProtection="1">
      <alignment vertical="center"/>
      <protection locked="0"/>
    </xf>
    <xf numFmtId="0" fontId="109"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0" xfId="0" applyBorder="1" applyAlignment="1">
      <alignment horizontal="center" vertical="center"/>
    </xf>
    <xf numFmtId="0" fontId="93" fillId="0" borderId="10" xfId="44" applyBorder="1" applyAlignment="1" applyProtection="1">
      <alignment vertical="center"/>
      <protection/>
    </xf>
    <xf numFmtId="184" fontId="110" fillId="0" borderId="13" xfId="0" applyNumberFormat="1" applyFont="1" applyBorder="1" applyAlignment="1">
      <alignment vertical="center" shrinkToFit="1"/>
    </xf>
    <xf numFmtId="186" fontId="110" fillId="33" borderId="13" xfId="0" applyNumberFormat="1" applyFont="1" applyFill="1" applyBorder="1" applyAlignment="1">
      <alignment vertical="center" shrinkToFit="1"/>
    </xf>
    <xf numFmtId="184" fontId="6" fillId="0" borderId="14" xfId="0" applyNumberFormat="1" applyFont="1" applyBorder="1" applyAlignment="1">
      <alignment vertical="center" shrinkToFit="1"/>
    </xf>
    <xf numFmtId="184" fontId="6" fillId="0" borderId="10" xfId="0" applyNumberFormat="1" applyFont="1" applyBorder="1" applyAlignment="1">
      <alignment vertical="center" shrinkToFit="1"/>
    </xf>
    <xf numFmtId="184" fontId="6" fillId="0" borderId="15" xfId="0" applyNumberFormat="1" applyFont="1" applyBorder="1" applyAlignment="1">
      <alignment vertical="center" shrinkToFit="1"/>
    </xf>
    <xf numFmtId="184" fontId="6" fillId="0" borderId="16" xfId="0" applyNumberFormat="1" applyFont="1" applyBorder="1" applyAlignment="1">
      <alignment vertical="center" shrinkToFit="1"/>
    </xf>
    <xf numFmtId="186" fontId="110" fillId="33" borderId="17" xfId="0" applyNumberFormat="1" applyFont="1" applyFill="1" applyBorder="1" applyAlignment="1">
      <alignment vertical="center" shrinkToFit="1"/>
    </xf>
    <xf numFmtId="186" fontId="110" fillId="34" borderId="18" xfId="0" applyNumberFormat="1" applyFont="1" applyFill="1" applyBorder="1" applyAlignment="1">
      <alignment horizontal="right" vertical="center" wrapText="1"/>
    </xf>
    <xf numFmtId="184" fontId="6" fillId="0" borderId="19" xfId="0" applyNumberFormat="1" applyFont="1" applyBorder="1" applyAlignment="1">
      <alignment horizontal="right" vertical="center" wrapText="1"/>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Alignment="1">
      <alignment vertical="center" wrapText="1"/>
    </xf>
    <xf numFmtId="190" fontId="13" fillId="0" borderId="10" xfId="50" applyNumberFormat="1" applyFont="1" applyBorder="1" applyAlignment="1">
      <alignment vertical="center" wrapText="1"/>
    </xf>
    <xf numFmtId="184" fontId="5" fillId="0" borderId="0" xfId="0" applyNumberFormat="1" applyFont="1" applyAlignment="1">
      <alignment horizontal="right" vertical="center" wrapText="1"/>
    </xf>
    <xf numFmtId="0" fontId="19" fillId="33" borderId="0" xfId="0" applyFont="1" applyFill="1" applyAlignment="1">
      <alignment vertical="center"/>
    </xf>
    <xf numFmtId="0" fontId="19" fillId="0" borderId="0" xfId="0" applyFont="1" applyAlignment="1">
      <alignment horizontal="center" vertical="center"/>
    </xf>
    <xf numFmtId="190" fontId="13" fillId="0" borderId="0" xfId="50" applyNumberFormat="1" applyFont="1" applyAlignment="1">
      <alignment vertical="center" wrapText="1"/>
    </xf>
    <xf numFmtId="0" fontId="13" fillId="0" borderId="0" xfId="0" applyFont="1" applyAlignment="1">
      <alignment horizontal="center" vertical="center" wrapText="1"/>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11" fillId="0" borderId="0" xfId="0" applyFont="1" applyAlignment="1">
      <alignment horizontal="center" vertical="center"/>
    </xf>
    <xf numFmtId="0" fontId="111" fillId="0" borderId="0" xfId="0" applyFont="1" applyAlignment="1">
      <alignment vertical="center"/>
    </xf>
    <xf numFmtId="0" fontId="111" fillId="0" borderId="0" xfId="0" applyFont="1" applyAlignment="1">
      <alignment vertical="center"/>
    </xf>
    <xf numFmtId="0" fontId="17" fillId="0" borderId="0" xfId="0" applyFont="1" applyAlignment="1">
      <alignment horizontal="center" vertical="center"/>
    </xf>
    <xf numFmtId="0" fontId="13" fillId="0" borderId="0" xfId="0" applyFont="1" applyAlignment="1">
      <alignment vertical="center"/>
    </xf>
    <xf numFmtId="0" fontId="5" fillId="0" borderId="0" xfId="0" applyFont="1" applyAlignment="1">
      <alignment vertical="center"/>
    </xf>
    <xf numFmtId="0" fontId="15" fillId="0" borderId="0" xfId="0" applyFont="1" applyAlignment="1">
      <alignment horizontal="right" vertical="center"/>
    </xf>
    <xf numFmtId="0" fontId="9" fillId="0" borderId="0" xfId="0" applyFont="1" applyAlignment="1">
      <alignment vertical="center"/>
    </xf>
    <xf numFmtId="0" fontId="112" fillId="0" borderId="0" xfId="0" applyFont="1" applyAlignment="1">
      <alignment vertical="center"/>
    </xf>
    <xf numFmtId="0" fontId="12" fillId="0" borderId="0" xfId="0" applyFont="1" applyAlignment="1">
      <alignment vertical="center" shrinkToFit="1"/>
    </xf>
    <xf numFmtId="0" fontId="15" fillId="0" borderId="0" xfId="0" applyFont="1" applyAlignment="1">
      <alignment vertical="center"/>
    </xf>
    <xf numFmtId="0" fontId="12" fillId="0" borderId="0" xfId="0" applyFont="1" applyAlignment="1">
      <alignment vertical="center"/>
    </xf>
    <xf numFmtId="0" fontId="19" fillId="0" borderId="0" xfId="0" applyFont="1" applyAlignment="1">
      <alignment vertical="center"/>
    </xf>
    <xf numFmtId="0" fontId="113" fillId="0" borderId="0" xfId="0" applyFont="1" applyAlignment="1">
      <alignment vertical="center"/>
    </xf>
    <xf numFmtId="0" fontId="113"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center" textRotation="255"/>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vertical="center"/>
    </xf>
    <xf numFmtId="190" fontId="13" fillId="0" borderId="14" xfId="50" applyNumberFormat="1" applyFont="1" applyBorder="1" applyAlignment="1">
      <alignment vertical="center" wrapText="1"/>
    </xf>
    <xf numFmtId="0" fontId="13" fillId="0" borderId="14" xfId="50" applyNumberFormat="1" applyFont="1" applyBorder="1" applyAlignment="1">
      <alignment horizontal="center" vertical="center" wrapText="1"/>
    </xf>
    <xf numFmtId="0" fontId="114" fillId="0" borderId="0" xfId="0" applyFont="1" applyAlignment="1">
      <alignment horizontal="right" vertical="center"/>
    </xf>
    <xf numFmtId="0" fontId="13" fillId="0" borderId="26" xfId="0" applyFont="1" applyBorder="1" applyAlignment="1">
      <alignment vertical="center"/>
    </xf>
    <xf numFmtId="190" fontId="13" fillId="0" borderId="27" xfId="50" applyNumberFormat="1" applyFont="1" applyBorder="1" applyAlignment="1">
      <alignment vertical="center" wrapText="1"/>
    </xf>
    <xf numFmtId="0" fontId="13" fillId="0" borderId="28" xfId="0" applyFont="1" applyBorder="1" applyAlignment="1">
      <alignment vertical="center"/>
    </xf>
    <xf numFmtId="0" fontId="13" fillId="35" borderId="10" xfId="0" applyFont="1" applyFill="1" applyBorder="1" applyAlignment="1" quotePrefix="1">
      <alignment horizontal="center" vertical="center" wrapText="1"/>
    </xf>
    <xf numFmtId="0" fontId="13" fillId="0" borderId="28" xfId="0" applyFont="1" applyBorder="1" applyAlignment="1">
      <alignment vertical="center" wrapText="1"/>
    </xf>
    <xf numFmtId="0" fontId="13" fillId="35" borderId="27" xfId="0" applyFont="1" applyFill="1" applyBorder="1" applyAlignment="1" quotePrefix="1">
      <alignment horizontal="center" vertical="center" wrapText="1"/>
    </xf>
    <xf numFmtId="0" fontId="13" fillId="35" borderId="28" xfId="0" applyFont="1" applyFill="1" applyBorder="1" applyAlignment="1" quotePrefix="1">
      <alignment horizontal="center" vertical="center" wrapText="1"/>
    </xf>
    <xf numFmtId="0" fontId="13" fillId="0" borderId="0" xfId="0" applyFont="1" applyAlignment="1">
      <alignment horizontal="center" vertical="center"/>
    </xf>
    <xf numFmtId="0" fontId="111" fillId="0" borderId="0" xfId="0" applyFont="1" applyAlignment="1">
      <alignment vertical="center"/>
    </xf>
    <xf numFmtId="0" fontId="13" fillId="0" borderId="0" xfId="0" applyFont="1" applyAlignment="1">
      <alignment vertical="center" wrapText="1"/>
    </xf>
    <xf numFmtId="190" fontId="9" fillId="0" borderId="29" xfId="0" applyNumberFormat="1" applyFont="1" applyBorder="1" applyAlignment="1">
      <alignment horizontal="center" vertical="center"/>
    </xf>
    <xf numFmtId="0" fontId="115" fillId="0" borderId="0" xfId="0" applyFont="1" applyAlignment="1">
      <alignment vertical="center"/>
    </xf>
    <xf numFmtId="190" fontId="13" fillId="35" borderId="10" xfId="0" applyNumberFormat="1" applyFont="1" applyFill="1" applyBorder="1" applyAlignment="1" quotePrefix="1">
      <alignment horizontal="center" vertical="center" wrapText="1"/>
    </xf>
    <xf numFmtId="0" fontId="108" fillId="0" borderId="0" xfId="0" applyFont="1" applyAlignment="1" applyProtection="1">
      <alignment vertical="center"/>
      <protection locked="0"/>
    </xf>
    <xf numFmtId="0" fontId="108" fillId="0" borderId="0" xfId="0" applyFont="1" applyAlignment="1">
      <alignment vertical="center"/>
    </xf>
    <xf numFmtId="0" fontId="4" fillId="0" borderId="0" xfId="0" applyFont="1" applyAlignment="1">
      <alignment vertical="center"/>
    </xf>
    <xf numFmtId="0" fontId="108" fillId="0" borderId="0" xfId="0" applyFont="1" applyAlignment="1">
      <alignment vertical="center"/>
    </xf>
    <xf numFmtId="0" fontId="108" fillId="0" borderId="0" xfId="0" applyFont="1" applyAlignment="1">
      <alignment vertical="center"/>
    </xf>
    <xf numFmtId="0" fontId="107"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xf>
    <xf numFmtId="0" fontId="116" fillId="0" borderId="0" xfId="0" applyFont="1" applyAlignment="1">
      <alignment horizontal="center" vertical="center"/>
    </xf>
    <xf numFmtId="0" fontId="116" fillId="0" borderId="0" xfId="0" applyFont="1" applyAlignment="1">
      <alignment horizontal="left" vertical="center" shrinkToFit="1"/>
    </xf>
    <xf numFmtId="0" fontId="116" fillId="0" borderId="0" xfId="0" applyFont="1" applyAlignment="1">
      <alignment vertical="center"/>
    </xf>
    <xf numFmtId="0" fontId="116" fillId="0" borderId="0" xfId="0" applyFont="1" applyAlignment="1">
      <alignment horizontal="left" vertical="center"/>
    </xf>
    <xf numFmtId="0" fontId="116" fillId="0" borderId="0" xfId="0" applyFont="1" applyAlignment="1">
      <alignment horizontal="center" vertical="center"/>
    </xf>
    <xf numFmtId="0" fontId="116" fillId="0" borderId="0" xfId="0" applyFont="1" applyAlignment="1">
      <alignment horizontal="left" vertical="center" shrinkToFit="1"/>
    </xf>
    <xf numFmtId="14" fontId="0" fillId="0" borderId="0" xfId="0" applyNumberFormat="1" applyAlignment="1">
      <alignment vertical="center"/>
    </xf>
    <xf numFmtId="0" fontId="0" fillId="0" borderId="0" xfId="0" applyAlignment="1">
      <alignment horizontal="right" vertical="center"/>
    </xf>
    <xf numFmtId="0" fontId="116" fillId="0" borderId="30" xfId="0" applyFont="1" applyBorder="1" applyAlignment="1">
      <alignment horizontal="center" vertical="top" wrapText="1"/>
    </xf>
    <xf numFmtId="0" fontId="116" fillId="0" borderId="31" xfId="0" applyFont="1" applyBorder="1" applyAlignment="1">
      <alignment horizontal="center" vertical="top" wrapText="1"/>
    </xf>
    <xf numFmtId="0" fontId="0" fillId="0" borderId="17" xfId="0" applyBorder="1" applyAlignment="1">
      <alignment horizontal="center" vertical="top" wrapText="1"/>
    </xf>
    <xf numFmtId="0" fontId="0" fillId="0" borderId="32" xfId="0" applyBorder="1" applyAlignment="1">
      <alignment horizontal="center" vertical="top" wrapText="1"/>
    </xf>
    <xf numFmtId="0" fontId="116" fillId="0" borderId="13" xfId="0" applyFont="1" applyBorder="1" applyAlignment="1">
      <alignment horizontal="left" vertical="center" shrinkToFit="1"/>
    </xf>
    <xf numFmtId="0" fontId="0" fillId="0" borderId="13" xfId="0" applyBorder="1" applyAlignment="1">
      <alignment horizontal="center" vertical="top" wrapText="1"/>
    </xf>
    <xf numFmtId="0" fontId="116" fillId="0" borderId="13" xfId="0" applyFont="1" applyBorder="1" applyAlignment="1">
      <alignment horizontal="center" vertical="center" wrapText="1"/>
    </xf>
    <xf numFmtId="0" fontId="116" fillId="0" borderId="33" xfId="0" applyFont="1" applyBorder="1" applyAlignment="1">
      <alignment horizontal="center" vertical="center" wrapText="1"/>
    </xf>
    <xf numFmtId="0" fontId="116" fillId="0" borderId="32" xfId="0" applyFont="1" applyBorder="1" applyAlignment="1">
      <alignment horizontal="center" vertical="center" wrapText="1"/>
    </xf>
    <xf numFmtId="184" fontId="6" fillId="0" borderId="0" xfId="0" applyNumberFormat="1" applyFont="1" applyAlignment="1">
      <alignment horizontal="right"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17" fillId="33" borderId="17" xfId="0" applyFont="1" applyFill="1" applyBorder="1" applyAlignment="1">
      <alignment horizontal="center" vertical="center" wrapText="1"/>
    </xf>
    <xf numFmtId="186" fontId="110" fillId="33" borderId="0" xfId="0" applyNumberFormat="1" applyFont="1" applyFill="1" applyAlignment="1">
      <alignment horizontal="center" vertical="center" wrapText="1"/>
    </xf>
    <xf numFmtId="38" fontId="118" fillId="0" borderId="34" xfId="50" applyFont="1" applyBorder="1" applyAlignment="1">
      <alignment vertical="center"/>
    </xf>
    <xf numFmtId="0" fontId="110" fillId="0" borderId="0" xfId="0" applyFont="1" applyAlignment="1">
      <alignment horizontal="right" vertical="center"/>
    </xf>
    <xf numFmtId="184" fontId="110" fillId="0" borderId="0" xfId="0" applyNumberFormat="1" applyFont="1" applyAlignment="1">
      <alignment vertical="center"/>
    </xf>
    <xf numFmtId="0" fontId="119" fillId="0" borderId="0" xfId="0" applyFont="1" applyAlignment="1">
      <alignment vertical="center"/>
    </xf>
    <xf numFmtId="0" fontId="116" fillId="0" borderId="0" xfId="0" applyFont="1" applyAlignment="1">
      <alignment horizontal="justify" vertical="center"/>
    </xf>
    <xf numFmtId="38" fontId="0" fillId="0" borderId="0" xfId="50" applyAlignment="1">
      <alignment vertical="center"/>
    </xf>
    <xf numFmtId="0" fontId="0" fillId="0" borderId="0" xfId="0" applyAlignment="1">
      <alignment horizontal="left" vertical="center"/>
    </xf>
    <xf numFmtId="38" fontId="0" fillId="0" borderId="0" xfId="0" applyNumberFormat="1" applyAlignment="1">
      <alignment vertical="center"/>
    </xf>
    <xf numFmtId="0" fontId="116" fillId="0" borderId="0" xfId="0" applyFont="1" applyAlignment="1">
      <alignment horizontal="center" vertical="center" wrapText="1"/>
    </xf>
    <xf numFmtId="0" fontId="116" fillId="0" borderId="35" xfId="0" applyFont="1" applyBorder="1" applyAlignment="1">
      <alignment horizontal="center" vertical="center" wrapText="1"/>
    </xf>
    <xf numFmtId="0" fontId="116" fillId="0" borderId="36" xfId="0" applyFont="1" applyBorder="1" applyAlignment="1">
      <alignment horizontal="center" vertical="center" wrapText="1"/>
    </xf>
    <xf numFmtId="0" fontId="116" fillId="33" borderId="36" xfId="0" applyFont="1" applyFill="1" applyBorder="1" applyAlignment="1">
      <alignment horizontal="center" vertical="center" wrapText="1"/>
    </xf>
    <xf numFmtId="0" fontId="116" fillId="33" borderId="0" xfId="0" applyFont="1" applyFill="1" applyAlignment="1">
      <alignment horizontal="center" vertical="center" wrapText="1"/>
    </xf>
    <xf numFmtId="0" fontId="116" fillId="33" borderId="35" xfId="0" applyFont="1" applyFill="1" applyBorder="1" applyAlignment="1">
      <alignment horizontal="center" vertical="center" wrapText="1"/>
    </xf>
    <xf numFmtId="0" fontId="116" fillId="0" borderId="37" xfId="0" applyFont="1" applyBorder="1" applyAlignment="1">
      <alignment horizontal="center" vertical="center" wrapText="1"/>
    </xf>
    <xf numFmtId="0" fontId="116" fillId="0" borderId="0" xfId="0" applyFont="1" applyAlignment="1">
      <alignment horizontal="left" vertical="center"/>
    </xf>
    <xf numFmtId="0" fontId="116" fillId="0" borderId="13" xfId="0" applyFont="1" applyBorder="1" applyAlignment="1">
      <alignment horizontal="left" vertical="center" wrapText="1"/>
    </xf>
    <xf numFmtId="38" fontId="116" fillId="0" borderId="30" xfId="50" applyFont="1" applyBorder="1" applyAlignment="1">
      <alignment horizontal="center" vertical="top" wrapText="1"/>
    </xf>
    <xf numFmtId="38" fontId="116" fillId="0" borderId="13" xfId="50" applyFont="1" applyBorder="1" applyAlignment="1">
      <alignment horizontal="center" vertical="center" wrapText="1"/>
    </xf>
    <xf numFmtId="38" fontId="117" fillId="33" borderId="17" xfId="5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190" fontId="9" fillId="36" borderId="38" xfId="0" applyNumberFormat="1" applyFont="1" applyFill="1" applyBorder="1" applyAlignment="1">
      <alignment horizontal="center" vertical="center"/>
    </xf>
    <xf numFmtId="0" fontId="116" fillId="36" borderId="35" xfId="0" applyFont="1" applyFill="1" applyBorder="1" applyAlignment="1" applyProtection="1">
      <alignment horizontal="center" vertical="center" wrapText="1"/>
      <protection locked="0"/>
    </xf>
    <xf numFmtId="0" fontId="116" fillId="36" borderId="36" xfId="0" applyFont="1" applyFill="1" applyBorder="1" applyAlignment="1" applyProtection="1">
      <alignment horizontal="center" vertical="center" wrapText="1"/>
      <protection locked="0"/>
    </xf>
    <xf numFmtId="0" fontId="116" fillId="36" borderId="37" xfId="0" applyFont="1" applyFill="1" applyBorder="1" applyAlignment="1" applyProtection="1">
      <alignment horizontal="center" vertical="center" wrapText="1"/>
      <protection locked="0"/>
    </xf>
    <xf numFmtId="0" fontId="110" fillId="36" borderId="16" xfId="0" applyFont="1" applyFill="1" applyBorder="1" applyAlignment="1" applyProtection="1">
      <alignment horizontal="left" vertical="center" wrapText="1"/>
      <protection locked="0"/>
    </xf>
    <xf numFmtId="0" fontId="110" fillId="36" borderId="14" xfId="0" applyFont="1" applyFill="1" applyBorder="1" applyAlignment="1" applyProtection="1">
      <alignment horizontal="left" vertical="center" wrapText="1"/>
      <protection locked="0"/>
    </xf>
    <xf numFmtId="188" fontId="6" fillId="36" borderId="14" xfId="0" applyNumberFormat="1" applyFont="1" applyFill="1" applyBorder="1" applyAlignment="1" applyProtection="1">
      <alignment vertical="center" shrinkToFit="1"/>
      <protection locked="0"/>
    </xf>
    <xf numFmtId="185" fontId="6" fillId="36" borderId="14" xfId="0" applyNumberFormat="1" applyFont="1" applyFill="1" applyBorder="1" applyAlignment="1" applyProtection="1">
      <alignment horizontal="center" vertical="center" shrinkToFit="1"/>
      <protection locked="0"/>
    </xf>
    <xf numFmtId="188" fontId="6" fillId="36" borderId="10" xfId="0" applyNumberFormat="1" applyFont="1" applyFill="1" applyBorder="1" applyAlignment="1" applyProtection="1">
      <alignment vertical="center" shrinkToFit="1"/>
      <protection locked="0"/>
    </xf>
    <xf numFmtId="0" fontId="110" fillId="36" borderId="10" xfId="0" applyFont="1" applyFill="1" applyBorder="1" applyAlignment="1" applyProtection="1">
      <alignment horizontal="left" vertical="center" wrapText="1"/>
      <protection locked="0"/>
    </xf>
    <xf numFmtId="0" fontId="6" fillId="36" borderId="10" xfId="0" applyFont="1" applyFill="1" applyBorder="1" applyAlignment="1" applyProtection="1">
      <alignment horizontal="left" vertical="center" wrapText="1"/>
      <protection locked="0"/>
    </xf>
    <xf numFmtId="0" fontId="110" fillId="36" borderId="15" xfId="0" applyFont="1" applyFill="1" applyBorder="1" applyAlignment="1" applyProtection="1">
      <alignment horizontal="left" vertical="center" wrapText="1"/>
      <protection locked="0"/>
    </xf>
    <xf numFmtId="188" fontId="6" fillId="36" borderId="15" xfId="0" applyNumberFormat="1" applyFont="1" applyFill="1" applyBorder="1" applyAlignment="1" applyProtection="1">
      <alignment vertical="center" shrinkToFit="1"/>
      <protection locked="0"/>
    </xf>
    <xf numFmtId="185" fontId="6" fillId="36" borderId="15" xfId="0" applyNumberFormat="1" applyFont="1" applyFill="1" applyBorder="1" applyAlignment="1" applyProtection="1">
      <alignment horizontal="center" vertical="center" shrinkToFit="1"/>
      <protection locked="0"/>
    </xf>
    <xf numFmtId="184" fontId="6" fillId="36" borderId="14" xfId="0" applyNumberFormat="1" applyFont="1" applyFill="1" applyBorder="1" applyAlignment="1" applyProtection="1">
      <alignment vertical="center" shrinkToFit="1"/>
      <protection locked="0"/>
    </xf>
    <xf numFmtId="184" fontId="6" fillId="36" borderId="15" xfId="0" applyNumberFormat="1" applyFont="1" applyFill="1" applyBorder="1" applyAlignment="1" applyProtection="1">
      <alignment vertical="center" shrinkToFit="1"/>
      <protection locked="0"/>
    </xf>
    <xf numFmtId="0" fontId="0" fillId="36" borderId="39" xfId="0" applyFill="1" applyBorder="1" applyAlignment="1" applyProtection="1">
      <alignment horizontal="center" vertical="center"/>
      <protection locked="0"/>
    </xf>
    <xf numFmtId="0" fontId="0" fillId="36" borderId="40" xfId="0" applyFill="1" applyBorder="1" applyAlignment="1" applyProtection="1">
      <alignment horizontal="center" vertical="center"/>
      <protection locked="0"/>
    </xf>
    <xf numFmtId="0" fontId="116" fillId="36" borderId="41" xfId="0" applyFont="1" applyFill="1" applyBorder="1" applyAlignment="1" applyProtection="1">
      <alignment horizontal="center" vertical="center" wrapText="1"/>
      <protection locked="0"/>
    </xf>
    <xf numFmtId="188" fontId="6" fillId="36" borderId="16" xfId="0" applyNumberFormat="1" applyFont="1" applyFill="1" applyBorder="1" applyAlignment="1" applyProtection="1">
      <alignment vertical="center" shrinkToFit="1"/>
      <protection locked="0"/>
    </xf>
    <xf numFmtId="185" fontId="6" fillId="36" borderId="16" xfId="0" applyNumberFormat="1" applyFont="1" applyFill="1" applyBorder="1" applyAlignment="1" applyProtection="1">
      <alignment horizontal="center" vertical="center" shrinkToFit="1"/>
      <protection locked="0"/>
    </xf>
    <xf numFmtId="185" fontId="6" fillId="36" borderId="10" xfId="0" applyNumberFormat="1" applyFont="1" applyFill="1" applyBorder="1" applyAlignment="1" applyProtection="1">
      <alignment horizontal="center" vertical="center" shrinkToFit="1"/>
      <protection locked="0"/>
    </xf>
    <xf numFmtId="184" fontId="6" fillId="36" borderId="16" xfId="0" applyNumberFormat="1" applyFont="1" applyFill="1" applyBorder="1" applyAlignment="1" applyProtection="1">
      <alignment vertical="center" shrinkToFit="1"/>
      <protection locked="0"/>
    </xf>
    <xf numFmtId="184" fontId="6" fillId="36" borderId="10" xfId="0" applyNumberFormat="1" applyFont="1" applyFill="1" applyBorder="1" applyAlignment="1" applyProtection="1">
      <alignment vertical="center" shrinkToFit="1"/>
      <protection locked="0"/>
    </xf>
    <xf numFmtId="0" fontId="0" fillId="36" borderId="42" xfId="0" applyFill="1" applyBorder="1" applyAlignment="1" applyProtection="1">
      <alignment horizontal="center" vertical="center"/>
      <protection locked="0"/>
    </xf>
    <xf numFmtId="0" fontId="0" fillId="36" borderId="43" xfId="0" applyFill="1" applyBorder="1" applyAlignment="1" applyProtection="1">
      <alignment horizontal="center" vertical="center"/>
      <protection locked="0"/>
    </xf>
    <xf numFmtId="0" fontId="110" fillId="36" borderId="27" xfId="0" applyFont="1" applyFill="1" applyBorder="1" applyAlignment="1" applyProtection="1">
      <alignment horizontal="left" vertical="center" wrapText="1"/>
      <protection locked="0"/>
    </xf>
    <xf numFmtId="0" fontId="110" fillId="36" borderId="44" xfId="0" applyFont="1" applyFill="1" applyBorder="1" applyAlignment="1" applyProtection="1">
      <alignment horizontal="left" vertical="center" wrapText="1"/>
      <protection locked="0"/>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110" fillId="36" borderId="47" xfId="0" applyFont="1" applyFill="1" applyBorder="1" applyAlignment="1" applyProtection="1">
      <alignment horizontal="left" vertical="center" wrapText="1"/>
      <protection locked="0"/>
    </xf>
    <xf numFmtId="184" fontId="110" fillId="36" borderId="16" xfId="0" applyNumberFormat="1" applyFont="1" applyFill="1" applyBorder="1" applyAlignment="1" applyProtection="1">
      <alignment vertical="center" shrinkToFit="1"/>
      <protection locked="0"/>
    </xf>
    <xf numFmtId="0" fontId="110" fillId="36" borderId="10" xfId="0" applyFont="1" applyFill="1" applyBorder="1" applyAlignment="1" applyProtection="1">
      <alignment horizontal="left" vertical="center" wrapText="1" shrinkToFit="1"/>
      <protection locked="0"/>
    </xf>
    <xf numFmtId="0" fontId="110" fillId="36" borderId="15" xfId="0" applyFont="1" applyFill="1" applyBorder="1" applyAlignment="1" applyProtection="1">
      <alignment horizontal="left" vertical="center" wrapText="1" shrinkToFit="1"/>
      <protection locked="0"/>
    </xf>
    <xf numFmtId="0" fontId="116" fillId="0" borderId="48" xfId="0" applyFont="1" applyBorder="1" applyAlignment="1" applyProtection="1">
      <alignment horizontal="center" vertical="top" wrapText="1"/>
      <protection locked="0"/>
    </xf>
    <xf numFmtId="0" fontId="116" fillId="0" borderId="18" xfId="0" applyFont="1" applyBorder="1" applyAlignment="1" applyProtection="1">
      <alignment horizontal="center" vertical="center" wrapText="1"/>
      <protection locked="0"/>
    </xf>
    <xf numFmtId="0" fontId="15" fillId="0" borderId="0" xfId="0" applyFont="1" applyAlignment="1">
      <alignment horizontal="center" vertical="center"/>
    </xf>
    <xf numFmtId="0" fontId="120" fillId="0" borderId="0" xfId="0" applyFont="1" applyAlignment="1" applyProtection="1">
      <alignment vertical="center"/>
      <protection locked="0"/>
    </xf>
    <xf numFmtId="0" fontId="121" fillId="0" borderId="0" xfId="0" applyFont="1" applyAlignment="1" applyProtection="1">
      <alignment vertical="center"/>
      <protection locked="0"/>
    </xf>
    <xf numFmtId="0" fontId="116" fillId="0" borderId="33" xfId="0" applyFont="1" applyBorder="1" applyAlignment="1" applyProtection="1">
      <alignment horizontal="center" vertical="center" wrapText="1"/>
      <protection locked="0"/>
    </xf>
    <xf numFmtId="184" fontId="6" fillId="0" borderId="49" xfId="0" applyNumberFormat="1" applyFont="1" applyBorder="1" applyAlignment="1">
      <alignment vertical="center" shrinkToFit="1"/>
    </xf>
    <xf numFmtId="38" fontId="8" fillId="36" borderId="50" xfId="50" applyFont="1" applyFill="1" applyBorder="1" applyAlignment="1" applyProtection="1">
      <alignment horizontal="right" vertical="center"/>
      <protection locked="0"/>
    </xf>
    <xf numFmtId="184" fontId="8" fillId="36" borderId="50" xfId="0" applyNumberFormat="1" applyFont="1" applyFill="1" applyBorder="1" applyAlignment="1" applyProtection="1">
      <alignment horizontal="right" vertical="center" wrapText="1"/>
      <protection locked="0"/>
    </xf>
    <xf numFmtId="38" fontId="8" fillId="36" borderId="51" xfId="50" applyFont="1" applyFill="1" applyBorder="1" applyAlignment="1" applyProtection="1">
      <alignment horizontal="right" vertical="center"/>
      <protection locked="0"/>
    </xf>
    <xf numFmtId="184" fontId="8" fillId="36" borderId="51" xfId="0" applyNumberFormat="1" applyFont="1" applyFill="1" applyBorder="1" applyAlignment="1" applyProtection="1">
      <alignment horizontal="right" vertical="center" wrapText="1"/>
      <protection locked="0"/>
    </xf>
    <xf numFmtId="38" fontId="8" fillId="36" borderId="52" xfId="50" applyFont="1" applyFill="1" applyBorder="1" applyAlignment="1" applyProtection="1">
      <alignment horizontal="right" vertical="center"/>
      <protection locked="0"/>
    </xf>
    <xf numFmtId="184" fontId="8" fillId="36" borderId="52" xfId="0" applyNumberFormat="1" applyFont="1" applyFill="1" applyBorder="1" applyAlignment="1" applyProtection="1">
      <alignment horizontal="right" vertical="center" wrapText="1"/>
      <protection locked="0"/>
    </xf>
    <xf numFmtId="186" fontId="110" fillId="33" borderId="49" xfId="0" applyNumberFormat="1" applyFont="1" applyFill="1" applyBorder="1" applyAlignment="1">
      <alignment vertical="center" shrinkToFit="1"/>
    </xf>
    <xf numFmtId="184" fontId="110" fillId="0" borderId="49" xfId="0" applyNumberFormat="1" applyFont="1" applyBorder="1" applyAlignment="1">
      <alignment vertical="center" shrinkToFit="1"/>
    </xf>
    <xf numFmtId="184" fontId="6" fillId="0" borderId="53" xfId="0" applyNumberFormat="1" applyFont="1" applyBorder="1" applyAlignment="1">
      <alignment horizontal="right" vertical="center" wrapText="1"/>
    </xf>
    <xf numFmtId="0" fontId="109" fillId="0" borderId="0" xfId="0" applyFont="1" applyAlignment="1">
      <alignment vertical="center"/>
    </xf>
    <xf numFmtId="0" fontId="109" fillId="0" borderId="0" xfId="0" applyFont="1" applyAlignment="1">
      <alignment vertical="center"/>
    </xf>
    <xf numFmtId="0" fontId="108" fillId="0" borderId="0" xfId="0" applyFont="1" applyAlignment="1">
      <alignment vertical="center"/>
    </xf>
    <xf numFmtId="189" fontId="4" fillId="33" borderId="0" xfId="0" applyNumberFormat="1" applyFont="1" applyFill="1" applyAlignment="1">
      <alignment horizontal="left" vertical="center"/>
    </xf>
    <xf numFmtId="0" fontId="108" fillId="33" borderId="0" xfId="0" applyFont="1" applyFill="1" applyAlignment="1">
      <alignment vertical="center"/>
    </xf>
    <xf numFmtId="0" fontId="22" fillId="0" borderId="0" xfId="0" applyFont="1" applyAlignment="1">
      <alignment horizontal="left" vertical="center"/>
    </xf>
    <xf numFmtId="0" fontId="4" fillId="0" borderId="0" xfId="0" applyFont="1" applyAlignment="1">
      <alignment horizontal="left" vertical="center"/>
    </xf>
    <xf numFmtId="0" fontId="122" fillId="36" borderId="54" xfId="0" applyFont="1" applyFill="1" applyBorder="1" applyAlignment="1">
      <alignment horizontal="left" vertical="center"/>
    </xf>
    <xf numFmtId="0" fontId="123" fillId="36" borderId="55" xfId="0" applyFont="1" applyFill="1" applyBorder="1" applyAlignment="1">
      <alignment vertical="center"/>
    </xf>
    <xf numFmtId="0" fontId="108" fillId="36" borderId="55" xfId="0" applyFont="1" applyFill="1" applyBorder="1" applyAlignment="1">
      <alignment vertical="center"/>
    </xf>
    <xf numFmtId="0" fontId="108" fillId="36" borderId="56" xfId="0" applyFont="1" applyFill="1" applyBorder="1" applyAlignment="1">
      <alignment vertical="center"/>
    </xf>
    <xf numFmtId="0" fontId="122" fillId="36" borderId="57" xfId="0" applyFont="1" applyFill="1" applyBorder="1" applyAlignment="1">
      <alignment vertical="center"/>
    </xf>
    <xf numFmtId="0" fontId="123" fillId="36" borderId="0" xfId="0" applyFont="1" applyFill="1" applyAlignment="1">
      <alignment vertical="center"/>
    </xf>
    <xf numFmtId="0" fontId="108" fillId="36" borderId="0" xfId="0" applyFont="1" applyFill="1" applyAlignment="1">
      <alignment vertical="center"/>
    </xf>
    <xf numFmtId="0" fontId="108" fillId="36" borderId="58" xfId="0" applyFont="1" applyFill="1" applyBorder="1" applyAlignment="1">
      <alignment vertical="center"/>
    </xf>
    <xf numFmtId="0" fontId="108" fillId="36" borderId="59" xfId="0" applyFont="1" applyFill="1" applyBorder="1" applyAlignment="1">
      <alignment vertical="center"/>
    </xf>
    <xf numFmtId="0" fontId="108" fillId="36" borderId="60" xfId="0" applyFont="1" applyFill="1" applyBorder="1" applyAlignment="1">
      <alignment vertical="center"/>
    </xf>
    <xf numFmtId="0" fontId="108" fillId="36" borderId="47" xfId="0" applyFont="1" applyFill="1" applyBorder="1" applyAlignment="1">
      <alignment vertical="center"/>
    </xf>
    <xf numFmtId="0" fontId="4" fillId="33" borderId="0" xfId="0" applyFont="1" applyFill="1" applyAlignment="1">
      <alignment vertical="center"/>
    </xf>
    <xf numFmtId="0" fontId="108" fillId="0" borderId="0" xfId="0" applyFont="1" applyAlignment="1">
      <alignment vertical="center"/>
    </xf>
    <xf numFmtId="0" fontId="123" fillId="0" borderId="0" xfId="0" applyFont="1" applyAlignment="1">
      <alignment vertical="center"/>
    </xf>
    <xf numFmtId="0" fontId="108" fillId="0" borderId="0" xfId="0" applyFont="1" applyAlignment="1">
      <alignment horizontal="left" vertical="center"/>
    </xf>
    <xf numFmtId="0" fontId="124" fillId="33" borderId="0" xfId="0" applyFont="1" applyFill="1" applyAlignment="1">
      <alignment vertical="center"/>
    </xf>
    <xf numFmtId="0" fontId="108" fillId="0" borderId="0" xfId="0" applyFont="1" applyAlignment="1">
      <alignment horizontal="center" vertical="center"/>
    </xf>
    <xf numFmtId="0" fontId="125" fillId="0" borderId="0" xfId="0" applyFont="1" applyAlignment="1">
      <alignment vertical="center"/>
    </xf>
    <xf numFmtId="0" fontId="116" fillId="0" borderId="0" xfId="0" applyFont="1" applyAlignment="1">
      <alignment vertical="center"/>
    </xf>
    <xf numFmtId="0" fontId="116" fillId="0" borderId="0" xfId="0" applyFont="1" applyAlignment="1">
      <alignment horizontal="center" vertical="center"/>
    </xf>
    <xf numFmtId="0" fontId="116" fillId="0" borderId="0" xfId="0" applyFont="1" applyAlignment="1">
      <alignment vertical="center"/>
    </xf>
    <xf numFmtId="0" fontId="93" fillId="37" borderId="57" xfId="44" applyFill="1" applyBorder="1" applyAlignment="1" applyProtection="1">
      <alignment horizontal="left" vertical="center" indent="1"/>
      <protection/>
    </xf>
    <xf numFmtId="0" fontId="93" fillId="37" borderId="0" xfId="44" applyFill="1" applyAlignment="1" applyProtection="1">
      <alignment vertical="center"/>
      <protection/>
    </xf>
    <xf numFmtId="0" fontId="116" fillId="37" borderId="0" xfId="0" applyFont="1" applyFill="1" applyAlignment="1">
      <alignment vertical="center"/>
    </xf>
    <xf numFmtId="0" fontId="108" fillId="37" borderId="58" xfId="0" applyFont="1" applyFill="1" applyBorder="1" applyAlignment="1">
      <alignment vertical="center"/>
    </xf>
    <xf numFmtId="0" fontId="93" fillId="37" borderId="59" xfId="44" applyFill="1" applyBorder="1" applyAlignment="1" applyProtection="1">
      <alignment horizontal="left" vertical="center" indent="1"/>
      <protection/>
    </xf>
    <xf numFmtId="0" fontId="93" fillId="37" borderId="60" xfId="44" applyFill="1" applyBorder="1" applyAlignment="1" applyProtection="1">
      <alignment vertical="center"/>
      <protection/>
    </xf>
    <xf numFmtId="0" fontId="116" fillId="37" borderId="60" xfId="0" applyFont="1" applyFill="1" applyBorder="1" applyAlignment="1">
      <alignment vertical="center"/>
    </xf>
    <xf numFmtId="0" fontId="108" fillId="37" borderId="47" xfId="0" applyFont="1" applyFill="1" applyBorder="1" applyAlignment="1">
      <alignment vertical="center"/>
    </xf>
    <xf numFmtId="0" fontId="126" fillId="0" borderId="0" xfId="0" applyFont="1" applyAlignment="1">
      <alignment vertical="center"/>
    </xf>
    <xf numFmtId="0" fontId="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27" xfId="0" applyBorder="1" applyAlignment="1">
      <alignment horizontal="center" vertical="center"/>
    </xf>
    <xf numFmtId="3" fontId="9" fillId="0" borderId="61" xfId="0" applyNumberFormat="1" applyFont="1" applyBorder="1" applyAlignment="1">
      <alignment vertical="center"/>
    </xf>
    <xf numFmtId="3" fontId="9" fillId="36" borderId="62" xfId="0" applyNumberFormat="1" applyFont="1" applyFill="1" applyBorder="1" applyAlignment="1" applyProtection="1">
      <alignment vertical="center"/>
      <protection locked="0"/>
    </xf>
    <xf numFmtId="3" fontId="9" fillId="36" borderId="63" xfId="0" applyNumberFormat="1" applyFont="1" applyFill="1" applyBorder="1" applyAlignment="1" applyProtection="1">
      <alignment vertical="center"/>
      <protection locked="0"/>
    </xf>
    <xf numFmtId="0" fontId="116" fillId="0" borderId="31" xfId="0" applyFont="1" applyBorder="1" applyAlignment="1" applyProtection="1">
      <alignment horizontal="center" vertical="top" wrapText="1"/>
      <protection locked="0"/>
    </xf>
    <xf numFmtId="0" fontId="127" fillId="0" borderId="10" xfId="0" applyFont="1" applyBorder="1" applyAlignment="1" applyProtection="1">
      <alignment horizontal="center" vertical="center"/>
      <protection locked="0"/>
    </xf>
    <xf numFmtId="0" fontId="7" fillId="0" borderId="64" xfId="0" applyFont="1" applyBorder="1" applyAlignment="1" applyProtection="1">
      <alignment horizontal="center" vertical="top" wrapText="1"/>
      <protection locked="0"/>
    </xf>
    <xf numFmtId="0" fontId="7" fillId="0" borderId="54" xfId="0" applyFont="1" applyBorder="1" applyAlignment="1" applyProtection="1">
      <alignment horizontal="center" vertical="top" wrapText="1"/>
      <protection locked="0"/>
    </xf>
    <xf numFmtId="0" fontId="128" fillId="0" borderId="0" xfId="0" applyFont="1" applyAlignment="1" applyProtection="1">
      <alignment horizontal="center" vertical="center"/>
      <protection locked="0"/>
    </xf>
    <xf numFmtId="0" fontId="93" fillId="0" borderId="0" xfId="44" applyAlignment="1">
      <alignment vertical="center"/>
    </xf>
    <xf numFmtId="0" fontId="3" fillId="0" borderId="0" xfId="0" applyFont="1" applyAlignment="1" applyProtection="1">
      <alignment vertical="center"/>
      <protection locked="0"/>
    </xf>
    <xf numFmtId="0" fontId="129"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9" fillId="0" borderId="0" xfId="0" applyFont="1" applyAlignment="1" applyProtection="1">
      <alignment horizontal="left" vertical="center"/>
      <protection locked="0"/>
    </xf>
    <xf numFmtId="0" fontId="25" fillId="0" borderId="0" xfId="0" applyFont="1" applyAlignment="1" applyProtection="1">
      <alignment horizontal="center" vertical="center"/>
      <protection locked="0"/>
    </xf>
    <xf numFmtId="0" fontId="129" fillId="0" borderId="0" xfId="0" applyFont="1" applyAlignment="1" applyProtection="1">
      <alignment horizontal="right" vertical="center"/>
      <protection locked="0"/>
    </xf>
    <xf numFmtId="0" fontId="129" fillId="0" borderId="0" xfId="0" applyFont="1" applyAlignment="1" applyProtection="1">
      <alignment horizontal="center" vertical="center"/>
      <protection locked="0"/>
    </xf>
    <xf numFmtId="0" fontId="129" fillId="38" borderId="0" xfId="0" applyFont="1" applyFill="1" applyAlignment="1" applyProtection="1">
      <alignment horizontal="center" vertical="center" shrinkToFit="1"/>
      <protection locked="0"/>
    </xf>
    <xf numFmtId="0" fontId="10" fillId="0" borderId="0" xfId="0" applyFont="1" applyAlignment="1" applyProtection="1">
      <alignment vertical="center"/>
      <protection locked="0"/>
    </xf>
    <xf numFmtId="0" fontId="130" fillId="0" borderId="0" xfId="0" applyFont="1" applyAlignment="1" applyProtection="1">
      <alignment vertical="center"/>
      <protection locked="0"/>
    </xf>
    <xf numFmtId="0" fontId="131" fillId="0" borderId="0" xfId="0" applyFont="1" applyAlignment="1">
      <alignment horizontal="right" vertical="center"/>
    </xf>
    <xf numFmtId="0" fontId="9" fillId="0" borderId="0" xfId="0" applyFont="1" applyAlignment="1" applyProtection="1">
      <alignment vertical="center"/>
      <protection locked="0"/>
    </xf>
    <xf numFmtId="0" fontId="119" fillId="0" borderId="0" xfId="0" applyFont="1" applyAlignment="1" applyProtection="1">
      <alignment vertical="center"/>
      <protection locked="0"/>
    </xf>
    <xf numFmtId="184" fontId="120"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0" fillId="0" borderId="0" xfId="0" applyFont="1" applyAlignment="1" applyProtection="1">
      <alignment horizontal="right" vertical="center"/>
      <protection locked="0"/>
    </xf>
    <xf numFmtId="0" fontId="120" fillId="0" borderId="60" xfId="0" applyFont="1" applyBorder="1" applyAlignment="1" applyProtection="1">
      <alignment vertical="top" textRotation="255" shrinkToFit="1"/>
      <protection locked="0"/>
    </xf>
    <xf numFmtId="0" fontId="132" fillId="0" borderId="60" xfId="0" applyFont="1" applyBorder="1" applyAlignment="1" applyProtection="1">
      <alignment vertical="top" textRotation="255"/>
      <protection locked="0"/>
    </xf>
    <xf numFmtId="0" fontId="0" fillId="0" borderId="60" xfId="0" applyBorder="1" applyAlignment="1">
      <alignment vertical="top" textRotation="255"/>
    </xf>
    <xf numFmtId="0" fontId="7" fillId="0" borderId="0" xfId="0" applyFont="1" applyAlignment="1" applyProtection="1">
      <alignment horizontal="center" vertical="center"/>
      <protection locked="0"/>
    </xf>
    <xf numFmtId="0" fontId="127" fillId="0" borderId="0" xfId="0" applyFont="1" applyAlignment="1" applyProtection="1">
      <alignment vertical="center"/>
      <protection locked="0"/>
    </xf>
    <xf numFmtId="184" fontId="8" fillId="36" borderId="65" xfId="0" applyNumberFormat="1" applyFont="1" applyFill="1" applyBorder="1" applyAlignment="1" applyProtection="1">
      <alignment horizontal="right" vertical="center" wrapText="1"/>
      <protection locked="0"/>
    </xf>
    <xf numFmtId="184" fontId="8" fillId="36" borderId="63" xfId="0" applyNumberFormat="1" applyFont="1" applyFill="1" applyBorder="1" applyAlignment="1" applyProtection="1">
      <alignment horizontal="right" vertical="center" wrapText="1"/>
      <protection locked="0"/>
    </xf>
    <xf numFmtId="184" fontId="8" fillId="36" borderId="66" xfId="0" applyNumberFormat="1" applyFont="1" applyFill="1" applyBorder="1" applyAlignment="1" applyProtection="1">
      <alignment horizontal="right" vertical="center" wrapText="1"/>
      <protection locked="0"/>
    </xf>
    <xf numFmtId="184" fontId="127" fillId="0" borderId="0" xfId="0" applyNumberFormat="1" applyFont="1" applyAlignment="1">
      <alignment horizontal="right" vertical="center" wrapText="1"/>
    </xf>
    <xf numFmtId="0" fontId="3" fillId="0" borderId="0" xfId="0" applyFont="1" applyAlignment="1" applyProtection="1">
      <alignment horizontal="center" vertical="center" wrapText="1"/>
      <protection locked="0"/>
    </xf>
    <xf numFmtId="0" fontId="127" fillId="0" borderId="0" xfId="0" applyFont="1" applyAlignment="1">
      <alignment horizontal="right" vertical="center" wrapText="1"/>
    </xf>
    <xf numFmtId="184" fontId="120" fillId="0" borderId="0" xfId="0" applyNumberFormat="1" applyFont="1" applyAlignment="1">
      <alignment horizontal="left" vertical="center" wrapText="1" indent="1"/>
    </xf>
    <xf numFmtId="184" fontId="133" fillId="0" borderId="0" xfId="0" applyNumberFormat="1" applyFont="1" applyAlignment="1">
      <alignment horizontal="left" vertical="center" wrapText="1" indent="3"/>
    </xf>
    <xf numFmtId="0" fontId="134" fillId="0" borderId="0" xfId="0" applyFont="1" applyAlignment="1" applyProtection="1">
      <alignment vertical="center"/>
      <protection locked="0"/>
    </xf>
    <xf numFmtId="0" fontId="9" fillId="0" borderId="58" xfId="0" applyFont="1" applyBorder="1" applyAlignment="1">
      <alignment vertical="center" wrapText="1"/>
    </xf>
    <xf numFmtId="0" fontId="135" fillId="0" borderId="0" xfId="0" applyFont="1" applyAlignment="1">
      <alignment vertical="center"/>
    </xf>
    <xf numFmtId="0" fontId="133" fillId="0" borderId="0" xfId="0" applyFont="1" applyAlignment="1" applyProtection="1">
      <alignment vertical="center"/>
      <protection locked="0"/>
    </xf>
    <xf numFmtId="0" fontId="121" fillId="0" borderId="0" xfId="0" applyFont="1" applyAlignment="1" applyProtection="1">
      <alignment horizontal="center" vertical="center"/>
      <protection locked="0"/>
    </xf>
    <xf numFmtId="0" fontId="89" fillId="39" borderId="64" xfId="0" applyFont="1" applyFill="1" applyBorder="1" applyAlignment="1" applyProtection="1">
      <alignment horizontal="center" vertical="center"/>
      <protection locked="0"/>
    </xf>
    <xf numFmtId="0" fontId="89" fillId="39" borderId="56" xfId="0" applyFont="1" applyFill="1" applyBorder="1" applyAlignment="1" applyProtection="1">
      <alignment horizontal="center" vertical="center"/>
      <protection locked="0"/>
    </xf>
    <xf numFmtId="0" fontId="107" fillId="0" borderId="0" xfId="0" applyFont="1" applyAlignment="1">
      <alignment horizontal="right" vertical="center" wrapText="1"/>
    </xf>
    <xf numFmtId="0" fontId="107" fillId="0" borderId="0" xfId="0" applyFont="1" applyAlignment="1">
      <alignment horizontal="right" vertical="center"/>
    </xf>
    <xf numFmtId="0" fontId="107" fillId="0" borderId="56" xfId="0" applyFont="1" applyBorder="1" applyAlignment="1">
      <alignment horizontal="center" vertical="center"/>
    </xf>
    <xf numFmtId="38" fontId="8" fillId="0" borderId="67" xfId="50" applyFont="1" applyBorder="1" applyAlignment="1">
      <alignment vertical="center"/>
    </xf>
    <xf numFmtId="0" fontId="136" fillId="0" borderId="55" xfId="0" applyFont="1" applyBorder="1" applyAlignment="1">
      <alignment horizontal="center" vertical="center"/>
    </xf>
    <xf numFmtId="0" fontId="136" fillId="0" borderId="0" xfId="0" applyFont="1" applyAlignment="1">
      <alignment horizontal="center" vertical="center"/>
    </xf>
    <xf numFmtId="0" fontId="137" fillId="0" borderId="0" xfId="0" applyFont="1" applyAlignment="1">
      <alignment horizontal="center" vertical="center" wrapText="1" shrinkToFit="1"/>
    </xf>
    <xf numFmtId="184" fontId="133" fillId="0" borderId="0" xfId="0" applyNumberFormat="1" applyFont="1" applyAlignment="1">
      <alignment horizontal="right" vertical="center"/>
    </xf>
    <xf numFmtId="0" fontId="138" fillId="0" borderId="0" xfId="0" applyFont="1" applyAlignment="1" applyProtection="1">
      <alignment vertical="center"/>
      <protection locked="0"/>
    </xf>
    <xf numFmtId="0" fontId="107" fillId="0" borderId="0" xfId="0" applyFont="1" applyAlignment="1">
      <alignment vertical="center"/>
    </xf>
    <xf numFmtId="0" fontId="139" fillId="0" borderId="55" xfId="0" applyFont="1" applyBorder="1" applyAlignment="1" applyProtection="1">
      <alignment horizontal="left" vertical="center" indent="2"/>
      <protection locked="0"/>
    </xf>
    <xf numFmtId="0" fontId="4" fillId="0" borderId="55" xfId="0" applyFont="1" applyBorder="1" applyAlignment="1" applyProtection="1">
      <alignment horizontal="center" vertical="center" shrinkToFit="1"/>
      <protection locked="0"/>
    </xf>
    <xf numFmtId="0" fontId="130" fillId="0" borderId="0" xfId="0" applyFont="1" applyAlignment="1">
      <alignment horizontal="left" vertical="top" wrapText="1"/>
    </xf>
    <xf numFmtId="0" fontId="120" fillId="0" borderId="0" xfId="0" applyFont="1" applyAlignment="1" applyProtection="1">
      <alignment horizontal="center" vertical="center"/>
      <protection locked="0"/>
    </xf>
    <xf numFmtId="190" fontId="133" fillId="0" borderId="0" xfId="0" applyNumberFormat="1" applyFont="1" applyAlignment="1">
      <alignment horizontal="center" vertical="center"/>
    </xf>
    <xf numFmtId="38" fontId="10" fillId="0" borderId="0" xfId="50" applyFont="1" applyAlignment="1" applyProtection="1">
      <alignment vertical="center"/>
      <protection locked="0"/>
    </xf>
    <xf numFmtId="38" fontId="12" fillId="0" borderId="0" xfId="50" applyFont="1" applyAlignment="1" applyProtection="1">
      <alignment vertical="center"/>
      <protection locked="0"/>
    </xf>
    <xf numFmtId="0" fontId="131" fillId="0" borderId="0" xfId="0" applyFont="1" applyAlignment="1" applyProtection="1">
      <alignment horizontal="right" vertical="center"/>
      <protection locked="0"/>
    </xf>
    <xf numFmtId="38" fontId="12" fillId="0" borderId="0" xfId="50" applyFont="1" applyAlignment="1" applyProtection="1">
      <alignment vertical="center" wrapText="1"/>
      <protection locked="0"/>
    </xf>
    <xf numFmtId="0" fontId="12" fillId="0" borderId="0" xfId="50" applyNumberFormat="1" applyFont="1" applyAlignment="1" applyProtection="1">
      <alignment vertical="center"/>
      <protection locked="0"/>
    </xf>
    <xf numFmtId="0" fontId="120" fillId="0" borderId="0" xfId="0" applyFont="1" applyAlignment="1" applyProtection="1">
      <alignment horizontal="center"/>
      <protection locked="0"/>
    </xf>
    <xf numFmtId="0" fontId="130" fillId="6" borderId="64" xfId="0" applyFont="1" applyFill="1" applyBorder="1" applyAlignment="1" applyProtection="1">
      <alignment horizontal="center" vertical="center"/>
      <protection locked="0"/>
    </xf>
    <xf numFmtId="0" fontId="130" fillId="6" borderId="54" xfId="0" applyFont="1" applyFill="1" applyBorder="1" applyAlignment="1" applyProtection="1">
      <alignment horizontal="center" vertical="center"/>
      <protection locked="0"/>
    </xf>
    <xf numFmtId="0" fontId="9" fillId="6" borderId="68" xfId="0" applyFont="1" applyFill="1" applyBorder="1" applyAlignment="1" applyProtection="1">
      <alignment horizontal="center" vertical="center" wrapText="1"/>
      <protection locked="0"/>
    </xf>
    <xf numFmtId="0" fontId="9" fillId="6" borderId="69" xfId="0" applyFont="1" applyFill="1" applyBorder="1" applyAlignment="1" applyProtection="1">
      <alignment horizontal="center" vertical="center" wrapText="1"/>
      <protection locked="0"/>
    </xf>
    <xf numFmtId="0" fontId="130" fillId="6" borderId="56" xfId="0" applyFont="1" applyFill="1" applyBorder="1" applyAlignment="1" applyProtection="1">
      <alignment horizontal="center" vertical="center"/>
      <protection locked="0"/>
    </xf>
    <xf numFmtId="0" fontId="130" fillId="6" borderId="55" xfId="0" applyFont="1" applyFill="1" applyBorder="1" applyAlignment="1" applyProtection="1">
      <alignment horizontal="center" vertical="center"/>
      <protection locked="0"/>
    </xf>
    <xf numFmtId="0" fontId="130" fillId="6" borderId="70" xfId="0" applyFont="1" applyFill="1" applyBorder="1" applyAlignment="1" applyProtection="1">
      <alignment horizontal="center" vertical="center"/>
      <protection locked="0"/>
    </xf>
    <xf numFmtId="0" fontId="130" fillId="6" borderId="71" xfId="0" applyFont="1" applyFill="1" applyBorder="1" applyAlignment="1" applyProtection="1">
      <alignment horizontal="center" vertical="center"/>
      <protection locked="0"/>
    </xf>
    <xf numFmtId="0" fontId="130" fillId="6" borderId="72" xfId="0" applyFont="1" applyFill="1" applyBorder="1" applyAlignment="1" applyProtection="1">
      <alignment horizontal="center" vertical="center"/>
      <protection locked="0"/>
    </xf>
    <xf numFmtId="0" fontId="4" fillId="6" borderId="73" xfId="0" applyFont="1" applyFill="1" applyBorder="1" applyAlignment="1" applyProtection="1">
      <alignment horizontal="center" vertical="top" wrapText="1"/>
      <protection locked="0"/>
    </xf>
    <xf numFmtId="0" fontId="9" fillId="6" borderId="57" xfId="0" applyFont="1" applyFill="1" applyBorder="1" applyAlignment="1" applyProtection="1">
      <alignment horizontal="center" vertical="top" wrapText="1"/>
      <protection locked="0"/>
    </xf>
    <xf numFmtId="0" fontId="4" fillId="6" borderId="74" xfId="0" applyFont="1" applyFill="1" applyBorder="1" applyAlignment="1" applyProtection="1">
      <alignment horizontal="center" vertical="top" wrapText="1"/>
      <protection locked="0"/>
    </xf>
    <xf numFmtId="0" fontId="7" fillId="6" borderId="58" xfId="0" applyFont="1" applyFill="1" applyBorder="1" applyAlignment="1" applyProtection="1">
      <alignment horizontal="center" vertical="top" wrapText="1"/>
      <protection locked="0"/>
    </xf>
    <xf numFmtId="0" fontId="130" fillId="6" borderId="57" xfId="0" applyFont="1" applyFill="1" applyBorder="1" applyAlignment="1" applyProtection="1">
      <alignment horizontal="center" vertical="top"/>
      <protection locked="0"/>
    </xf>
    <xf numFmtId="0" fontId="130" fillId="6" borderId="0" xfId="0" applyFont="1" applyFill="1" applyAlignment="1" applyProtection="1">
      <alignment horizontal="center" vertical="top"/>
      <protection locked="0"/>
    </xf>
    <xf numFmtId="0" fontId="130" fillId="6" borderId="75" xfId="0" applyFont="1" applyFill="1" applyBorder="1" applyAlignment="1" applyProtection="1">
      <alignment horizontal="center" vertical="top"/>
      <protection locked="0"/>
    </xf>
    <xf numFmtId="0" fontId="130" fillId="6" borderId="76"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59" xfId="0" applyFont="1" applyFill="1" applyBorder="1" applyAlignment="1" applyProtection="1">
      <alignment horizontal="center" vertical="center" wrapText="1"/>
      <protection locked="0"/>
    </xf>
    <xf numFmtId="0" fontId="4" fillId="6" borderId="77"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130" fillId="6" borderId="59" xfId="0" applyFont="1" applyFill="1" applyBorder="1" applyAlignment="1" applyProtection="1">
      <alignment horizontal="center" vertical="center"/>
      <protection locked="0"/>
    </xf>
    <xf numFmtId="0" fontId="130" fillId="6" borderId="60" xfId="0" applyFont="1" applyFill="1" applyBorder="1" applyAlignment="1" applyProtection="1">
      <alignment horizontal="center" vertical="center"/>
      <protection locked="0"/>
    </xf>
    <xf numFmtId="0" fontId="130" fillId="6" borderId="78" xfId="0" applyFont="1" applyFill="1" applyBorder="1" applyAlignment="1" applyProtection="1">
      <alignment horizontal="center" vertical="center"/>
      <protection locked="0"/>
    </xf>
    <xf numFmtId="0" fontId="130" fillId="6" borderId="79" xfId="0" applyFont="1" applyFill="1" applyBorder="1" applyAlignment="1" applyProtection="1">
      <alignment horizontal="center" vertical="center"/>
      <protection locked="0"/>
    </xf>
    <xf numFmtId="184" fontId="8" fillId="7" borderId="80" xfId="0" applyNumberFormat="1" applyFont="1" applyFill="1" applyBorder="1" applyAlignment="1" applyProtection="1">
      <alignment horizontal="right" vertical="center"/>
      <protection locked="0"/>
    </xf>
    <xf numFmtId="184" fontId="8" fillId="7" borderId="81" xfId="0" applyNumberFormat="1" applyFont="1" applyFill="1" applyBorder="1" applyAlignment="1" applyProtection="1">
      <alignment horizontal="right" vertical="center"/>
      <protection locked="0"/>
    </xf>
    <xf numFmtId="184" fontId="8" fillId="7" borderId="82" xfId="0" applyNumberFormat="1" applyFont="1" applyFill="1" applyBorder="1" applyAlignment="1" applyProtection="1">
      <alignment horizontal="right" vertical="center"/>
      <protection locked="0"/>
    </xf>
    <xf numFmtId="184" fontId="8" fillId="0" borderId="83" xfId="0" applyNumberFormat="1" applyFont="1" applyBorder="1" applyAlignment="1">
      <alignment horizontal="right" vertical="center" wrapText="1"/>
    </xf>
    <xf numFmtId="184" fontId="8" fillId="0" borderId="78" xfId="0" applyNumberFormat="1" applyFont="1" applyBorder="1" applyAlignment="1">
      <alignment horizontal="right" vertical="center"/>
    </xf>
    <xf numFmtId="0" fontId="130" fillId="0" borderId="0" xfId="0" applyFont="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lignment horizontal="right"/>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40" fillId="0" borderId="84" xfId="0" applyFont="1" applyBorder="1" applyAlignment="1" applyProtection="1">
      <alignment horizontal="center" vertical="center"/>
      <protection locked="0"/>
    </xf>
    <xf numFmtId="0" fontId="141" fillId="0" borderId="85" xfId="0" applyFont="1" applyBorder="1" applyAlignment="1" applyProtection="1">
      <alignment horizontal="center" vertical="center"/>
      <protection locked="0"/>
    </xf>
    <xf numFmtId="184" fontId="142" fillId="0" borderId="86" xfId="0" applyNumberFormat="1" applyFont="1" applyBorder="1" applyAlignment="1" applyProtection="1">
      <alignment horizontal="center" vertical="center"/>
      <protection locked="0"/>
    </xf>
    <xf numFmtId="0" fontId="128" fillId="0" borderId="0" xfId="0" applyFont="1" applyAlignment="1" applyProtection="1">
      <alignment vertical="center"/>
      <protection locked="0"/>
    </xf>
    <xf numFmtId="0" fontId="23" fillId="0" borderId="0" xfId="0" applyFont="1" applyAlignment="1" applyProtection="1">
      <alignment vertical="center" wrapText="1"/>
      <protection locked="0"/>
    </xf>
    <xf numFmtId="0" fontId="120" fillId="0" borderId="0" xfId="0" applyFont="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Alignment="1" applyProtection="1">
      <alignment shrinkToFit="1"/>
      <protection locked="0"/>
    </xf>
    <xf numFmtId="0" fontId="143" fillId="0" borderId="0" xfId="0" applyFont="1" applyAlignment="1" applyProtection="1">
      <alignment horizontal="right" vertical="center"/>
      <protection locked="0"/>
    </xf>
    <xf numFmtId="184" fontId="144" fillId="0" borderId="0" xfId="0" applyNumberFormat="1" applyFont="1" applyAlignment="1">
      <alignment horizontal="right" vertical="center"/>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5" fillId="0" borderId="0" xfId="0" applyFont="1" applyAlignment="1" applyProtection="1">
      <alignment horizontal="right" vertical="center"/>
      <protection locked="0"/>
    </xf>
    <xf numFmtId="0" fontId="146" fillId="0" borderId="0" xfId="0" applyFont="1" applyAlignment="1" applyProtection="1">
      <alignment horizontal="left" vertical="center"/>
      <protection locked="0"/>
    </xf>
    <xf numFmtId="0" fontId="147" fillId="0" borderId="0" xfId="0" applyFont="1" applyAlignment="1" applyProtection="1">
      <alignment horizontal="right" vertical="center"/>
      <protection locked="0"/>
    </xf>
    <xf numFmtId="0" fontId="148" fillId="0" borderId="0" xfId="0" applyFont="1" applyAlignment="1" applyProtection="1">
      <alignment horizontal="right" vertical="center"/>
      <protection locked="0"/>
    </xf>
    <xf numFmtId="184" fontId="128" fillId="0" borderId="0" xfId="0" applyNumberFormat="1" applyFont="1" applyAlignment="1" applyProtection="1">
      <alignment/>
      <protection locked="0"/>
    </xf>
    <xf numFmtId="38" fontId="5" fillId="0" borderId="0" xfId="0" applyNumberFormat="1" applyFont="1" applyAlignment="1" applyProtection="1">
      <alignment vertical="center" shrinkToFit="1"/>
      <protection locked="0"/>
    </xf>
    <xf numFmtId="38" fontId="120" fillId="0" borderId="0" xfId="0" applyNumberFormat="1" applyFont="1" applyAlignment="1" applyProtection="1">
      <alignment vertical="center"/>
      <protection locked="0"/>
    </xf>
    <xf numFmtId="0" fontId="149" fillId="0" borderId="0" xfId="0" applyFont="1" applyAlignment="1">
      <alignment horizontal="right" vertical="center"/>
    </xf>
    <xf numFmtId="0" fontId="150" fillId="0" borderId="0" xfId="0" applyFont="1" applyAlignment="1">
      <alignment vertical="center"/>
    </xf>
    <xf numFmtId="190" fontId="4" fillId="6" borderId="87" xfId="50" applyNumberFormat="1" applyFont="1" applyFill="1" applyBorder="1" applyAlignment="1">
      <alignment horizontal="center" vertical="center"/>
    </xf>
    <xf numFmtId="0" fontId="151" fillId="0" borderId="88" xfId="0" applyFont="1" applyBorder="1" applyAlignment="1">
      <alignment horizontal="center" vertical="center"/>
    </xf>
    <xf numFmtId="0" fontId="151" fillId="0" borderId="62" xfId="0" applyFont="1" applyBorder="1" applyAlignment="1">
      <alignment horizontal="center" vertical="center"/>
    </xf>
    <xf numFmtId="0" fontId="151" fillId="0" borderId="89" xfId="0" applyFont="1" applyBorder="1" applyAlignment="1">
      <alignment horizontal="center" vertical="center"/>
    </xf>
    <xf numFmtId="0" fontId="151" fillId="0" borderId="90" xfId="0" applyFont="1" applyBorder="1" applyAlignment="1">
      <alignment horizontal="center" vertical="center"/>
    </xf>
    <xf numFmtId="0" fontId="116" fillId="33" borderId="37" xfId="0" applyFont="1" applyFill="1" applyBorder="1" applyAlignment="1" applyProtection="1">
      <alignment horizontal="center" vertical="center" wrapText="1"/>
      <protection locked="0"/>
    </xf>
    <xf numFmtId="0" fontId="116" fillId="33" borderId="91" xfId="0" applyFont="1" applyFill="1" applyBorder="1" applyAlignment="1" applyProtection="1">
      <alignment horizontal="center" vertical="center" wrapText="1"/>
      <protection locked="0"/>
    </xf>
    <xf numFmtId="184" fontId="6" fillId="0" borderId="36" xfId="0" applyNumberFormat="1" applyFont="1" applyBorder="1" applyAlignment="1">
      <alignment horizontal="right" vertical="center" wrapText="1"/>
    </xf>
    <xf numFmtId="184" fontId="6" fillId="33" borderId="92" xfId="0" applyNumberFormat="1" applyFont="1" applyFill="1" applyBorder="1" applyAlignment="1">
      <alignment horizontal="right" vertical="center" wrapText="1"/>
    </xf>
    <xf numFmtId="184" fontId="6" fillId="0" borderId="92" xfId="0" applyNumberFormat="1" applyFont="1" applyBorder="1" applyAlignment="1">
      <alignment horizontal="right" vertical="center" wrapText="1"/>
    </xf>
    <xf numFmtId="0" fontId="0" fillId="0" borderId="0" xfId="0" applyAlignment="1" applyProtection="1">
      <alignment horizontal="right" vertical="center"/>
      <protection locked="0"/>
    </xf>
    <xf numFmtId="186" fontId="110" fillId="34" borderId="93" xfId="0" applyNumberFormat="1" applyFont="1" applyFill="1" applyBorder="1" applyAlignment="1">
      <alignment horizontal="right" vertical="center" wrapText="1"/>
    </xf>
    <xf numFmtId="186" fontId="110" fillId="33" borderId="94" xfId="0" applyNumberFormat="1" applyFont="1" applyFill="1" applyBorder="1" applyAlignment="1">
      <alignment horizontal="right" vertical="center" wrapText="1"/>
    </xf>
    <xf numFmtId="186" fontId="110" fillId="33" borderId="95" xfId="0" applyNumberFormat="1" applyFont="1" applyFill="1" applyBorder="1" applyAlignment="1">
      <alignment horizontal="right" vertical="center" wrapText="1"/>
    </xf>
    <xf numFmtId="0" fontId="0" fillId="0" borderId="0" xfId="0" applyAlignment="1" applyProtection="1">
      <alignment horizontal="left" vertical="center"/>
      <protection locked="0"/>
    </xf>
    <xf numFmtId="0" fontId="127" fillId="0" borderId="0" xfId="0" applyFont="1" applyAlignment="1" applyProtection="1">
      <alignment horizontal="right" vertical="center"/>
      <protection locked="0"/>
    </xf>
    <xf numFmtId="0" fontId="13" fillId="0" borderId="96" xfId="0" applyFont="1" applyBorder="1" applyAlignment="1">
      <alignment vertical="center"/>
    </xf>
    <xf numFmtId="0" fontId="5" fillId="0" borderId="96" xfId="0" applyFont="1" applyBorder="1" applyAlignment="1">
      <alignment vertical="center"/>
    </xf>
    <xf numFmtId="0" fontId="152" fillId="0" borderId="0" xfId="0" applyFont="1" applyAlignment="1">
      <alignment vertical="center"/>
    </xf>
    <xf numFmtId="0" fontId="152" fillId="0" borderId="0" xfId="0" applyFont="1" applyAlignment="1">
      <alignment vertical="center"/>
    </xf>
    <xf numFmtId="0" fontId="13" fillId="0" borderId="97" xfId="0" applyFont="1" applyBorder="1" applyAlignment="1">
      <alignment vertical="center"/>
    </xf>
    <xf numFmtId="0" fontId="114" fillId="0" borderId="97" xfId="0" applyFont="1" applyBorder="1" applyAlignment="1">
      <alignment horizontal="right" vertical="center"/>
    </xf>
    <xf numFmtId="0" fontId="13" fillId="0" borderId="98" xfId="0" applyFont="1" applyBorder="1" applyAlignment="1">
      <alignment vertical="center"/>
    </xf>
    <xf numFmtId="0" fontId="153" fillId="0" borderId="0" xfId="0" applyFont="1" applyAlignment="1">
      <alignment vertical="center" wrapText="1"/>
    </xf>
    <xf numFmtId="0" fontId="150" fillId="0" borderId="0" xfId="0" applyFont="1" applyAlignment="1">
      <alignment vertical="center"/>
    </xf>
    <xf numFmtId="0" fontId="7" fillId="0" borderId="3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184" fontId="8" fillId="0" borderId="99" xfId="0" applyNumberFormat="1" applyFont="1" applyBorder="1" applyAlignment="1">
      <alignment horizontal="right" vertical="center" wrapText="1"/>
    </xf>
    <xf numFmtId="184" fontId="8" fillId="0" borderId="100" xfId="0" applyNumberFormat="1" applyFont="1" applyBorder="1" applyAlignment="1">
      <alignment horizontal="right" vertical="center" wrapText="1"/>
    </xf>
    <xf numFmtId="184" fontId="8" fillId="0" borderId="101" xfId="0" applyNumberFormat="1" applyFont="1" applyBorder="1" applyAlignment="1">
      <alignment horizontal="right" vertical="center" wrapText="1"/>
    </xf>
    <xf numFmtId="0" fontId="7" fillId="0" borderId="102" xfId="0" applyFont="1" applyBorder="1" applyAlignment="1" applyProtection="1">
      <alignment horizontal="center" vertical="top" wrapText="1"/>
      <protection locked="0"/>
    </xf>
    <xf numFmtId="184" fontId="154" fillId="40" borderId="103" xfId="0" applyNumberFormat="1" applyFont="1" applyFill="1" applyBorder="1" applyAlignment="1">
      <alignment vertical="center"/>
    </xf>
    <xf numFmtId="0" fontId="2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38" fontId="32" fillId="0" borderId="0" xfId="53" applyFont="1" applyAlignment="1" applyProtection="1">
      <alignment vertical="top" wrapText="1"/>
      <protection locked="0"/>
    </xf>
    <xf numFmtId="0" fontId="108" fillId="41" borderId="0" xfId="0" applyFont="1" applyFill="1" applyAlignment="1" applyProtection="1">
      <alignment vertical="center"/>
      <protection locked="0"/>
    </xf>
    <xf numFmtId="0" fontId="93" fillId="41" borderId="0" xfId="44" applyFill="1" applyAlignment="1" applyProtection="1">
      <alignment vertical="center"/>
      <protection/>
    </xf>
    <xf numFmtId="0" fontId="32"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horizontal="left" vertical="center"/>
      <protection locked="0"/>
    </xf>
    <xf numFmtId="0" fontId="127" fillId="0" borderId="0" xfId="0" applyFont="1" applyAlignment="1">
      <alignment vertical="center"/>
    </xf>
    <xf numFmtId="0" fontId="130" fillId="0" borderId="0" xfId="0" applyFont="1" applyAlignment="1">
      <alignment vertical="center"/>
    </xf>
    <xf numFmtId="0" fontId="130" fillId="0" borderId="0" xfId="0" applyFont="1" applyAlignment="1" applyProtection="1">
      <alignment horizontal="right" vertical="center"/>
      <protection locked="0"/>
    </xf>
    <xf numFmtId="0" fontId="130" fillId="0" borderId="0" xfId="0" applyFont="1" applyAlignment="1" applyProtection="1">
      <alignment horizontal="center" vertical="center"/>
      <protection locked="0"/>
    </xf>
    <xf numFmtId="0" fontId="116" fillId="0" borderId="30" xfId="0" applyFont="1" applyBorder="1" applyAlignment="1" applyProtection="1">
      <alignment horizontal="center" vertical="top" shrinkToFit="1"/>
      <protection locked="0"/>
    </xf>
    <xf numFmtId="0" fontId="116" fillId="0" borderId="30" xfId="0" applyFont="1" applyBorder="1" applyAlignment="1" applyProtection="1">
      <alignment horizontal="center" vertical="top" wrapText="1"/>
      <protection locked="0"/>
    </xf>
    <xf numFmtId="190" fontId="13" fillId="0" borderId="0" xfId="0" applyNumberFormat="1" applyFont="1" applyAlignment="1">
      <alignment vertical="center"/>
    </xf>
    <xf numFmtId="190" fontId="13" fillId="0" borderId="47" xfId="50" applyNumberFormat="1" applyFont="1" applyBorder="1" applyAlignment="1">
      <alignment vertical="center" wrapText="1"/>
    </xf>
    <xf numFmtId="0" fontId="109"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0" xfId="5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38" fontId="127" fillId="36" borderId="10" xfId="50" applyFont="1" applyFill="1" applyBorder="1" applyAlignment="1" applyProtection="1">
      <alignment vertical="center" wrapText="1"/>
      <protection locked="0"/>
    </xf>
    <xf numFmtId="38" fontId="0" fillId="36" borderId="10" xfId="50" applyFill="1" applyBorder="1" applyAlignment="1" applyProtection="1">
      <alignment vertical="center" wrapText="1"/>
      <protection locked="0"/>
    </xf>
    <xf numFmtId="205" fontId="0" fillId="0" borderId="10" xfId="50" applyNumberFormat="1" applyBorder="1" applyAlignment="1">
      <alignment horizontal="center" vertical="center" wrapText="1"/>
    </xf>
    <xf numFmtId="38" fontId="0" fillId="0" borderId="10" xfId="50" applyBorder="1" applyAlignment="1">
      <alignment vertical="center" wrapText="1"/>
    </xf>
    <xf numFmtId="0" fontId="127" fillId="0" borderId="0" xfId="0" applyFont="1" applyAlignment="1">
      <alignment vertical="center"/>
    </xf>
    <xf numFmtId="0" fontId="0" fillId="0" borderId="0" xfId="0" applyAlignment="1">
      <alignment vertical="center"/>
    </xf>
    <xf numFmtId="0" fontId="108" fillId="0" borderId="0" xfId="0" applyFont="1" applyAlignment="1" applyProtection="1">
      <alignment vertical="center"/>
      <protection locked="0"/>
    </xf>
    <xf numFmtId="0" fontId="21" fillId="0" borderId="0" xfId="0" applyFont="1" applyAlignment="1">
      <alignment vertical="center"/>
    </xf>
    <xf numFmtId="0" fontId="21" fillId="0" borderId="55" xfId="0" applyFont="1" applyBorder="1" applyAlignment="1">
      <alignment vertical="center"/>
    </xf>
    <xf numFmtId="38" fontId="0" fillId="0" borderId="10" xfId="50" applyBorder="1" applyAlignment="1">
      <alignment horizontal="center" vertical="center"/>
    </xf>
    <xf numFmtId="40" fontId="0" fillId="0" borderId="10" xfId="50" applyNumberFormat="1" applyBorder="1" applyAlignment="1">
      <alignment horizontal="center" vertical="center"/>
    </xf>
    <xf numFmtId="38" fontId="0" fillId="0" borderId="10" xfId="50" applyBorder="1" applyAlignment="1" quotePrefix="1">
      <alignment vertical="center"/>
    </xf>
    <xf numFmtId="38" fontId="0" fillId="0" borderId="10" xfId="50" applyBorder="1" applyAlignment="1" quotePrefix="1">
      <alignment horizontal="center" vertical="center"/>
    </xf>
    <xf numFmtId="40" fontId="0" fillId="0" borderId="10" xfId="50" applyNumberFormat="1" applyBorder="1" applyAlignment="1" quotePrefix="1">
      <alignment vertical="center"/>
    </xf>
    <xf numFmtId="38" fontId="0" fillId="0" borderId="10" xfId="50" applyBorder="1" applyAlignment="1">
      <alignment vertical="center"/>
    </xf>
    <xf numFmtId="40" fontId="0" fillId="0" borderId="10" xfId="50" applyNumberFormat="1" applyBorder="1" applyAlignment="1">
      <alignment vertical="center"/>
    </xf>
    <xf numFmtId="38" fontId="0" fillId="0" borderId="0" xfId="50" applyAlignment="1">
      <alignment vertical="center"/>
    </xf>
    <xf numFmtId="40" fontId="0" fillId="0" borderId="0" xfId="50" applyNumberFormat="1" applyAlignment="1">
      <alignment vertical="center"/>
    </xf>
    <xf numFmtId="0" fontId="15" fillId="0" borderId="18" xfId="0" applyFont="1" applyBorder="1" applyAlignment="1">
      <alignment horizontal="center" vertical="center" wrapText="1"/>
    </xf>
    <xf numFmtId="0" fontId="8" fillId="0" borderId="104" xfId="0" applyFont="1" applyBorder="1" applyAlignment="1">
      <alignment horizontal="center" vertical="center"/>
    </xf>
    <xf numFmtId="0" fontId="127" fillId="0" borderId="105" xfId="0" applyFont="1" applyBorder="1" applyAlignment="1">
      <alignment horizontal="center" vertical="center"/>
    </xf>
    <xf numFmtId="0" fontId="151" fillId="0" borderId="106" xfId="0" applyFont="1" applyBorder="1" applyAlignment="1">
      <alignment horizontal="center" vertical="center"/>
    </xf>
    <xf numFmtId="0" fontId="151" fillId="0" borderId="106" xfId="0" applyFont="1" applyBorder="1" applyAlignment="1">
      <alignment horizontal="center" vertical="center"/>
    </xf>
    <xf numFmtId="0" fontId="9" fillId="0" borderId="107" xfId="0" applyFont="1" applyBorder="1" applyAlignment="1">
      <alignment vertical="center" wrapText="1"/>
    </xf>
    <xf numFmtId="0" fontId="151" fillId="0" borderId="108" xfId="0" applyFont="1" applyBorder="1" applyAlignment="1">
      <alignment horizontal="center" vertical="center"/>
    </xf>
    <xf numFmtId="0" fontId="151" fillId="0" borderId="108" xfId="0" applyFont="1" applyBorder="1" applyAlignment="1">
      <alignment horizontal="center" vertical="center"/>
    </xf>
    <xf numFmtId="0" fontId="9" fillId="0" borderId="109" xfId="0" applyFont="1" applyBorder="1" applyAlignment="1">
      <alignment vertical="center" wrapText="1"/>
    </xf>
    <xf numFmtId="0" fontId="151" fillId="0" borderId="110" xfId="0" applyFont="1" applyBorder="1" applyAlignment="1">
      <alignment horizontal="center" vertical="center"/>
    </xf>
    <xf numFmtId="0" fontId="151" fillId="0" borderId="110" xfId="0" applyFont="1" applyBorder="1" applyAlignment="1">
      <alignment horizontal="center" vertical="center"/>
    </xf>
    <xf numFmtId="0" fontId="9" fillId="0" borderId="111" xfId="0" applyFont="1" applyBorder="1" applyAlignment="1">
      <alignment vertical="center" wrapText="1"/>
    </xf>
    <xf numFmtId="38" fontId="8" fillId="0" borderId="112" xfId="50" applyFont="1" applyBorder="1" applyAlignment="1">
      <alignment horizontal="right" vertical="center"/>
    </xf>
    <xf numFmtId="184" fontId="8" fillId="0" borderId="50" xfId="0" applyNumberFormat="1" applyFont="1" applyBorder="1" applyAlignment="1">
      <alignment horizontal="right" vertical="center" wrapText="1"/>
    </xf>
    <xf numFmtId="38" fontId="8" fillId="0" borderId="113" xfId="50" applyFont="1" applyBorder="1" applyAlignment="1">
      <alignment horizontal="right" vertical="center"/>
    </xf>
    <xf numFmtId="184" fontId="8" fillId="0" borderId="51" xfId="0" applyNumberFormat="1" applyFont="1" applyBorder="1" applyAlignment="1">
      <alignment horizontal="right" vertical="center" wrapText="1"/>
    </xf>
    <xf numFmtId="38" fontId="8" fillId="0" borderId="114" xfId="50" applyFont="1" applyBorder="1" applyAlignment="1">
      <alignment horizontal="right" vertical="center"/>
    </xf>
    <xf numFmtId="184" fontId="8" fillId="0" borderId="52" xfId="0" applyNumberFormat="1" applyFont="1" applyBorder="1" applyAlignment="1">
      <alignment horizontal="right" vertical="center" wrapText="1"/>
    </xf>
    <xf numFmtId="0" fontId="127" fillId="0" borderId="87" xfId="0" applyFont="1" applyBorder="1" applyAlignment="1">
      <alignment horizontal="center" vertical="center"/>
    </xf>
    <xf numFmtId="0" fontId="127" fillId="0" borderId="43" xfId="0" applyFont="1" applyBorder="1" applyAlignment="1">
      <alignment horizontal="center" vertical="center"/>
    </xf>
    <xf numFmtId="184" fontId="8" fillId="0" borderId="47" xfId="0" applyNumberFormat="1" applyFont="1" applyBorder="1" applyAlignment="1">
      <alignment horizontal="right" vertical="center" wrapText="1"/>
    </xf>
    <xf numFmtId="184" fontId="8" fillId="0" borderId="14" xfId="0" applyNumberFormat="1" applyFont="1" applyBorder="1" applyAlignment="1">
      <alignment horizontal="right" vertical="center" wrapText="1"/>
    </xf>
    <xf numFmtId="184" fontId="8" fillId="0" borderId="59" xfId="0" applyNumberFormat="1" applyFont="1" applyBorder="1" applyAlignment="1">
      <alignment horizontal="right" vertical="center" wrapText="1"/>
    </xf>
    <xf numFmtId="184" fontId="8" fillId="0" borderId="115" xfId="0" applyNumberFormat="1" applyFont="1" applyBorder="1" applyAlignment="1">
      <alignment horizontal="right" vertical="center" wrapText="1"/>
    </xf>
    <xf numFmtId="184" fontId="8" fillId="0" borderId="13" xfId="0" applyNumberFormat="1" applyFont="1" applyBorder="1" applyAlignment="1">
      <alignment horizontal="right" vertical="center" wrapText="1"/>
    </xf>
    <xf numFmtId="184" fontId="8" fillId="0" borderId="116" xfId="0" applyNumberFormat="1" applyFont="1" applyBorder="1" applyAlignment="1">
      <alignment horizontal="right" vertical="center" wrapText="1"/>
    </xf>
    <xf numFmtId="0" fontId="9" fillId="0" borderId="10" xfId="0" applyFont="1" applyBorder="1" applyAlignment="1">
      <alignment horizontal="center" vertical="center"/>
    </xf>
    <xf numFmtId="0" fontId="9" fillId="0" borderId="64" xfId="0" applyFont="1" applyBorder="1" applyAlignment="1">
      <alignment horizontal="center" vertical="top" wrapText="1"/>
    </xf>
    <xf numFmtId="0" fontId="9" fillId="0" borderId="73" xfId="0" applyFont="1" applyBorder="1" applyAlignment="1">
      <alignment horizontal="center" vertical="center" wrapText="1"/>
    </xf>
    <xf numFmtId="0" fontId="9" fillId="0" borderId="14" xfId="0" applyFont="1" applyBorder="1" applyAlignment="1">
      <alignment horizontal="center" vertical="center" wrapText="1"/>
    </xf>
    <xf numFmtId="184" fontId="8" fillId="0" borderId="106" xfId="0" applyNumberFormat="1" applyFont="1" applyBorder="1" applyAlignment="1">
      <alignment horizontal="right" vertical="center" wrapText="1"/>
    </xf>
    <xf numFmtId="38" fontId="8" fillId="0" borderId="106" xfId="50" applyFont="1" applyBorder="1" applyAlignment="1">
      <alignment horizontal="center" vertical="center"/>
    </xf>
    <xf numFmtId="38" fontId="8" fillId="0" borderId="106" xfId="50" applyFont="1" applyBorder="1" applyAlignment="1">
      <alignment vertical="center"/>
    </xf>
    <xf numFmtId="184" fontId="8" fillId="0" borderId="108" xfId="0" applyNumberFormat="1" applyFont="1" applyBorder="1" applyAlignment="1">
      <alignment horizontal="right" vertical="center" wrapText="1"/>
    </xf>
    <xf numFmtId="38" fontId="8" fillId="0" borderId="108" xfId="50" applyFont="1" applyBorder="1" applyAlignment="1">
      <alignment horizontal="center" vertical="center"/>
    </xf>
    <xf numFmtId="38" fontId="8" fillId="0" borderId="108" xfId="50" applyFont="1" applyBorder="1" applyAlignment="1">
      <alignment vertical="center"/>
    </xf>
    <xf numFmtId="184" fontId="8" fillId="0" borderId="110" xfId="0" applyNumberFormat="1" applyFont="1" applyBorder="1" applyAlignment="1">
      <alignment horizontal="right" vertical="center" wrapText="1"/>
    </xf>
    <xf numFmtId="38" fontId="8" fillId="0" borderId="110" xfId="50" applyFont="1" applyBorder="1" applyAlignment="1">
      <alignment horizontal="center" vertical="center"/>
    </xf>
    <xf numFmtId="38" fontId="8" fillId="0" borderId="110" xfId="50" applyFont="1" applyBorder="1" applyAlignment="1">
      <alignment vertical="center"/>
    </xf>
    <xf numFmtId="184" fontId="8" fillId="0" borderId="104" xfId="0" applyNumberFormat="1" applyFont="1" applyBorder="1" applyAlignment="1">
      <alignment horizontal="right" vertical="center" wrapText="1"/>
    </xf>
    <xf numFmtId="184" fontId="8" fillId="0" borderId="10" xfId="0" applyNumberFormat="1" applyFont="1" applyBorder="1" applyAlignment="1">
      <alignment vertical="center" wrapText="1"/>
    </xf>
    <xf numFmtId="184" fontId="5" fillId="0" borderId="10" xfId="0" applyNumberFormat="1" applyFont="1" applyBorder="1" applyAlignment="1">
      <alignment vertical="center" wrapText="1"/>
    </xf>
    <xf numFmtId="38" fontId="8" fillId="0" borderId="10" xfId="50" applyFont="1" applyBorder="1" applyAlignment="1">
      <alignment vertical="center"/>
    </xf>
    <xf numFmtId="184" fontId="5" fillId="0" borderId="10" xfId="0" applyNumberFormat="1" applyFont="1" applyBorder="1" applyAlignment="1">
      <alignment vertical="center" shrinkToFit="1"/>
    </xf>
    <xf numFmtId="190" fontId="8" fillId="0" borderId="10" xfId="50" applyNumberFormat="1" applyFont="1" applyBorder="1" applyAlignment="1">
      <alignment vertical="center"/>
    </xf>
    <xf numFmtId="191" fontId="8" fillId="0" borderId="10" xfId="50" applyNumberFormat="1" applyFont="1" applyBorder="1" applyAlignment="1">
      <alignment vertical="center"/>
    </xf>
    <xf numFmtId="0" fontId="5" fillId="0" borderId="10" xfId="0" applyFont="1" applyBorder="1" applyAlignment="1">
      <alignment vertical="center"/>
    </xf>
    <xf numFmtId="184" fontId="8" fillId="0" borderId="106" xfId="0" applyNumberFormat="1" applyFont="1" applyBorder="1" applyAlignment="1">
      <alignment horizontal="right" vertical="center"/>
    </xf>
    <xf numFmtId="0" fontId="4" fillId="0" borderId="106" xfId="0" applyFont="1" applyBorder="1" applyAlignment="1" applyProtection="1">
      <alignment horizontal="center" vertical="center" wrapText="1"/>
      <protection locked="0"/>
    </xf>
    <xf numFmtId="184" fontId="8" fillId="0" borderId="108" xfId="0" applyNumberFormat="1" applyFont="1" applyBorder="1" applyAlignment="1">
      <alignment horizontal="right" vertical="center"/>
    </xf>
    <xf numFmtId="0" fontId="4" fillId="0" borderId="108" xfId="0" applyFont="1" applyBorder="1" applyAlignment="1" applyProtection="1">
      <alignment horizontal="center" vertical="center" wrapText="1"/>
      <protection locked="0"/>
    </xf>
    <xf numFmtId="184" fontId="8" fillId="0" borderId="110" xfId="0" applyNumberFormat="1" applyFont="1" applyBorder="1" applyAlignment="1">
      <alignment horizontal="right" vertical="center"/>
    </xf>
    <xf numFmtId="0" fontId="4" fillId="0" borderId="110" xfId="0" applyFont="1" applyBorder="1" applyAlignment="1" applyProtection="1">
      <alignment horizontal="center" vertical="center" wrapText="1"/>
      <protection locked="0"/>
    </xf>
    <xf numFmtId="0" fontId="9" fillId="0" borderId="10" xfId="0" applyFont="1" applyBorder="1" applyAlignment="1">
      <alignment vertical="center" wrapText="1"/>
    </xf>
    <xf numFmtId="0" fontId="133" fillId="0" borderId="10" xfId="0" applyFont="1" applyBorder="1" applyAlignment="1">
      <alignment horizontal="center" vertical="center"/>
    </xf>
    <xf numFmtId="38" fontId="8" fillId="0" borderId="10" xfId="50" applyFont="1" applyBorder="1" applyAlignment="1">
      <alignment horizontal="right" vertical="center"/>
    </xf>
    <xf numFmtId="38" fontId="8" fillId="0" borderId="10" xfId="0" applyNumberFormat="1" applyFont="1" applyBorder="1" applyAlignment="1">
      <alignment vertical="center" shrinkToFit="1"/>
    </xf>
    <xf numFmtId="38" fontId="8" fillId="0" borderId="27" xfId="0" applyNumberFormat="1" applyFont="1" applyBorder="1" applyAlignment="1">
      <alignment vertical="center" shrinkToFit="1"/>
    </xf>
    <xf numFmtId="0" fontId="133" fillId="0" borderId="27" xfId="0" applyFont="1" applyBorder="1" applyAlignment="1">
      <alignment horizontal="center" vertical="center"/>
    </xf>
    <xf numFmtId="190" fontId="133" fillId="0" borderId="10" xfId="0" applyNumberFormat="1" applyFont="1" applyBorder="1" applyAlignment="1">
      <alignment horizontal="center" vertical="center"/>
    </xf>
    <xf numFmtId="184" fontId="133" fillId="0" borderId="87" xfId="0" applyNumberFormat="1" applyFont="1" applyBorder="1" applyAlignment="1">
      <alignment horizontal="right" vertical="center"/>
    </xf>
    <xf numFmtId="184" fontId="8" fillId="0" borderId="117" xfId="0" applyNumberFormat="1" applyFont="1" applyBorder="1" applyAlignment="1">
      <alignment horizontal="right" vertical="center"/>
    </xf>
    <xf numFmtId="0" fontId="23" fillId="0" borderId="118" xfId="0" applyFont="1" applyBorder="1" applyAlignment="1" applyProtection="1">
      <alignment horizontal="center" vertical="center" wrapText="1"/>
      <protection locked="0"/>
    </xf>
    <xf numFmtId="184" fontId="8" fillId="0" borderId="119" xfId="0" applyNumberFormat="1" applyFont="1" applyBorder="1" applyAlignment="1">
      <alignment horizontal="right" vertical="center"/>
    </xf>
    <xf numFmtId="0" fontId="23" fillId="0" borderId="120" xfId="0" applyFont="1" applyBorder="1" applyAlignment="1" applyProtection="1">
      <alignment horizontal="center" vertical="center" wrapText="1"/>
      <protection locked="0"/>
    </xf>
    <xf numFmtId="184" fontId="8" fillId="0" borderId="121" xfId="0" applyNumberFormat="1" applyFont="1" applyBorder="1" applyAlignment="1">
      <alignment horizontal="right" vertical="center"/>
    </xf>
    <xf numFmtId="0" fontId="23" fillId="0" borderId="122" xfId="0" applyFont="1" applyBorder="1" applyAlignment="1" applyProtection="1">
      <alignment horizontal="center" vertical="center" wrapText="1"/>
      <protection locked="0"/>
    </xf>
    <xf numFmtId="184" fontId="8" fillId="0" borderId="123" xfId="0" applyNumberFormat="1" applyFont="1" applyBorder="1" applyAlignment="1">
      <alignment horizontal="right" vertical="center"/>
    </xf>
    <xf numFmtId="0" fontId="130" fillId="0" borderId="0" xfId="0" applyFont="1" applyAlignment="1" applyProtection="1">
      <alignment horizontal="center" vertical="center"/>
      <protection locked="0"/>
    </xf>
    <xf numFmtId="184" fontId="8" fillId="0" borderId="88" xfId="0" applyNumberFormat="1" applyFont="1" applyBorder="1" applyAlignment="1">
      <alignment horizontal="right" vertical="center" wrapText="1"/>
    </xf>
    <xf numFmtId="38" fontId="8" fillId="0" borderId="124" xfId="50" applyFont="1" applyBorder="1" applyAlignment="1">
      <alignment vertical="center"/>
    </xf>
    <xf numFmtId="184" fontId="8" fillId="0" borderId="62" xfId="0" applyNumberFormat="1" applyFont="1" applyBorder="1" applyAlignment="1">
      <alignment horizontal="right" vertical="center" wrapText="1"/>
    </xf>
    <xf numFmtId="38" fontId="8" fillId="0" borderId="125" xfId="50" applyFont="1" applyBorder="1" applyAlignment="1">
      <alignment vertical="center"/>
    </xf>
    <xf numFmtId="38" fontId="8" fillId="0" borderId="126" xfId="50" applyFont="1" applyBorder="1" applyAlignment="1">
      <alignment vertical="center"/>
    </xf>
    <xf numFmtId="38" fontId="8" fillId="0" borderId="51" xfId="50" applyFont="1" applyBorder="1" applyAlignment="1">
      <alignment vertical="center"/>
    </xf>
    <xf numFmtId="184" fontId="8" fillId="0" borderId="51" xfId="0" applyNumberFormat="1" applyFont="1" applyBorder="1" applyAlignment="1">
      <alignment horizontal="center" vertical="center"/>
    </xf>
    <xf numFmtId="184" fontId="8" fillId="0" borderId="62" xfId="0" applyNumberFormat="1" applyFont="1" applyBorder="1" applyAlignment="1">
      <alignment horizontal="right" vertical="center"/>
    </xf>
    <xf numFmtId="184" fontId="8" fillId="0" borderId="127" xfId="0" applyNumberFormat="1" applyFont="1" applyBorder="1" applyAlignment="1">
      <alignment horizontal="right" vertical="center"/>
    </xf>
    <xf numFmtId="184" fontId="8" fillId="0" borderId="63" xfId="0" applyNumberFormat="1" applyFont="1" applyBorder="1" applyAlignment="1">
      <alignment horizontal="center" vertical="center"/>
    </xf>
    <xf numFmtId="184" fontId="8" fillId="0" borderId="128" xfId="0" applyNumberFormat="1" applyFont="1" applyBorder="1" applyAlignment="1">
      <alignment horizontal="center" vertical="center"/>
    </xf>
    <xf numFmtId="184" fontId="8" fillId="0" borderId="129" xfId="0" applyNumberFormat="1" applyFont="1" applyBorder="1" applyAlignment="1">
      <alignment horizontal="right" vertical="center" wrapText="1"/>
    </xf>
    <xf numFmtId="38" fontId="8" fillId="0" borderId="130" xfId="50" applyFont="1" applyBorder="1" applyAlignment="1">
      <alignment vertical="center"/>
    </xf>
    <xf numFmtId="38" fontId="8" fillId="0" borderId="131" xfId="50" applyFont="1" applyBorder="1" applyAlignment="1">
      <alignment vertical="center"/>
    </xf>
    <xf numFmtId="38" fontId="8" fillId="0" borderId="52" xfId="50" applyFont="1" applyBorder="1" applyAlignment="1">
      <alignment vertical="center"/>
    </xf>
    <xf numFmtId="184" fontId="8" fillId="0" borderId="52" xfId="0" applyNumberFormat="1" applyFont="1" applyBorder="1" applyAlignment="1">
      <alignment horizontal="center" vertical="center"/>
    </xf>
    <xf numFmtId="184" fontId="8" fillId="0" borderId="129" xfId="0" applyNumberFormat="1" applyFont="1" applyBorder="1" applyAlignment="1">
      <alignment horizontal="right" vertical="center"/>
    </xf>
    <xf numFmtId="184" fontId="8" fillId="0" borderId="132" xfId="0" applyNumberFormat="1" applyFont="1" applyBorder="1" applyAlignment="1">
      <alignment horizontal="right" vertical="center"/>
    </xf>
    <xf numFmtId="184" fontId="8" fillId="0" borderId="66" xfId="0" applyNumberFormat="1" applyFont="1" applyBorder="1" applyAlignment="1">
      <alignment horizontal="center" vertical="center"/>
    </xf>
    <xf numFmtId="184" fontId="8" fillId="0" borderId="133" xfId="0" applyNumberFormat="1" applyFont="1" applyBorder="1" applyAlignment="1">
      <alignment horizontal="right" vertical="center" wrapText="1"/>
    </xf>
    <xf numFmtId="184" fontId="8" fillId="0" borderId="134" xfId="0" applyNumberFormat="1" applyFont="1" applyBorder="1" applyAlignment="1">
      <alignment horizontal="right" vertical="center" wrapText="1"/>
    </xf>
    <xf numFmtId="0" fontId="8" fillId="0" borderId="104" xfId="0" applyFont="1" applyBorder="1" applyAlignment="1" applyProtection="1">
      <alignment horizontal="center" vertical="center"/>
      <protection locked="0"/>
    </xf>
    <xf numFmtId="184" fontId="8" fillId="0" borderId="135" xfId="0" applyNumberFormat="1" applyFont="1" applyBorder="1" applyAlignment="1" applyProtection="1">
      <alignment horizontal="center" vertical="center"/>
      <protection locked="0"/>
    </xf>
    <xf numFmtId="184" fontId="8" fillId="0" borderId="136" xfId="0" applyNumberFormat="1" applyFont="1" applyBorder="1" applyAlignment="1" applyProtection="1">
      <alignment horizontal="right" vertical="center"/>
      <protection locked="0"/>
    </xf>
    <xf numFmtId="0" fontId="8" fillId="0" borderId="137" xfId="0" applyFont="1" applyBorder="1" applyAlignment="1" applyProtection="1">
      <alignment horizontal="center" vertical="center"/>
      <protection locked="0"/>
    </xf>
    <xf numFmtId="0" fontId="155" fillId="0" borderId="138" xfId="0" applyFont="1" applyBorder="1" applyAlignment="1" applyProtection="1">
      <alignment vertical="center"/>
      <protection locked="0"/>
    </xf>
    <xf numFmtId="184" fontId="153" fillId="0" borderId="139" xfId="0" applyNumberFormat="1" applyFont="1" applyBorder="1" applyAlignment="1">
      <alignment vertical="center"/>
    </xf>
    <xf numFmtId="184" fontId="153" fillId="0" borderId="140" xfId="0" applyNumberFormat="1" applyFont="1" applyBorder="1" applyAlignment="1">
      <alignment vertical="center"/>
    </xf>
    <xf numFmtId="0" fontId="155" fillId="0" borderId="141" xfId="0" applyFont="1" applyBorder="1" applyAlignment="1" applyProtection="1">
      <alignment horizontal="center" vertical="center"/>
      <protection locked="0"/>
    </xf>
    <xf numFmtId="184" fontId="153" fillId="0" borderId="142" xfId="0" applyNumberFormat="1" applyFont="1" applyBorder="1" applyAlignment="1">
      <alignment vertical="center"/>
    </xf>
    <xf numFmtId="184" fontId="153" fillId="0" borderId="143" xfId="0" applyNumberFormat="1" applyFont="1" applyBorder="1" applyAlignment="1">
      <alignment vertical="center"/>
    </xf>
    <xf numFmtId="0" fontId="9" fillId="0" borderId="144" xfId="0" applyFont="1" applyBorder="1" applyAlignment="1" applyProtection="1">
      <alignment horizontal="center" vertical="center"/>
      <protection locked="0"/>
    </xf>
    <xf numFmtId="184" fontId="13" fillId="0" borderId="0" xfId="0" applyNumberFormat="1" applyFont="1" applyAlignment="1" applyProtection="1">
      <alignment horizontal="left" vertical="center" wrapText="1"/>
      <protection locked="0"/>
    </xf>
    <xf numFmtId="184" fontId="8" fillId="0" borderId="0" xfId="0" applyNumberFormat="1" applyFont="1" applyAlignment="1">
      <alignment horizontal="right" vertical="center"/>
    </xf>
    <xf numFmtId="184" fontId="128" fillId="0" borderId="145" xfId="0" applyNumberFormat="1" applyFont="1" applyBorder="1" applyAlignment="1">
      <alignment vertical="center"/>
    </xf>
    <xf numFmtId="184" fontId="5" fillId="0" borderId="0" xfId="0" applyNumberFormat="1" applyFont="1" applyAlignment="1" applyProtection="1">
      <alignment wrapText="1" shrinkToFit="1"/>
      <protection locked="0"/>
    </xf>
    <xf numFmtId="184" fontId="5" fillId="0" borderId="0" xfId="0" applyNumberFormat="1" applyFont="1" applyAlignment="1" applyProtection="1">
      <alignment shrinkToFit="1"/>
      <protection locked="0"/>
    </xf>
    <xf numFmtId="184" fontId="128" fillId="0" borderId="146" xfId="0" applyNumberFormat="1" applyFont="1" applyBorder="1" applyAlignment="1">
      <alignment vertical="center"/>
    </xf>
    <xf numFmtId="0" fontId="120" fillId="0" borderId="0" xfId="0" applyFont="1" applyAlignment="1" applyProtection="1">
      <alignment vertical="center"/>
      <protection locked="0"/>
    </xf>
    <xf numFmtId="184" fontId="14" fillId="0" borderId="103" xfId="0" applyNumberFormat="1" applyFont="1" applyBorder="1" applyAlignment="1">
      <alignment vertical="center"/>
    </xf>
    <xf numFmtId="184" fontId="154" fillId="0" borderId="103" xfId="0" applyNumberFormat="1" applyFont="1" applyBorder="1" applyAlignment="1">
      <alignment vertical="center"/>
    </xf>
    <xf numFmtId="184" fontId="154" fillId="0" borderId="147" xfId="0" applyNumberFormat="1" applyFont="1" applyBorder="1" applyAlignment="1">
      <alignment vertical="center"/>
    </xf>
    <xf numFmtId="190" fontId="13" fillId="0" borderId="148" xfId="50" applyNumberFormat="1" applyFont="1" applyBorder="1" applyAlignment="1">
      <alignment vertical="center" wrapText="1"/>
    </xf>
    <xf numFmtId="190" fontId="13" fillId="0" borderId="12" xfId="50" applyNumberFormat="1" applyFont="1" applyBorder="1" applyAlignment="1">
      <alignment vertic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vertical="center" wrapText="1"/>
    </xf>
    <xf numFmtId="190" fontId="13" fillId="0" borderId="10" xfId="0" applyNumberFormat="1" applyFont="1" applyBorder="1" applyAlignment="1">
      <alignment vertical="center"/>
    </xf>
    <xf numFmtId="0" fontId="13" fillId="0" borderId="27" xfId="0" applyFont="1" applyBorder="1" applyAlignment="1">
      <alignment vertical="center" wrapText="1"/>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9" fillId="0" borderId="62" xfId="0" applyFont="1" applyBorder="1" applyAlignment="1">
      <alignment horizontal="center" vertical="center"/>
    </xf>
    <xf numFmtId="3" fontId="9" fillId="0" borderId="149" xfId="0" applyNumberFormat="1" applyFont="1" applyBorder="1" applyAlignment="1">
      <alignment vertical="center"/>
    </xf>
    <xf numFmtId="0" fontId="108" fillId="42" borderId="56" xfId="0" applyFont="1" applyFill="1" applyBorder="1" applyAlignment="1">
      <alignment vertical="center"/>
    </xf>
    <xf numFmtId="0" fontId="93" fillId="42" borderId="54" xfId="44" applyFill="1" applyBorder="1" applyAlignment="1" applyProtection="1">
      <alignment horizontal="left" vertical="center" indent="1"/>
      <protection/>
    </xf>
    <xf numFmtId="0" fontId="116" fillId="42" borderId="55" xfId="0" applyFont="1" applyFill="1" applyBorder="1" applyAlignment="1">
      <alignment vertical="center"/>
    </xf>
    <xf numFmtId="0" fontId="93" fillId="42" borderId="57" xfId="44" applyFill="1" applyBorder="1" applyAlignment="1" applyProtection="1">
      <alignment horizontal="left" vertical="center" indent="1"/>
      <protection/>
    </xf>
    <xf numFmtId="0" fontId="116" fillId="42" borderId="0" xfId="0" applyFont="1" applyFill="1" applyAlignment="1">
      <alignment vertical="center"/>
    </xf>
    <xf numFmtId="0" fontId="108" fillId="42" borderId="58" xfId="0" applyFont="1" applyFill="1" applyBorder="1" applyAlignment="1">
      <alignment vertical="center"/>
    </xf>
    <xf numFmtId="0" fontId="93" fillId="42" borderId="0" xfId="44" applyFill="1" applyAlignment="1" applyProtection="1">
      <alignment vertical="center"/>
      <protection/>
    </xf>
    <xf numFmtId="188" fontId="7" fillId="36" borderId="14" xfId="0" applyNumberFormat="1" applyFont="1" applyFill="1" applyBorder="1" applyAlignment="1" applyProtection="1">
      <alignment vertical="center" shrinkToFit="1"/>
      <protection locked="0"/>
    </xf>
    <xf numFmtId="185" fontId="7" fillId="36" borderId="16" xfId="0" applyNumberFormat="1" applyFont="1" applyFill="1" applyBorder="1" applyAlignment="1" applyProtection="1">
      <alignment horizontal="center" vertical="center" shrinkToFit="1"/>
      <protection locked="0"/>
    </xf>
    <xf numFmtId="0" fontId="116" fillId="36" borderId="10" xfId="0" applyFont="1" applyFill="1" applyBorder="1" applyAlignment="1" applyProtection="1">
      <alignment horizontal="left" vertical="center" wrapText="1"/>
      <protection locked="0"/>
    </xf>
    <xf numFmtId="185" fontId="7" fillId="36" borderId="10" xfId="0" applyNumberFormat="1" applyFont="1" applyFill="1" applyBorder="1" applyAlignment="1" applyProtection="1">
      <alignment horizontal="center" vertical="center" shrinkToFit="1"/>
      <protection locked="0"/>
    </xf>
    <xf numFmtId="184" fontId="7" fillId="36" borderId="14"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13" fillId="0" borderId="0" xfId="0" applyFont="1" applyBorder="1" applyAlignment="1">
      <alignment vertical="center" wrapText="1"/>
    </xf>
    <xf numFmtId="190" fontId="13" fillId="0" borderId="150" xfId="50" applyNumberFormat="1" applyFont="1" applyBorder="1" applyAlignment="1">
      <alignment vertical="center" wrapText="1"/>
    </xf>
    <xf numFmtId="190" fontId="13" fillId="0" borderId="151" xfId="50" applyNumberFormat="1" applyFont="1" applyBorder="1" applyAlignment="1">
      <alignment vertical="center" wrapText="1"/>
    </xf>
    <xf numFmtId="190" fontId="13" fillId="0" borderId="152" xfId="50" applyNumberFormat="1" applyFont="1" applyBorder="1" applyAlignment="1">
      <alignment vertical="center" wrapText="1"/>
    </xf>
    <xf numFmtId="0" fontId="0" fillId="0" borderId="87" xfId="0" applyBorder="1" applyAlignment="1">
      <alignment horizontal="center" vertical="center" wrapText="1"/>
    </xf>
    <xf numFmtId="0" fontId="0" fillId="0" borderId="27" xfId="0" applyBorder="1" applyAlignment="1">
      <alignment horizontal="center" vertical="center" wrapText="1"/>
    </xf>
    <xf numFmtId="0" fontId="4" fillId="0" borderId="10" xfId="0" applyFont="1" applyBorder="1" applyAlignment="1">
      <alignment vertical="center"/>
    </xf>
    <xf numFmtId="38" fontId="108" fillId="36" borderId="87" xfId="50" applyFont="1" applyFill="1" applyBorder="1" applyAlignment="1" applyProtection="1">
      <alignment vertical="center" shrinkToFit="1"/>
      <protection locked="0"/>
    </xf>
    <xf numFmtId="38" fontId="108" fillId="36" borderId="27" xfId="50" applyFont="1" applyFill="1" applyBorder="1" applyAlignment="1" applyProtection="1">
      <alignment vertical="center" shrinkToFit="1"/>
      <protection locked="0"/>
    </xf>
    <xf numFmtId="0" fontId="0" fillId="0" borderId="64" xfId="0" applyBorder="1" applyAlignment="1">
      <alignment horizontal="center" vertical="center" wrapText="1"/>
    </xf>
    <xf numFmtId="0" fontId="0" fillId="0" borderId="14" xfId="0" applyBorder="1" applyAlignment="1">
      <alignment horizontal="center" vertical="center" wrapText="1"/>
    </xf>
    <xf numFmtId="38" fontId="0" fillId="0" borderId="64" xfId="50" applyBorder="1" applyAlignment="1">
      <alignment horizontal="center" vertical="center" wrapText="1"/>
    </xf>
    <xf numFmtId="38" fontId="0" fillId="0" borderId="14" xfId="50" applyBorder="1" applyAlignment="1">
      <alignment horizontal="center" vertical="center" wrapText="1"/>
    </xf>
    <xf numFmtId="38" fontId="0" fillId="0" borderId="87" xfId="50" applyBorder="1" applyAlignment="1">
      <alignment horizontal="center" vertical="center" wrapText="1"/>
    </xf>
    <xf numFmtId="38" fontId="0" fillId="0" borderId="153" xfId="50" applyBorder="1" applyAlignment="1">
      <alignment horizontal="center" vertical="center" wrapText="1"/>
    </xf>
    <xf numFmtId="38" fontId="0" fillId="0" borderId="27" xfId="50" applyBorder="1" applyAlignment="1">
      <alignment horizontal="center" vertical="center" wrapText="1"/>
    </xf>
    <xf numFmtId="0" fontId="4" fillId="36" borderId="57" xfId="0" applyFont="1" applyFill="1" applyBorder="1" applyAlignment="1">
      <alignment horizontal="center" vertical="center"/>
    </xf>
    <xf numFmtId="0" fontId="4" fillId="36" borderId="0" xfId="0" applyFont="1" applyFill="1" applyAlignment="1">
      <alignment horizontal="center" vertical="center"/>
    </xf>
    <xf numFmtId="0" fontId="4" fillId="36" borderId="59" xfId="0" applyFont="1" applyFill="1" applyBorder="1" applyAlignment="1">
      <alignment horizontal="center" vertical="center"/>
    </xf>
    <xf numFmtId="0" fontId="4" fillId="36" borderId="60" xfId="0" applyFont="1" applyFill="1" applyBorder="1" applyAlignment="1">
      <alignment horizontal="center" vertical="center"/>
    </xf>
    <xf numFmtId="0" fontId="21" fillId="36" borderId="54" xfId="0" applyFont="1" applyFill="1" applyBorder="1" applyAlignment="1">
      <alignment horizontal="center" vertical="top"/>
    </xf>
    <xf numFmtId="0" fontId="21" fillId="36" borderId="55" xfId="0" applyFont="1" applyFill="1" applyBorder="1" applyAlignment="1">
      <alignment horizontal="center" vertical="top"/>
    </xf>
    <xf numFmtId="0" fontId="21" fillId="36" borderId="57" xfId="0" applyFont="1" applyFill="1" applyBorder="1" applyAlignment="1">
      <alignment horizontal="center" vertical="top"/>
    </xf>
    <xf numFmtId="0" fontId="21" fillId="36" borderId="0" xfId="0" applyFont="1" applyFill="1" applyAlignment="1">
      <alignment horizontal="center" vertical="top"/>
    </xf>
    <xf numFmtId="0" fontId="21" fillId="36" borderId="59" xfId="0" applyFont="1" applyFill="1" applyBorder="1" applyAlignment="1">
      <alignment horizontal="center" vertical="top"/>
    </xf>
    <xf numFmtId="0" fontId="21" fillId="36" borderId="60" xfId="0" applyFont="1" applyFill="1" applyBorder="1" applyAlignment="1">
      <alignment horizontal="center" vertical="top"/>
    </xf>
    <xf numFmtId="189" fontId="4" fillId="36" borderId="87" xfId="0" applyNumberFormat="1" applyFont="1" applyFill="1" applyBorder="1" applyAlignment="1" applyProtection="1">
      <alignment vertical="center" shrinkToFit="1"/>
      <protection locked="0"/>
    </xf>
    <xf numFmtId="189" fontId="4" fillId="36" borderId="153" xfId="0" applyNumberFormat="1" applyFont="1" applyFill="1" applyBorder="1" applyAlignment="1" applyProtection="1">
      <alignment vertical="center" shrinkToFit="1"/>
      <protection locked="0"/>
    </xf>
    <xf numFmtId="189" fontId="4" fillId="36" borderId="27" xfId="0" applyNumberFormat="1" applyFont="1" applyFill="1" applyBorder="1" applyAlignment="1" applyProtection="1">
      <alignment vertical="center" shrinkToFit="1"/>
      <protection locked="0"/>
    </xf>
    <xf numFmtId="0" fontId="4" fillId="0" borderId="87" xfId="0" applyFont="1" applyBorder="1" applyAlignment="1">
      <alignment vertical="center"/>
    </xf>
    <xf numFmtId="0" fontId="4" fillId="0" borderId="27" xfId="0" applyFont="1" applyBorder="1" applyAlignment="1">
      <alignment vertical="center"/>
    </xf>
    <xf numFmtId="0" fontId="0" fillId="0" borderId="87" xfId="0" applyBorder="1" applyAlignment="1">
      <alignment horizontal="center" vertical="center"/>
    </xf>
    <xf numFmtId="0" fontId="0" fillId="0" borderId="27" xfId="0" applyBorder="1" applyAlignment="1">
      <alignment horizontal="center" vertical="center"/>
    </xf>
    <xf numFmtId="184" fontId="127" fillId="0" borderId="154" xfId="0" applyNumberFormat="1" applyFont="1" applyBorder="1" applyAlignment="1">
      <alignment vertical="center" wrapText="1"/>
    </xf>
    <xf numFmtId="184" fontId="127" fillId="0" borderId="0" xfId="0" applyNumberFormat="1" applyFont="1" applyAlignment="1">
      <alignment vertical="center" wrapText="1"/>
    </xf>
    <xf numFmtId="0" fontId="127" fillId="0" borderId="154" xfId="0" applyFont="1" applyBorder="1" applyAlignment="1">
      <alignment vertical="center" wrapText="1"/>
    </xf>
    <xf numFmtId="0" fontId="127" fillId="0" borderId="0" xfId="0" applyFont="1" applyAlignment="1">
      <alignment vertical="center" wrapText="1"/>
    </xf>
    <xf numFmtId="0" fontId="156" fillId="0" borderId="10" xfId="0" applyFont="1" applyBorder="1" applyAlignment="1">
      <alignment horizontal="center" vertical="top" textRotation="255" wrapText="1"/>
    </xf>
    <xf numFmtId="0" fontId="156" fillId="0" borderId="10" xfId="0" applyFont="1" applyBorder="1" applyAlignment="1">
      <alignment horizontal="center" vertical="top" textRotation="255"/>
    </xf>
    <xf numFmtId="0" fontId="156" fillId="0" borderId="87" xfId="0" applyFont="1" applyBorder="1" applyAlignment="1">
      <alignment horizontal="center" vertical="top" textRotation="255"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62" xfId="0" applyFont="1" applyBorder="1" applyAlignment="1">
      <alignment vertical="center" wrapText="1"/>
    </xf>
    <xf numFmtId="0" fontId="9" fillId="0" borderId="51" xfId="0" applyFont="1" applyBorder="1" applyAlignment="1">
      <alignment vertical="center" wrapText="1"/>
    </xf>
    <xf numFmtId="203" fontId="119" fillId="0" borderId="0" xfId="0" applyNumberFormat="1" applyFont="1" applyAlignment="1">
      <alignment horizontal="right" vertical="center"/>
    </xf>
    <xf numFmtId="0" fontId="127" fillId="0" borderId="27" xfId="0" applyFont="1" applyBorder="1" applyAlignment="1">
      <alignment horizontal="center" vertical="center"/>
    </xf>
    <xf numFmtId="0" fontId="127" fillId="0" borderId="10" xfId="0" applyFont="1" applyBorder="1" applyAlignment="1">
      <alignment horizontal="center" vertical="center"/>
    </xf>
    <xf numFmtId="0" fontId="128" fillId="0" borderId="10" xfId="0" applyFont="1" applyBorder="1" applyAlignment="1">
      <alignment horizontal="center" vertical="center"/>
    </xf>
    <xf numFmtId="0" fontId="128" fillId="0" borderId="64" xfId="0" applyFont="1" applyBorder="1" applyAlignment="1">
      <alignment horizontal="center" vertical="center"/>
    </xf>
    <xf numFmtId="0" fontId="128" fillId="0" borderId="0" xfId="0" applyFont="1" applyAlignment="1" applyProtection="1">
      <alignment vertical="center" wrapText="1"/>
      <protection locked="0"/>
    </xf>
    <xf numFmtId="0" fontId="128" fillId="0" borderId="0" xfId="0" applyFont="1" applyAlignment="1" applyProtection="1">
      <alignment vertical="center"/>
      <protection locked="0"/>
    </xf>
    <xf numFmtId="0" fontId="154" fillId="0" borderId="0" xfId="0" applyFont="1" applyAlignment="1">
      <alignment vertical="center"/>
    </xf>
    <xf numFmtId="0" fontId="7" fillId="0" borderId="41"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155" xfId="0" applyFont="1" applyBorder="1" applyAlignment="1" applyProtection="1">
      <alignment horizontal="center" vertical="top" wrapText="1"/>
      <protection locked="0"/>
    </xf>
    <xf numFmtId="0" fontId="7" fillId="0" borderId="64"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127" fillId="0" borderId="36" xfId="0" applyFont="1" applyBorder="1" applyAlignment="1" applyProtection="1">
      <alignment horizontal="center" vertical="center"/>
      <protection locked="0"/>
    </xf>
    <xf numFmtId="0" fontId="127" fillId="0" borderId="10" xfId="0" applyFont="1" applyBorder="1" applyAlignment="1" applyProtection="1">
      <alignment horizontal="center" vertical="center"/>
      <protection locked="0"/>
    </xf>
    <xf numFmtId="184" fontId="140" fillId="0" borderId="0" xfId="0" applyNumberFormat="1" applyFont="1" applyAlignment="1" applyProtection="1">
      <alignment horizontal="center" vertical="center"/>
      <protection locked="0"/>
    </xf>
    <xf numFmtId="184" fontId="140" fillId="0" borderId="156" xfId="0" applyNumberFormat="1" applyFont="1" applyBorder="1" applyAlignment="1" applyProtection="1">
      <alignment horizontal="center" vertical="center"/>
      <protection locked="0"/>
    </xf>
    <xf numFmtId="0" fontId="130" fillId="6" borderId="157" xfId="0" applyFont="1" applyFill="1" applyBorder="1" applyAlignment="1" applyProtection="1">
      <alignment horizontal="center" vertical="top" wrapText="1"/>
      <protection locked="0"/>
    </xf>
    <xf numFmtId="0" fontId="0" fillId="0" borderId="158" xfId="0" applyBorder="1" applyAlignment="1">
      <alignment horizontal="center" vertical="top"/>
    </xf>
    <xf numFmtId="0" fontId="30" fillId="0" borderId="159" xfId="0" applyFont="1" applyBorder="1" applyAlignment="1">
      <alignment horizontal="center" vertical="center"/>
    </xf>
    <xf numFmtId="0" fontId="30" fillId="0" borderId="160" xfId="0" applyFont="1" applyBorder="1" applyAlignment="1">
      <alignment horizontal="center" vertical="center"/>
    </xf>
    <xf numFmtId="190" fontId="4" fillId="0" borderId="161" xfId="50" applyNumberFormat="1" applyFont="1" applyBorder="1" applyAlignment="1">
      <alignment horizontal="left" vertical="top" wrapText="1"/>
    </xf>
    <xf numFmtId="190" fontId="4" fillId="0" borderId="162" xfId="50" applyNumberFormat="1" applyFont="1" applyBorder="1" applyAlignment="1">
      <alignment horizontal="left" vertical="top" wrapText="1"/>
    </xf>
    <xf numFmtId="0" fontId="157" fillId="0" borderId="55" xfId="0" applyFont="1" applyBorder="1" applyAlignment="1" applyProtection="1">
      <alignment horizontal="center" vertical="center"/>
      <protection locked="0"/>
    </xf>
    <xf numFmtId="0" fontId="157" fillId="0" borderId="0" xfId="0" applyFont="1" applyAlignment="1" applyProtection="1">
      <alignment horizontal="center" vertical="center"/>
      <protection locked="0"/>
    </xf>
    <xf numFmtId="184" fontId="5" fillId="0" borderId="87" xfId="0" applyNumberFormat="1" applyFont="1" applyBorder="1" applyAlignment="1">
      <alignment vertical="center" wrapText="1"/>
    </xf>
    <xf numFmtId="184" fontId="5" fillId="0" borderId="27" xfId="0" applyNumberFormat="1" applyFont="1" applyBorder="1" applyAlignment="1">
      <alignment vertical="center" wrapText="1"/>
    </xf>
    <xf numFmtId="0" fontId="9" fillId="0" borderId="59" xfId="0" applyFont="1" applyBorder="1" applyAlignment="1">
      <alignment horizontal="center" vertical="center"/>
    </xf>
    <xf numFmtId="0" fontId="9" fillId="0" borderId="47" xfId="0" applyFont="1" applyBorder="1" applyAlignment="1">
      <alignment horizontal="center" vertical="center"/>
    </xf>
    <xf numFmtId="0" fontId="9" fillId="0" borderId="108" xfId="0" applyFont="1" applyBorder="1" applyAlignment="1">
      <alignment vertical="center" wrapText="1"/>
    </xf>
    <xf numFmtId="0" fontId="13" fillId="0" borderId="10" xfId="0" applyFont="1" applyBorder="1" applyAlignment="1">
      <alignment horizontal="center" vertical="center" wrapText="1"/>
    </xf>
    <xf numFmtId="0" fontId="13" fillId="0" borderId="28" xfId="0" applyFont="1" applyBorder="1" applyAlignment="1">
      <alignment horizontal="center" vertical="center" wrapText="1"/>
    </xf>
    <xf numFmtId="0" fontId="157" fillId="0" borderId="156" xfId="0" applyFont="1" applyBorder="1" applyAlignment="1" applyProtection="1">
      <alignment horizontal="center" vertical="center"/>
      <protection locked="0"/>
    </xf>
    <xf numFmtId="190" fontId="30" fillId="0" borderId="159" xfId="50" applyNumberFormat="1" applyFont="1" applyBorder="1" applyAlignment="1">
      <alignment horizontal="center" vertical="center"/>
    </xf>
    <xf numFmtId="190" fontId="30" fillId="0" borderId="160" xfId="50" applyNumberFormat="1" applyFont="1" applyBorder="1" applyAlignment="1">
      <alignment horizontal="center" vertical="center"/>
    </xf>
    <xf numFmtId="0" fontId="9" fillId="0" borderId="88" xfId="0" applyFont="1" applyBorder="1" applyAlignment="1">
      <alignment vertical="center" wrapText="1"/>
    </xf>
    <xf numFmtId="0" fontId="9" fillId="0" borderId="50" xfId="0" applyFont="1" applyBorder="1" applyAlignment="1">
      <alignment vertical="center" wrapText="1"/>
    </xf>
    <xf numFmtId="190" fontId="20" fillId="0" borderId="163" xfId="50" applyNumberFormat="1" applyFont="1" applyBorder="1" applyAlignment="1">
      <alignment horizontal="right" vertical="center" wrapText="1"/>
    </xf>
    <xf numFmtId="190" fontId="20" fillId="0" borderId="164" xfId="50" applyNumberFormat="1" applyFont="1" applyBorder="1" applyAlignment="1">
      <alignment horizontal="right" vertical="center" wrapText="1"/>
    </xf>
    <xf numFmtId="190" fontId="4" fillId="6" borderId="153" xfId="50" applyNumberFormat="1" applyFont="1" applyFill="1" applyBorder="1" applyAlignment="1">
      <alignment horizontal="left" vertical="center" wrapText="1"/>
    </xf>
    <xf numFmtId="190" fontId="4" fillId="6" borderId="27" xfId="50" applyNumberFormat="1" applyFont="1" applyFill="1" applyBorder="1" applyAlignment="1">
      <alignment horizontal="left" vertical="center" wrapText="1"/>
    </xf>
    <xf numFmtId="0" fontId="150" fillId="0" borderId="165" xfId="0" applyFont="1" applyBorder="1" applyAlignment="1">
      <alignment horizontal="center" vertical="center"/>
    </xf>
    <xf numFmtId="0" fontId="153" fillId="0" borderId="139" xfId="0" applyFont="1" applyBorder="1" applyAlignment="1">
      <alignment vertical="center" wrapText="1" shrinkToFit="1"/>
    </xf>
    <xf numFmtId="0" fontId="153" fillId="0" borderId="166" xfId="0" applyFont="1" applyBorder="1" applyAlignment="1">
      <alignment vertical="center" wrapText="1" shrinkToFit="1"/>
    </xf>
    <xf numFmtId="0" fontId="13" fillId="0" borderId="153" xfId="0" applyFont="1" applyBorder="1" applyAlignment="1">
      <alignment horizontal="center" vertical="center"/>
    </xf>
    <xf numFmtId="0" fontId="13" fillId="0" borderId="27" xfId="0" applyFont="1" applyBorder="1" applyAlignment="1">
      <alignment horizontal="center" vertical="center"/>
    </xf>
    <xf numFmtId="0" fontId="13" fillId="0" borderId="87"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27" xfId="0" applyFont="1" applyBorder="1" applyAlignment="1">
      <alignment horizontal="center" vertical="center" wrapText="1"/>
    </xf>
    <xf numFmtId="0" fontId="144" fillId="0" borderId="0" xfId="0" applyFont="1" applyAlignment="1">
      <alignment horizontal="center" vertical="center"/>
    </xf>
    <xf numFmtId="0" fontId="127" fillId="40" borderId="73" xfId="0" applyFont="1" applyFill="1" applyBorder="1" applyAlignment="1" applyProtection="1">
      <alignment horizontal="center" vertical="top" wrapText="1"/>
      <protection locked="0"/>
    </xf>
    <xf numFmtId="0" fontId="9" fillId="6" borderId="64" xfId="0" applyFont="1" applyFill="1" applyBorder="1" applyAlignment="1">
      <alignment horizontal="center" vertical="center"/>
    </xf>
    <xf numFmtId="0" fontId="9" fillId="6" borderId="73" xfId="0" applyFont="1" applyFill="1" applyBorder="1" applyAlignment="1">
      <alignment horizontal="center" vertical="center"/>
    </xf>
    <xf numFmtId="0" fontId="9" fillId="6" borderId="14" xfId="0" applyFont="1" applyFill="1" applyBorder="1" applyAlignment="1">
      <alignment horizontal="center" vertical="center"/>
    </xf>
    <xf numFmtId="0" fontId="9" fillId="0" borderId="64"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14" xfId="0" applyFont="1" applyBorder="1" applyAlignment="1">
      <alignment horizontal="center" vertical="center" wrapText="1"/>
    </xf>
    <xf numFmtId="0" fontId="130" fillId="6" borderId="64" xfId="0" applyFont="1" applyFill="1" applyBorder="1" applyAlignment="1" applyProtection="1">
      <alignment horizontal="center" vertical="center"/>
      <protection locked="0"/>
    </xf>
    <xf numFmtId="0" fontId="130" fillId="6" borderId="73" xfId="0" applyFont="1" applyFill="1" applyBorder="1" applyAlignment="1" applyProtection="1">
      <alignment horizontal="center" vertical="center"/>
      <protection locked="0"/>
    </xf>
    <xf numFmtId="0" fontId="89" fillId="39" borderId="64" xfId="0" applyFont="1" applyFill="1" applyBorder="1" applyAlignment="1" applyProtection="1">
      <alignment horizontal="center" vertical="center" textRotation="255"/>
      <protection locked="0"/>
    </xf>
    <xf numFmtId="0" fontId="89" fillId="39" borderId="73" xfId="0" applyFont="1" applyFill="1" applyBorder="1" applyAlignment="1" applyProtection="1">
      <alignment horizontal="center" vertical="center" textRotation="255"/>
      <protection locked="0"/>
    </xf>
    <xf numFmtId="0" fontId="9" fillId="0" borderId="106" xfId="0" applyFont="1" applyBorder="1" applyAlignment="1">
      <alignment vertical="center" wrapText="1"/>
    </xf>
    <xf numFmtId="38" fontId="8" fillId="0" borderId="64" xfId="50" applyFont="1" applyBorder="1" applyAlignment="1">
      <alignment horizontal="right" vertical="center"/>
    </xf>
    <xf numFmtId="38" fontId="8" fillId="0" borderId="14" xfId="50" applyFont="1" applyBorder="1" applyAlignment="1">
      <alignment horizontal="right" vertical="center"/>
    </xf>
    <xf numFmtId="190" fontId="4" fillId="0" borderId="167" xfId="50" applyNumberFormat="1" applyFont="1" applyBorder="1" applyAlignment="1">
      <alignment vertical="center" wrapText="1"/>
    </xf>
    <xf numFmtId="190" fontId="4" fillId="0" borderId="55" xfId="50" applyNumberFormat="1" applyFont="1" applyBorder="1" applyAlignment="1">
      <alignment vertical="center" wrapText="1"/>
    </xf>
    <xf numFmtId="190" fontId="4" fillId="0" borderId="56" xfId="50" applyNumberFormat="1" applyFont="1" applyBorder="1" applyAlignment="1">
      <alignment vertical="center" wrapText="1"/>
    </xf>
    <xf numFmtId="190" fontId="4" fillId="0" borderId="168" xfId="50" applyNumberFormat="1" applyFont="1" applyBorder="1" applyAlignment="1">
      <alignment vertical="center" wrapText="1"/>
    </xf>
    <xf numFmtId="190" fontId="4" fillId="0" borderId="60" xfId="50" applyNumberFormat="1" applyFont="1" applyBorder="1" applyAlignment="1">
      <alignment vertical="center" wrapText="1"/>
    </xf>
    <xf numFmtId="190" fontId="4" fillId="0" borderId="47" xfId="50" applyNumberFormat="1" applyFont="1" applyBorder="1" applyAlignment="1">
      <alignment vertical="center" wrapText="1"/>
    </xf>
    <xf numFmtId="0" fontId="158" fillId="0" borderId="169" xfId="0" applyFont="1" applyBorder="1" applyAlignment="1">
      <alignment horizontal="right" vertical="center"/>
    </xf>
    <xf numFmtId="0" fontId="150" fillId="0" borderId="170" xfId="0" applyFont="1" applyBorder="1" applyAlignment="1">
      <alignment horizontal="center" vertical="center"/>
    </xf>
    <xf numFmtId="0" fontId="23" fillId="0" borderId="10" xfId="0" applyFont="1" applyBorder="1" applyAlignment="1">
      <alignment vertical="center"/>
    </xf>
    <xf numFmtId="0" fontId="23" fillId="0" borderId="64" xfId="0" applyFont="1" applyBorder="1" applyAlignment="1">
      <alignment vertical="center"/>
    </xf>
    <xf numFmtId="0" fontId="159" fillId="0" borderId="139" xfId="0" applyFont="1" applyBorder="1" applyAlignment="1">
      <alignment vertical="center" wrapText="1" shrinkToFit="1"/>
    </xf>
    <xf numFmtId="0" fontId="159" fillId="0" borderId="166" xfId="0" applyFont="1" applyBorder="1" applyAlignment="1">
      <alignment vertical="center" wrapText="1" shrinkToFit="1"/>
    </xf>
    <xf numFmtId="0" fontId="159" fillId="0" borderId="171" xfId="0" applyFont="1" applyBorder="1" applyAlignment="1">
      <alignment vertical="center" wrapText="1" shrinkToFit="1"/>
    </xf>
    <xf numFmtId="0" fontId="159" fillId="0" borderId="172" xfId="0" applyFont="1" applyBorder="1" applyAlignment="1">
      <alignment vertical="center" wrapText="1" shrinkToFit="1"/>
    </xf>
    <xf numFmtId="38" fontId="10" fillId="0" borderId="0" xfId="50" applyFont="1" applyAlignment="1" applyProtection="1">
      <alignment horizontal="left" vertical="center"/>
      <protection locked="0"/>
    </xf>
    <xf numFmtId="0" fontId="150" fillId="0" borderId="173" xfId="0" applyFont="1" applyBorder="1" applyAlignment="1">
      <alignment horizontal="center" vertical="center"/>
    </xf>
    <xf numFmtId="0" fontId="153" fillId="0" borderId="174" xfId="0" applyFont="1" applyBorder="1" applyAlignment="1">
      <alignment vertical="center" wrapText="1"/>
    </xf>
    <xf numFmtId="0" fontId="153" fillId="0" borderId="144" xfId="0" applyFont="1" applyBorder="1" applyAlignment="1">
      <alignment vertical="center" wrapText="1"/>
    </xf>
    <xf numFmtId="0" fontId="153" fillId="0" borderId="139" xfId="0" applyFont="1" applyBorder="1" applyAlignment="1">
      <alignment vertical="center" wrapText="1"/>
    </xf>
    <xf numFmtId="0" fontId="153" fillId="0" borderId="166" xfId="0" applyFont="1" applyBorder="1" applyAlignment="1">
      <alignment vertical="center" wrapText="1"/>
    </xf>
    <xf numFmtId="0" fontId="13" fillId="0" borderId="175" xfId="0" applyFont="1" applyBorder="1" applyAlignment="1">
      <alignment horizontal="center" vertical="center" wrapText="1"/>
    </xf>
    <xf numFmtId="0" fontId="13" fillId="0" borderId="176" xfId="0" applyFont="1" applyBorder="1" applyAlignment="1">
      <alignment horizontal="center" vertical="center" wrapText="1"/>
    </xf>
    <xf numFmtId="0" fontId="127" fillId="6" borderId="58" xfId="0" applyFont="1" applyFill="1" applyBorder="1" applyAlignment="1" applyProtection="1">
      <alignment horizontal="center" vertical="top" wrapText="1"/>
      <protection locked="0"/>
    </xf>
    <xf numFmtId="0" fontId="127" fillId="6" borderId="73" xfId="0" applyFont="1" applyFill="1" applyBorder="1" applyAlignment="1" applyProtection="1">
      <alignment horizontal="center" vertical="top" wrapText="1"/>
      <protection locked="0"/>
    </xf>
    <xf numFmtId="0" fontId="24" fillId="40" borderId="73" xfId="0" applyFont="1" applyFill="1" applyBorder="1" applyAlignment="1" applyProtection="1">
      <alignment horizontal="center" vertical="top" wrapText="1"/>
      <protection locked="0"/>
    </xf>
    <xf numFmtId="0" fontId="119" fillId="40" borderId="14" xfId="0" applyFont="1" applyFill="1" applyBorder="1" applyAlignment="1" applyProtection="1">
      <alignment horizontal="center" vertical="top"/>
      <protection locked="0"/>
    </xf>
    <xf numFmtId="0" fontId="127" fillId="6" borderId="64" xfId="0" applyFont="1" applyFill="1" applyBorder="1" applyAlignment="1" applyProtection="1">
      <alignment horizontal="center" vertical="center" wrapText="1"/>
      <protection locked="0"/>
    </xf>
    <xf numFmtId="0" fontId="127" fillId="6" borderId="73" xfId="0" applyFont="1" applyFill="1" applyBorder="1" applyAlignment="1" applyProtection="1">
      <alignment horizontal="center" vertical="center" wrapText="1"/>
      <protection locked="0"/>
    </xf>
    <xf numFmtId="0" fontId="127" fillId="6" borderId="14" xfId="0" applyFont="1" applyFill="1" applyBorder="1" applyAlignment="1" applyProtection="1">
      <alignment horizontal="center" vertical="center" wrapText="1"/>
      <protection locked="0"/>
    </xf>
    <xf numFmtId="0" fontId="158" fillId="0" borderId="0" xfId="0" applyFont="1" applyAlignment="1">
      <alignment horizontal="right" vertical="center"/>
    </xf>
    <xf numFmtId="0" fontId="4" fillId="6" borderId="153" xfId="0" applyFont="1" applyFill="1" applyBorder="1" applyAlignment="1" applyProtection="1">
      <alignment vertical="center" wrapText="1"/>
      <protection locked="0"/>
    </xf>
    <xf numFmtId="0" fontId="4" fillId="6" borderId="153" xfId="0" applyFont="1" applyFill="1" applyBorder="1" applyAlignment="1" applyProtection="1">
      <alignment vertical="center"/>
      <protection locked="0"/>
    </xf>
    <xf numFmtId="0" fontId="4" fillId="6" borderId="27" xfId="0" applyFont="1" applyFill="1" applyBorder="1" applyAlignment="1" applyProtection="1">
      <alignment vertical="center"/>
      <protection locked="0"/>
    </xf>
    <xf numFmtId="0" fontId="127" fillId="0" borderId="177" xfId="0" applyFont="1" applyBorder="1" applyAlignment="1" applyProtection="1">
      <alignment horizontal="center" vertical="center"/>
      <protection locked="0"/>
    </xf>
    <xf numFmtId="0" fontId="127" fillId="0" borderId="178" xfId="0" applyFont="1" applyBorder="1" applyAlignment="1" applyProtection="1">
      <alignment horizontal="center" vertical="center"/>
      <protection locked="0"/>
    </xf>
    <xf numFmtId="0" fontId="9" fillId="0" borderId="129" xfId="0" applyFont="1" applyBorder="1" applyAlignment="1">
      <alignment vertical="center" wrapText="1"/>
    </xf>
    <xf numFmtId="0" fontId="9" fillId="0" borderId="52" xfId="0" applyFont="1" applyBorder="1" applyAlignment="1">
      <alignment vertical="center" wrapText="1"/>
    </xf>
    <xf numFmtId="0" fontId="24" fillId="0" borderId="87" xfId="0" applyFont="1" applyBorder="1" applyAlignment="1">
      <alignment vertical="center" wrapText="1"/>
    </xf>
    <xf numFmtId="0" fontId="24" fillId="0" borderId="27" xfId="0" applyFont="1" applyBorder="1" applyAlignment="1">
      <alignment vertical="center" wrapText="1"/>
    </xf>
    <xf numFmtId="0" fontId="127" fillId="43" borderId="64" xfId="0" applyFont="1" applyFill="1" applyBorder="1" applyAlignment="1" applyProtection="1">
      <alignment horizontal="center" vertical="center" wrapText="1"/>
      <protection locked="0"/>
    </xf>
    <xf numFmtId="0" fontId="127" fillId="43" borderId="73" xfId="0" applyFont="1" applyFill="1" applyBorder="1" applyAlignment="1" applyProtection="1">
      <alignment horizontal="center" vertical="center" wrapText="1"/>
      <protection locked="0"/>
    </xf>
    <xf numFmtId="0" fontId="9" fillId="0" borderId="110" xfId="0" applyFont="1" applyBorder="1" applyAlignment="1">
      <alignment vertical="center" wrapText="1"/>
    </xf>
    <xf numFmtId="0" fontId="127" fillId="0" borderId="179" xfId="0" applyFont="1" applyBorder="1" applyAlignment="1" applyProtection="1">
      <alignment horizontal="center" vertical="center"/>
      <protection locked="0"/>
    </xf>
    <xf numFmtId="0" fontId="127" fillId="0" borderId="180" xfId="0" applyFont="1" applyBorder="1" applyAlignment="1" applyProtection="1">
      <alignment horizontal="center" vertical="center"/>
      <protection locked="0"/>
    </xf>
    <xf numFmtId="184" fontId="15" fillId="0" borderId="181" xfId="0" applyNumberFormat="1" applyFont="1" applyBorder="1" applyAlignment="1" applyProtection="1">
      <alignment horizontal="center" vertical="center" wrapText="1"/>
      <protection locked="0"/>
    </xf>
    <xf numFmtId="184" fontId="15" fillId="0" borderId="182" xfId="0" applyNumberFormat="1" applyFont="1" applyBorder="1" applyAlignment="1" applyProtection="1">
      <alignment horizontal="center" vertical="center" wrapText="1"/>
      <protection locked="0"/>
    </xf>
    <xf numFmtId="0" fontId="127" fillId="0" borderId="183" xfId="0" applyFont="1" applyBorder="1" applyAlignment="1" applyProtection="1">
      <alignment horizontal="center" vertical="center"/>
      <protection locked="0"/>
    </xf>
    <xf numFmtId="0" fontId="127" fillId="0" borderId="184" xfId="0" applyFont="1" applyBorder="1" applyAlignment="1" applyProtection="1">
      <alignment horizontal="center" vertical="center"/>
      <protection locked="0"/>
    </xf>
    <xf numFmtId="0" fontId="160" fillId="6" borderId="53" xfId="0" applyFont="1" applyFill="1" applyBorder="1" applyAlignment="1" applyProtection="1">
      <alignment horizontal="center" vertical="center" textRotation="255"/>
      <protection locked="0"/>
    </xf>
    <xf numFmtId="0" fontId="160" fillId="6" borderId="19" xfId="0" applyFont="1" applyFill="1" applyBorder="1" applyAlignment="1" applyProtection="1">
      <alignment horizontal="center" vertical="center" textRotation="255"/>
      <protection locked="0"/>
    </xf>
    <xf numFmtId="0" fontId="160" fillId="6" borderId="185" xfId="0" applyFont="1" applyFill="1" applyBorder="1" applyAlignment="1" applyProtection="1">
      <alignment horizontal="center" vertical="center" textRotation="255"/>
      <protection locked="0"/>
    </xf>
    <xf numFmtId="0" fontId="127" fillId="40" borderId="177" xfId="0" applyFont="1" applyFill="1" applyBorder="1" applyAlignment="1" applyProtection="1">
      <alignment horizontal="center" vertical="center"/>
      <protection locked="0"/>
    </xf>
    <xf numFmtId="0" fontId="127" fillId="40" borderId="178" xfId="0" applyFont="1" applyFill="1" applyBorder="1" applyAlignment="1" applyProtection="1">
      <alignment horizontal="center" vertical="center"/>
      <protection locked="0"/>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38" xfId="0" applyFont="1" applyBorder="1" applyAlignment="1">
      <alignment horizontal="center" vertical="center"/>
    </xf>
    <xf numFmtId="0" fontId="130" fillId="6" borderId="14" xfId="0" applyFont="1" applyFill="1" applyBorder="1" applyAlignment="1" applyProtection="1">
      <alignment horizontal="center" vertical="center"/>
      <protection locked="0"/>
    </xf>
    <xf numFmtId="184" fontId="161" fillId="0" borderId="186" xfId="0" applyNumberFormat="1" applyFont="1" applyBorder="1" applyAlignment="1" applyProtection="1">
      <alignment horizontal="center" vertical="center"/>
      <protection locked="0"/>
    </xf>
    <xf numFmtId="190" fontId="4" fillId="0" borderId="187" xfId="50" applyNumberFormat="1" applyFont="1" applyBorder="1" applyAlignment="1">
      <alignment vertical="center" wrapText="1"/>
    </xf>
    <xf numFmtId="190" fontId="4" fillId="0" borderId="0" xfId="50" applyNumberFormat="1" applyFont="1" applyAlignment="1">
      <alignment vertical="center" wrapText="1"/>
    </xf>
    <xf numFmtId="190" fontId="4" fillId="0" borderId="58" xfId="50" applyNumberFormat="1" applyFont="1" applyBorder="1" applyAlignment="1">
      <alignment vertical="center" wrapText="1"/>
    </xf>
    <xf numFmtId="0" fontId="130" fillId="6" borderId="73" xfId="0" applyFont="1" applyFill="1" applyBorder="1" applyAlignment="1" applyProtection="1">
      <alignment horizontal="center" vertical="top" wrapText="1"/>
      <protection locked="0"/>
    </xf>
    <xf numFmtId="0" fontId="130" fillId="6" borderId="14" xfId="0" applyFont="1" applyFill="1" applyBorder="1" applyAlignment="1" applyProtection="1">
      <alignment horizontal="center" vertical="top" wrapText="1"/>
      <protection locked="0"/>
    </xf>
    <xf numFmtId="0" fontId="127" fillId="0" borderId="188" xfId="0" applyFont="1" applyBorder="1" applyAlignment="1" applyProtection="1">
      <alignment horizontal="center" vertical="center"/>
      <protection locked="0"/>
    </xf>
    <xf numFmtId="0" fontId="127" fillId="0" borderId="189" xfId="0" applyFont="1" applyBorder="1" applyAlignment="1" applyProtection="1">
      <alignment horizontal="center" vertical="center"/>
      <protection locked="0"/>
    </xf>
    <xf numFmtId="0" fontId="120" fillId="0" borderId="190" xfId="0" applyFont="1" applyBorder="1" applyAlignment="1" applyProtection="1">
      <alignment horizontal="center" vertical="center"/>
      <protection locked="0"/>
    </xf>
    <xf numFmtId="0" fontId="120" fillId="0" borderId="191" xfId="0" applyFont="1" applyBorder="1" applyAlignment="1" applyProtection="1">
      <alignment horizontal="center" vertical="center"/>
      <protection locked="0"/>
    </xf>
    <xf numFmtId="184" fontId="8" fillId="0" borderId="64" xfId="0" applyNumberFormat="1" applyFont="1" applyBorder="1" applyAlignment="1">
      <alignment horizontal="center" vertical="center"/>
    </xf>
    <xf numFmtId="184" fontId="8" fillId="0" borderId="192" xfId="0" applyNumberFormat="1" applyFont="1" applyBorder="1" applyAlignment="1">
      <alignment horizontal="center" vertical="center"/>
    </xf>
    <xf numFmtId="0" fontId="146" fillId="0" borderId="193" xfId="0" applyFont="1" applyBorder="1" applyAlignment="1" applyProtection="1">
      <alignment vertical="center" wrapText="1"/>
      <protection locked="0"/>
    </xf>
    <xf numFmtId="0" fontId="146" fillId="0" borderId="194" xfId="0" applyFont="1" applyBorder="1" applyAlignment="1" applyProtection="1">
      <alignment vertical="center" wrapText="1"/>
      <protection locked="0"/>
    </xf>
    <xf numFmtId="0" fontId="146" fillId="0" borderId="195" xfId="0" applyFont="1" applyBorder="1" applyAlignment="1" applyProtection="1">
      <alignment vertical="center" wrapText="1"/>
      <protection locked="0"/>
    </xf>
    <xf numFmtId="0" fontId="146" fillId="0" borderId="196" xfId="0" applyFont="1" applyBorder="1" applyAlignment="1" applyProtection="1">
      <alignment vertical="center" wrapText="1"/>
      <protection locked="0"/>
    </xf>
    <xf numFmtId="0" fontId="146" fillId="0" borderId="0" xfId="0" applyFont="1" applyAlignment="1" applyProtection="1">
      <alignment vertical="center" wrapText="1"/>
      <protection locked="0"/>
    </xf>
    <xf numFmtId="0" fontId="146" fillId="0" borderId="186" xfId="0" applyFont="1" applyBorder="1" applyAlignment="1" applyProtection="1">
      <alignment vertical="center" wrapText="1"/>
      <protection locked="0"/>
    </xf>
    <xf numFmtId="0" fontId="146" fillId="0" borderId="197" xfId="0" applyFont="1" applyBorder="1" applyAlignment="1" applyProtection="1">
      <alignment vertical="center" wrapText="1"/>
      <protection locked="0"/>
    </xf>
    <xf numFmtId="0" fontId="146" fillId="0" borderId="198" xfId="0" applyFont="1" applyBorder="1" applyAlignment="1" applyProtection="1">
      <alignment vertical="center" wrapText="1"/>
      <protection locked="0"/>
    </xf>
    <xf numFmtId="0" fontId="146" fillId="0" borderId="199" xfId="0" applyFont="1" applyBorder="1" applyAlignment="1" applyProtection="1">
      <alignment vertical="center" wrapText="1"/>
      <protection locked="0"/>
    </xf>
    <xf numFmtId="9" fontId="9" fillId="0" borderId="62" xfId="0" applyNumberFormat="1" applyFont="1" applyBorder="1" applyAlignment="1">
      <alignment horizontal="center" vertical="center"/>
    </xf>
    <xf numFmtId="9" fontId="9" fillId="0" borderId="63" xfId="0" applyNumberFormat="1" applyFont="1" applyBorder="1" applyAlignment="1">
      <alignment horizontal="center" vertical="center"/>
    </xf>
    <xf numFmtId="9" fontId="9" fillId="0" borderId="38" xfId="0" applyNumberFormat="1" applyFont="1" applyBorder="1" applyAlignment="1">
      <alignment horizontal="center" vertical="center"/>
    </xf>
    <xf numFmtId="0" fontId="9" fillId="0" borderId="200" xfId="0" applyFont="1" applyBorder="1" applyAlignment="1">
      <alignment horizontal="center" vertical="center"/>
    </xf>
    <xf numFmtId="0" fontId="9" fillId="0" borderId="201" xfId="0" applyFont="1" applyBorder="1" applyAlignment="1">
      <alignment horizontal="center" vertical="center"/>
    </xf>
    <xf numFmtId="0" fontId="9" fillId="0" borderId="202" xfId="0" applyFont="1" applyBorder="1" applyAlignment="1">
      <alignment horizontal="center" vertical="center"/>
    </xf>
    <xf numFmtId="0" fontId="138" fillId="0" borderId="203" xfId="0" applyFont="1" applyBorder="1" applyAlignment="1" applyProtection="1">
      <alignment horizontal="center" vertical="center"/>
      <protection locked="0"/>
    </xf>
    <xf numFmtId="0" fontId="0" fillId="0" borderId="204" xfId="0" applyBorder="1" applyAlignment="1">
      <alignment horizontal="center" vertical="center"/>
    </xf>
    <xf numFmtId="0" fontId="0" fillId="0" borderId="18" xfId="0" applyBorder="1" applyAlignment="1">
      <alignment horizontal="center" vertical="center"/>
    </xf>
    <xf numFmtId="0" fontId="162" fillId="43" borderId="87" xfId="0" applyFont="1" applyFill="1" applyBorder="1" applyAlignment="1" applyProtection="1">
      <alignment horizontal="center" vertical="center"/>
      <protection locked="0"/>
    </xf>
    <xf numFmtId="184" fontId="8" fillId="0" borderId="205" xfId="0" applyNumberFormat="1" applyFont="1" applyBorder="1" applyAlignment="1">
      <alignment horizontal="right" vertical="center"/>
    </xf>
    <xf numFmtId="184" fontId="8" fillId="0" borderId="206" xfId="0" applyNumberFormat="1" applyFont="1" applyBorder="1" applyAlignment="1">
      <alignment horizontal="right" vertical="center"/>
    </xf>
    <xf numFmtId="184" fontId="8" fillId="0" borderId="207" xfId="0" applyNumberFormat="1" applyFont="1" applyBorder="1" applyAlignment="1">
      <alignment horizontal="right" vertical="center"/>
    </xf>
    <xf numFmtId="184" fontId="8" fillId="0" borderId="208" xfId="0" applyNumberFormat="1" applyFont="1" applyBorder="1" applyAlignment="1">
      <alignment horizontal="right" vertical="center"/>
    </xf>
    <xf numFmtId="184" fontId="8" fillId="0" borderId="209" xfId="0" applyNumberFormat="1" applyFont="1" applyBorder="1" applyAlignment="1">
      <alignment horizontal="right" vertical="center"/>
    </xf>
    <xf numFmtId="184" fontId="8" fillId="0" borderId="210" xfId="0" applyNumberFormat="1" applyFont="1" applyBorder="1" applyAlignment="1">
      <alignment horizontal="right" vertical="center"/>
    </xf>
    <xf numFmtId="38" fontId="8" fillId="0" borderId="64" xfId="0" applyNumberFormat="1" applyFont="1" applyBorder="1" applyAlignment="1">
      <alignment horizontal="right" vertical="center" shrinkToFit="1"/>
    </xf>
    <xf numFmtId="38" fontId="8" fillId="0" borderId="14" xfId="0" applyNumberFormat="1" applyFont="1" applyBorder="1" applyAlignment="1">
      <alignment horizontal="right" vertical="center" shrinkToFit="1"/>
    </xf>
    <xf numFmtId="0" fontId="133" fillId="0" borderId="64" xfId="0" applyFont="1" applyBorder="1" applyAlignment="1">
      <alignment horizontal="center" vertical="center"/>
    </xf>
    <xf numFmtId="0" fontId="133" fillId="0" borderId="14" xfId="0" applyFont="1" applyBorder="1" applyAlignment="1">
      <alignment horizontal="center" vertical="center"/>
    </xf>
    <xf numFmtId="38" fontId="8" fillId="0" borderId="69" xfId="50" applyFont="1" applyBorder="1" applyAlignment="1">
      <alignment horizontal="right" vertical="center"/>
    </xf>
    <xf numFmtId="38" fontId="8" fillId="0" borderId="211" xfId="50" applyFont="1" applyBorder="1" applyAlignment="1">
      <alignment horizontal="right" vertical="center"/>
    </xf>
    <xf numFmtId="38" fontId="8" fillId="0" borderId="192" xfId="50" applyFont="1" applyBorder="1" applyAlignment="1">
      <alignment horizontal="right" vertical="center"/>
    </xf>
    <xf numFmtId="0" fontId="4" fillId="6" borderId="212" xfId="0" applyFont="1" applyFill="1" applyBorder="1" applyAlignment="1" applyProtection="1">
      <alignment horizontal="center" vertical="top" wrapText="1"/>
      <protection locked="0"/>
    </xf>
    <xf numFmtId="0" fontId="4" fillId="6" borderId="134" xfId="0" applyFont="1" applyFill="1" applyBorder="1" applyAlignment="1" applyProtection="1">
      <alignment horizontal="center" vertical="top" wrapText="1"/>
      <protection locked="0"/>
    </xf>
    <xf numFmtId="0" fontId="0" fillId="0" borderId="153" xfId="0" applyBorder="1" applyAlignment="1">
      <alignment horizontal="center" vertical="center"/>
    </xf>
    <xf numFmtId="0" fontId="116" fillId="0" borderId="213" xfId="0" applyFont="1" applyBorder="1" applyAlignment="1">
      <alignment horizontal="center" vertical="center" wrapText="1"/>
    </xf>
    <xf numFmtId="0" fontId="116" fillId="0" borderId="116" xfId="0" applyFont="1" applyBorder="1" applyAlignment="1">
      <alignment horizontal="center" vertical="center" wrapText="1"/>
    </xf>
    <xf numFmtId="0" fontId="93" fillId="0" borderId="0" xfId="44" applyAlignment="1" applyProtection="1">
      <alignment vertical="center"/>
      <protection/>
    </xf>
    <xf numFmtId="0" fontId="116" fillId="0" borderId="0" xfId="0" applyFont="1" applyAlignment="1" applyProtection="1">
      <alignment horizontal="left" vertical="center"/>
      <protection locked="0"/>
    </xf>
    <xf numFmtId="0" fontId="116" fillId="0" borderId="214"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215" xfId="0" applyFont="1" applyBorder="1" applyAlignment="1" applyProtection="1">
      <alignment horizontal="center" vertical="top" wrapText="1"/>
      <protection locked="0"/>
    </xf>
    <xf numFmtId="0" fontId="116" fillId="0" borderId="216" xfId="0" applyFont="1" applyBorder="1" applyAlignment="1" applyProtection="1">
      <alignment horizontal="center" vertical="top" wrapText="1"/>
      <protection locked="0"/>
    </xf>
    <xf numFmtId="0" fontId="0" fillId="0" borderId="87" xfId="0" applyBorder="1" applyAlignment="1">
      <alignment horizontal="center" vertical="center" shrinkToFit="1"/>
    </xf>
    <xf numFmtId="0" fontId="0" fillId="0" borderId="153" xfId="0" applyBorder="1" applyAlignment="1">
      <alignment horizontal="center" vertical="center" shrinkToFit="1"/>
    </xf>
    <xf numFmtId="0" fontId="0" fillId="0" borderId="27" xfId="0" applyBorder="1" applyAlignment="1">
      <alignment horizontal="center" vertical="center" shrinkToFit="1"/>
    </xf>
    <xf numFmtId="14" fontId="110" fillId="36" borderId="14" xfId="0" applyNumberFormat="1" applyFont="1" applyFill="1" applyBorder="1" applyAlignment="1" applyProtection="1">
      <alignment horizontal="center" vertical="center" wrapText="1"/>
      <protection locked="0"/>
    </xf>
    <xf numFmtId="0" fontId="110" fillId="36" borderId="14" xfId="0" applyFont="1" applyFill="1" applyBorder="1" applyAlignment="1" applyProtection="1">
      <alignment horizontal="center" vertical="center" wrapText="1"/>
      <protection locked="0"/>
    </xf>
    <xf numFmtId="0" fontId="116" fillId="0" borderId="215" xfId="0" applyFont="1" applyBorder="1" applyAlignment="1">
      <alignment horizontal="center" vertical="top" wrapText="1"/>
    </xf>
    <xf numFmtId="0" fontId="116" fillId="0" borderId="216" xfId="0" applyFont="1" applyBorder="1" applyAlignment="1">
      <alignment horizontal="center" vertical="top" wrapText="1"/>
    </xf>
    <xf numFmtId="14" fontId="110" fillId="36" borderId="15" xfId="0" applyNumberFormat="1" applyFont="1" applyFill="1" applyBorder="1" applyAlignment="1" applyProtection="1">
      <alignment horizontal="center" vertical="center" wrapText="1"/>
      <protection locked="0"/>
    </xf>
    <xf numFmtId="0" fontId="110" fillId="36" borderId="15" xfId="0" applyFont="1" applyFill="1" applyBorder="1" applyAlignment="1" applyProtection="1">
      <alignment horizontal="center" vertical="center" wrapText="1"/>
      <protection locked="0"/>
    </xf>
    <xf numFmtId="14" fontId="116" fillId="36" borderId="87" xfId="0" applyNumberFormat="1" applyFont="1" applyFill="1" applyBorder="1" applyAlignment="1" applyProtection="1">
      <alignment horizontal="center" vertical="center" wrapText="1"/>
      <protection locked="0"/>
    </xf>
    <xf numFmtId="14" fontId="116" fillId="36" borderId="153" xfId="0" applyNumberFormat="1" applyFont="1" applyFill="1" applyBorder="1" applyAlignment="1" applyProtection="1">
      <alignment horizontal="center" vertical="center" wrapText="1"/>
      <protection locked="0"/>
    </xf>
    <xf numFmtId="14" fontId="116" fillId="36" borderId="27" xfId="0" applyNumberFormat="1" applyFont="1" applyFill="1" applyBorder="1" applyAlignment="1" applyProtection="1">
      <alignment horizontal="center" vertical="center" wrapText="1"/>
      <protection locked="0"/>
    </xf>
    <xf numFmtId="0" fontId="116" fillId="33" borderId="217" xfId="0" applyFont="1" applyFill="1" applyBorder="1" applyAlignment="1" applyProtection="1">
      <alignment horizontal="center" vertical="center" wrapText="1"/>
      <protection locked="0"/>
    </xf>
    <xf numFmtId="0" fontId="116" fillId="33" borderId="218" xfId="0" applyFont="1" applyFill="1" applyBorder="1" applyAlignment="1" applyProtection="1">
      <alignment horizontal="center" vertical="center" wrapText="1"/>
      <protection locked="0"/>
    </xf>
    <xf numFmtId="38" fontId="110" fillId="0" borderId="219" xfId="50" applyFont="1" applyBorder="1" applyAlignment="1" applyProtection="1">
      <alignment vertical="center"/>
      <protection locked="0"/>
    </xf>
    <xf numFmtId="38" fontId="110" fillId="0" borderId="95" xfId="50" applyFont="1" applyBorder="1" applyAlignment="1" applyProtection="1">
      <alignment vertical="center"/>
      <protection locked="0"/>
    </xf>
    <xf numFmtId="38" fontId="110" fillId="0" borderId="219" xfId="50" applyFont="1" applyBorder="1" applyAlignment="1" applyProtection="1">
      <alignment horizontal="right" vertical="center"/>
      <protection locked="0"/>
    </xf>
    <xf numFmtId="38" fontId="110" fillId="0" borderId="95" xfId="50" applyFont="1" applyBorder="1" applyAlignment="1" applyProtection="1">
      <alignment horizontal="right" vertical="center"/>
      <protection locked="0"/>
    </xf>
    <xf numFmtId="38" fontId="110" fillId="33" borderId="219" xfId="50" applyFont="1" applyFill="1" applyBorder="1" applyAlignment="1" applyProtection="1">
      <alignment vertical="center"/>
      <protection locked="0"/>
    </xf>
    <xf numFmtId="38" fontId="110" fillId="33" borderId="95" xfId="50" applyFont="1" applyFill="1" applyBorder="1" applyAlignment="1" applyProtection="1">
      <alignment vertical="center"/>
      <protection locked="0"/>
    </xf>
    <xf numFmtId="0" fontId="117" fillId="33" borderId="220" xfId="0" applyFont="1" applyFill="1" applyBorder="1" applyAlignment="1">
      <alignment horizontal="center" vertical="center" wrapText="1"/>
    </xf>
    <xf numFmtId="0" fontId="117" fillId="33" borderId="17" xfId="0" applyFont="1" applyFill="1" applyBorder="1" applyAlignment="1">
      <alignment horizontal="center" vertical="center" wrapText="1"/>
    </xf>
    <xf numFmtId="14" fontId="110" fillId="36" borderId="10" xfId="0" applyNumberFormat="1" applyFont="1" applyFill="1" applyBorder="1" applyAlignment="1" applyProtection="1">
      <alignment horizontal="center" vertical="center" wrapText="1"/>
      <protection locked="0"/>
    </xf>
    <xf numFmtId="0" fontId="110" fillId="36" borderId="10" xfId="0" applyFont="1" applyFill="1" applyBorder="1" applyAlignment="1" applyProtection="1">
      <alignment horizontal="center" vertical="center" wrapText="1"/>
      <protection locked="0"/>
    </xf>
    <xf numFmtId="14" fontId="110" fillId="36" borderId="16" xfId="0" applyNumberFormat="1" applyFont="1" applyFill="1" applyBorder="1" applyAlignment="1" applyProtection="1">
      <alignment horizontal="center" vertical="center" wrapText="1"/>
      <protection locked="0"/>
    </xf>
    <xf numFmtId="0" fontId="110" fillId="36" borderId="16" xfId="0" applyFont="1" applyFill="1" applyBorder="1" applyAlignment="1" applyProtection="1">
      <alignment horizontal="center" vertical="center" wrapText="1"/>
      <protection locked="0"/>
    </xf>
    <xf numFmtId="0" fontId="116" fillId="0" borderId="30" xfId="0" applyFont="1" applyBorder="1" applyAlignment="1">
      <alignment horizontal="center" vertical="center" wrapText="1"/>
    </xf>
    <xf numFmtId="0" fontId="116" fillId="0" borderId="13" xfId="0" applyFont="1" applyBorder="1" applyAlignment="1">
      <alignment horizontal="center" vertical="center" wrapText="1"/>
    </xf>
    <xf numFmtId="0" fontId="116" fillId="0" borderId="31" xfId="0" applyFont="1" applyBorder="1" applyAlignment="1">
      <alignment horizontal="center" vertical="top" wrapText="1"/>
    </xf>
    <xf numFmtId="0" fontId="110" fillId="36" borderId="59" xfId="0" applyFont="1" applyFill="1" applyBorder="1" applyAlignment="1" applyProtection="1">
      <alignment horizontal="center" vertical="center" wrapText="1"/>
      <protection locked="0"/>
    </xf>
    <xf numFmtId="0" fontId="110" fillId="36" borderId="221"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55">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color theme="0"/>
      </font>
      <fill>
        <patternFill patternType="none">
          <bgColor indexed="65"/>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85725</xdr:rowOff>
    </xdr:from>
    <xdr:ext cx="666750" cy="238125"/>
    <xdr:sp>
      <xdr:nvSpPr>
        <xdr:cNvPr id="1"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161925</xdr:colOff>
      <xdr:row>65</xdr:row>
      <xdr:rowOff>114300</xdr:rowOff>
    </xdr:from>
    <xdr:to>
      <xdr:col>9</xdr:col>
      <xdr:colOff>161925</xdr:colOff>
      <xdr:row>67</xdr:row>
      <xdr:rowOff>47625</xdr:rowOff>
    </xdr:to>
    <xdr:sp>
      <xdr:nvSpPr>
        <xdr:cNvPr id="2" name="直線矢印コネクタ 32"/>
        <xdr:cNvSpPr>
          <a:spLocks/>
        </xdr:cNvSpPr>
      </xdr:nvSpPr>
      <xdr:spPr>
        <a:xfrm flipH="1">
          <a:off x="6086475" y="1319212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7</xdr:col>
      <xdr:colOff>790575</xdr:colOff>
      <xdr:row>62</xdr:row>
      <xdr:rowOff>171450</xdr:rowOff>
    </xdr:from>
    <xdr:to>
      <xdr:col>16</xdr:col>
      <xdr:colOff>257175</xdr:colOff>
      <xdr:row>81</xdr:row>
      <xdr:rowOff>161925</xdr:rowOff>
    </xdr:to>
    <xdr:pic>
      <xdr:nvPicPr>
        <xdr:cNvPr id="3" name="図 3"/>
        <xdr:cNvPicPr preferRelativeResize="1">
          <a:picLocks noChangeAspect="1"/>
        </xdr:cNvPicPr>
      </xdr:nvPicPr>
      <xdr:blipFill>
        <a:blip r:embed="rId1"/>
        <a:srcRect t="19085" r="62911" b="26994"/>
        <a:stretch>
          <a:fillRect/>
        </a:stretch>
      </xdr:blipFill>
      <xdr:spPr>
        <a:xfrm>
          <a:off x="5724525" y="12601575"/>
          <a:ext cx="3895725" cy="3543300"/>
        </a:xfrm>
        <a:prstGeom prst="rect">
          <a:avLst/>
        </a:prstGeom>
        <a:noFill/>
        <a:ln w="25400" cmpd="sng">
          <a:solidFill>
            <a:srgbClr val="000000"/>
          </a:solidFill>
          <a:headEnd type="none"/>
          <a:tailEnd type="none"/>
        </a:ln>
      </xdr:spPr>
    </xdr:pic>
    <xdr:clientData/>
  </xdr:twoCellAnchor>
  <xdr:twoCellAnchor>
    <xdr:from>
      <xdr:col>12</xdr:col>
      <xdr:colOff>485775</xdr:colOff>
      <xdr:row>66</xdr:row>
      <xdr:rowOff>161925</xdr:rowOff>
    </xdr:from>
    <xdr:to>
      <xdr:col>14</xdr:col>
      <xdr:colOff>104775</xdr:colOff>
      <xdr:row>67</xdr:row>
      <xdr:rowOff>180975</xdr:rowOff>
    </xdr:to>
    <xdr:sp>
      <xdr:nvSpPr>
        <xdr:cNvPr id="4" name="円/楕円 1"/>
        <xdr:cNvSpPr>
          <a:spLocks/>
        </xdr:cNvSpPr>
      </xdr:nvSpPr>
      <xdr:spPr>
        <a:xfrm>
          <a:off x="7448550" y="13420725"/>
          <a:ext cx="81915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590550</xdr:colOff>
      <xdr:row>64</xdr:row>
      <xdr:rowOff>28575</xdr:rowOff>
    </xdr:from>
    <xdr:to>
      <xdr:col>14</xdr:col>
      <xdr:colOff>228600</xdr:colOff>
      <xdr:row>66</xdr:row>
      <xdr:rowOff>57150</xdr:rowOff>
    </xdr:to>
    <xdr:sp>
      <xdr:nvSpPr>
        <xdr:cNvPr id="5" name="吹き出し: 角を丸めた四角形 4"/>
        <xdr:cNvSpPr>
          <a:spLocks/>
        </xdr:cNvSpPr>
      </xdr:nvSpPr>
      <xdr:spPr>
        <a:xfrm>
          <a:off x="7553325" y="1287780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2</xdr:col>
      <xdr:colOff>0</xdr:colOff>
      <xdr:row>20</xdr:row>
      <xdr:rowOff>123825</xdr:rowOff>
    </xdr:from>
    <xdr:ext cx="466725" cy="238125"/>
    <xdr:sp>
      <xdr:nvSpPr>
        <xdr:cNvPr id="6" name="テキスト ボックス 56"/>
        <xdr:cNvSpPr txBox="1">
          <a:spLocks noChangeArrowheads="1"/>
        </xdr:cNvSpPr>
      </xdr:nvSpPr>
      <xdr:spPr>
        <a:xfrm>
          <a:off x="457200"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4</xdr:col>
      <xdr:colOff>885825</xdr:colOff>
      <xdr:row>20</xdr:row>
      <xdr:rowOff>123825</xdr:rowOff>
    </xdr:from>
    <xdr:ext cx="1038225" cy="238125"/>
    <xdr:sp>
      <xdr:nvSpPr>
        <xdr:cNvPr id="7" name="テキスト ボックス 57"/>
        <xdr:cNvSpPr txBox="1">
          <a:spLocks noChangeArrowheads="1"/>
        </xdr:cNvSpPr>
      </xdr:nvSpPr>
      <xdr:spPr>
        <a:xfrm>
          <a:off x="3133725" y="4124325"/>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8"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29</xdr:row>
      <xdr:rowOff>114300</xdr:rowOff>
    </xdr:from>
    <xdr:ext cx="666750" cy="238125"/>
    <xdr:sp>
      <xdr:nvSpPr>
        <xdr:cNvPr id="9" name="テキスト ボックス 63"/>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0</xdr:colOff>
      <xdr:row>25</xdr:row>
      <xdr:rowOff>9525</xdr:rowOff>
    </xdr:from>
    <xdr:ext cx="466725" cy="238125"/>
    <xdr:sp>
      <xdr:nvSpPr>
        <xdr:cNvPr id="10" name="テキスト ボックス 67"/>
        <xdr:cNvSpPr txBox="1">
          <a:spLocks noChangeArrowheads="1"/>
        </xdr:cNvSpPr>
      </xdr:nvSpPr>
      <xdr:spPr>
        <a:xfrm>
          <a:off x="4572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2185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4090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459950" y="12192000"/>
          <a:ext cx="9525" cy="9525"/>
        </a:xfrm>
        <a:prstGeom prst="rect">
          <a:avLst/>
        </a:prstGeom>
        <a:noFill/>
        <a:ln w="9525" cmpd="sng">
          <a:noFill/>
        </a:ln>
      </xdr:spPr>
    </xdr:pic>
    <xdr:clientData/>
  </xdr:twoCellAnchor>
  <xdr:twoCellAnchor editAs="oneCell">
    <xdr:from>
      <xdr:col>19</xdr:col>
      <xdr:colOff>0</xdr:colOff>
      <xdr:row>32</xdr:row>
      <xdr:rowOff>0</xdr:rowOff>
    </xdr:from>
    <xdr:to>
      <xdr:col>19</xdr:col>
      <xdr:colOff>9525</xdr:colOff>
      <xdr:row>32</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59700" y="12192000"/>
          <a:ext cx="9525" cy="9525"/>
        </a:xfrm>
        <a:prstGeom prst="rect">
          <a:avLst/>
        </a:prstGeom>
        <a:noFill/>
        <a:ln w="9525" cmpd="sng">
          <a:noFill/>
        </a:ln>
      </xdr:spPr>
    </xdr:pic>
    <xdr:clientData/>
  </xdr:twoCellAnchor>
  <xdr:twoCellAnchor editAs="oneCell">
    <xdr:from>
      <xdr:col>19</xdr:col>
      <xdr:colOff>19050</xdr:colOff>
      <xdr:row>32</xdr:row>
      <xdr:rowOff>0</xdr:rowOff>
    </xdr:from>
    <xdr:to>
      <xdr:col>19</xdr:col>
      <xdr:colOff>28575</xdr:colOff>
      <xdr:row>32</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78750" y="12192000"/>
          <a:ext cx="9525" cy="9525"/>
        </a:xfrm>
        <a:prstGeom prst="rect">
          <a:avLst/>
        </a:prstGeom>
        <a:noFill/>
        <a:ln w="9525" cmpd="sng">
          <a:noFill/>
        </a:ln>
      </xdr:spPr>
    </xdr:pic>
    <xdr:clientData/>
  </xdr:twoCellAnchor>
  <xdr:twoCellAnchor editAs="oneCell">
    <xdr:from>
      <xdr:col>19</xdr:col>
      <xdr:colOff>38100</xdr:colOff>
      <xdr:row>32</xdr:row>
      <xdr:rowOff>0</xdr:rowOff>
    </xdr:from>
    <xdr:to>
      <xdr:col>19</xdr:col>
      <xdr:colOff>47625</xdr:colOff>
      <xdr:row>32</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97800" y="12192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7" t="s">
        <v>78</v>
      </c>
      <c r="D1" s="5"/>
      <c r="E1" s="5"/>
    </row>
    <row r="2" spans="2:5" ht="19.5" customHeight="1">
      <c r="B2" s="7"/>
      <c r="D2" s="5"/>
      <c r="E2" s="5"/>
    </row>
    <row r="3" spans="2:5" ht="19.5" customHeight="1">
      <c r="B3" t="s">
        <v>80</v>
      </c>
      <c r="C3" s="5"/>
      <c r="D3" s="5"/>
      <c r="E3" s="5"/>
    </row>
    <row r="4" spans="2:3" ht="19.5" customHeight="1" thickBot="1">
      <c r="B4" s="8" t="s">
        <v>27</v>
      </c>
      <c r="C4" s="8" t="s">
        <v>79</v>
      </c>
    </row>
    <row r="5" spans="2:3" ht="19.5" customHeight="1" thickTop="1">
      <c r="B5" s="9">
        <v>1</v>
      </c>
      <c r="C5" s="10" t="s">
        <v>78</v>
      </c>
    </row>
    <row r="6" spans="2:3" ht="19.5" customHeight="1">
      <c r="B6" s="11">
        <v>2</v>
      </c>
      <c r="C6" s="12" t="s">
        <v>83</v>
      </c>
    </row>
    <row r="7" spans="2:3" ht="19.5" customHeight="1">
      <c r="B7" s="11">
        <v>3</v>
      </c>
      <c r="C7" s="12" t="s">
        <v>96</v>
      </c>
    </row>
    <row r="8" spans="2:3" ht="19.5" customHeight="1">
      <c r="B8" s="26">
        <v>4</v>
      </c>
      <c r="C8" s="12" t="s">
        <v>73</v>
      </c>
    </row>
    <row r="9" spans="2:3" ht="19.5" customHeight="1">
      <c r="B9" s="26">
        <v>5</v>
      </c>
      <c r="C9" s="12" t="s">
        <v>65</v>
      </c>
    </row>
    <row r="10" spans="2:3" ht="19.5" customHeight="1">
      <c r="B10" s="26">
        <v>6</v>
      </c>
      <c r="C10" s="12" t="s">
        <v>23</v>
      </c>
    </row>
    <row r="11" spans="2:3" ht="19.5" customHeight="1">
      <c r="B11" s="26">
        <v>7</v>
      </c>
      <c r="C11" s="12" t="s">
        <v>66</v>
      </c>
    </row>
    <row r="12" spans="2:3" ht="19.5" customHeight="1">
      <c r="B12" s="26">
        <v>8</v>
      </c>
      <c r="C12" s="12" t="s">
        <v>26</v>
      </c>
    </row>
    <row r="13" spans="2:3" ht="19.5" customHeight="1">
      <c r="B13" s="26">
        <v>9</v>
      </c>
      <c r="C13" s="12" t="s">
        <v>340</v>
      </c>
    </row>
    <row r="14" spans="2:3" ht="19.5" customHeight="1">
      <c r="B14" s="26">
        <v>10</v>
      </c>
      <c r="C14" s="12" t="s">
        <v>117</v>
      </c>
    </row>
    <row r="15" spans="2:3" ht="19.5" customHeight="1">
      <c r="B15" s="26">
        <v>11</v>
      </c>
      <c r="C15" s="12" t="s">
        <v>118</v>
      </c>
    </row>
    <row r="16" spans="2:3" ht="19.5" customHeight="1">
      <c r="B16" s="26">
        <v>12</v>
      </c>
      <c r="C16" s="12" t="s">
        <v>119</v>
      </c>
    </row>
    <row r="17" spans="2:3" ht="19.5" customHeight="1">
      <c r="B17" s="26">
        <v>13</v>
      </c>
      <c r="C17" s="12" t="s">
        <v>120</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783" t="s">
        <v>126</v>
      </c>
      <c r="C2" s="783"/>
      <c r="D2" s="783"/>
      <c r="E2" s="84"/>
      <c r="H2" s="83"/>
      <c r="O2" s="83"/>
      <c r="P2" s="86"/>
      <c r="Q2" s="86"/>
    </row>
    <row r="3" spans="1:17" ht="13.5">
      <c r="A3" s="83"/>
      <c r="E3" s="84"/>
      <c r="H3" s="83"/>
      <c r="O3" s="83"/>
      <c r="P3" s="86"/>
      <c r="Q3" s="86"/>
    </row>
    <row r="4" spans="1:6" ht="13.5" customHeight="1">
      <c r="A4" s="784" t="s">
        <v>288</v>
      </c>
      <c r="B4" s="784"/>
      <c r="C4" s="784"/>
      <c r="D4" s="784"/>
      <c r="E4" s="784"/>
      <c r="F4" s="83"/>
    </row>
    <row r="5" spans="1:6" ht="13.5" customHeight="1">
      <c r="A5" s="87"/>
      <c r="B5" s="87"/>
      <c r="C5" s="87"/>
      <c r="D5" s="87"/>
      <c r="E5" s="125"/>
      <c r="F5" s="83"/>
    </row>
    <row r="6" spans="1:8" ht="13.5" customHeight="1">
      <c r="A6" s="87"/>
      <c r="B6" s="89" t="s">
        <v>102</v>
      </c>
      <c r="C6" s="90"/>
      <c r="D6" s="91"/>
      <c r="E6" s="92"/>
      <c r="F6" s="597" t="s">
        <v>14</v>
      </c>
      <c r="G6" s="780"/>
      <c r="H6" s="598"/>
    </row>
    <row r="7" spans="1:8" ht="13.5" customHeight="1">
      <c r="A7" s="87"/>
      <c r="B7" s="87"/>
      <c r="C7" s="87"/>
      <c r="D7" s="87"/>
      <c r="E7" s="125"/>
      <c r="F7" s="789" t="s">
        <v>26</v>
      </c>
      <c r="G7" s="790"/>
      <c r="H7" s="791"/>
    </row>
    <row r="8" spans="1:14" ht="13.5" customHeight="1">
      <c r="A8" s="87"/>
      <c r="B8" s="87"/>
      <c r="C8" s="87"/>
      <c r="D8" s="87"/>
      <c r="E8" s="125"/>
      <c r="F8" s="83"/>
      <c r="M8" s="395" t="s">
        <v>294</v>
      </c>
      <c r="N8" s="93"/>
    </row>
    <row r="9" spans="1:12" ht="13.5" customHeight="1">
      <c r="A9" s="114"/>
      <c r="F9" s="83"/>
      <c r="I9" s="94" t="s">
        <v>28</v>
      </c>
      <c r="J9" s="1">
        <f>IF('基本情報入力（使い方）'!$C$12="","",'基本情報入力（使い方）'!$C$12)</f>
      </c>
      <c r="K9" s="94"/>
      <c r="L9" s="1"/>
    </row>
    <row r="10" spans="1:14" ht="13.5" customHeight="1" thickBot="1">
      <c r="A10" s="114"/>
      <c r="F10" s="83"/>
      <c r="M10" s="94"/>
      <c r="N10" s="94"/>
    </row>
    <row r="11" spans="1:14" ht="27" customHeight="1">
      <c r="A11" s="785" t="s">
        <v>1</v>
      </c>
      <c r="B11" s="787" t="s">
        <v>2</v>
      </c>
      <c r="C11" s="787"/>
      <c r="D11" s="788"/>
      <c r="E11" s="401" t="s">
        <v>3</v>
      </c>
      <c r="F11" s="402" t="s">
        <v>4</v>
      </c>
      <c r="G11" s="95" t="s">
        <v>5</v>
      </c>
      <c r="H11" s="95" t="s">
        <v>6</v>
      </c>
      <c r="I11" s="95" t="s">
        <v>0</v>
      </c>
      <c r="J11" s="95" t="s">
        <v>0</v>
      </c>
      <c r="K11" s="817" t="s">
        <v>7</v>
      </c>
      <c r="L11" s="795"/>
      <c r="M11" s="227" t="s">
        <v>139</v>
      </c>
      <c r="N11" s="781" t="s">
        <v>34</v>
      </c>
    </row>
    <row r="12" spans="1:14" ht="42" customHeight="1" thickBot="1">
      <c r="A12" s="786"/>
      <c r="B12" s="97" t="s">
        <v>8</v>
      </c>
      <c r="C12" s="97" t="s">
        <v>9</v>
      </c>
      <c r="D12" s="98" t="s">
        <v>10</v>
      </c>
      <c r="E12" s="126"/>
      <c r="F12" s="100"/>
      <c r="G12" s="101"/>
      <c r="H12" s="101"/>
      <c r="I12" s="101" t="s">
        <v>11</v>
      </c>
      <c r="J12" s="101" t="s">
        <v>21</v>
      </c>
      <c r="K12" s="101" t="s">
        <v>12</v>
      </c>
      <c r="L12" s="102" t="s">
        <v>19</v>
      </c>
      <c r="M12" s="173" t="s">
        <v>296</v>
      </c>
      <c r="N12" s="782"/>
    </row>
    <row r="13" spans="1:14" ht="61.5" customHeight="1">
      <c r="A13" s="119">
        <v>1</v>
      </c>
      <c r="B13" s="813"/>
      <c r="C13" s="814"/>
      <c r="D13" s="814"/>
      <c r="E13" s="164"/>
      <c r="F13" s="139"/>
      <c r="G13" s="140"/>
      <c r="H13" s="141"/>
      <c r="I13" s="15">
        <f aca="true" t="shared" si="0" ref="I13:I22">IF(J13="","",ROUNDDOWN(J13*(1+N13/100),0))</f>
      </c>
      <c r="J13" s="165"/>
      <c r="K13" s="15">
        <f aca="true" t="shared" si="1" ref="K13:K22">IF(L13="","",ROUNDDOWN(L13*(1+N13/100),0))</f>
      </c>
      <c r="L13" s="15">
        <f>IF(OR(J13="",G13=""),"",ROUNDDOWN(J13*G13,0))</f>
      </c>
      <c r="M13" s="16">
        <f>L13</f>
      </c>
      <c r="N13" s="150">
        <v>8</v>
      </c>
    </row>
    <row r="14" spans="1:14" ht="61.5" customHeight="1">
      <c r="A14" s="120">
        <v>2</v>
      </c>
      <c r="B14" s="792"/>
      <c r="C14" s="793"/>
      <c r="D14" s="793"/>
      <c r="E14" s="160"/>
      <c r="F14" s="143"/>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20">
        <v>3</v>
      </c>
      <c r="B15" s="792"/>
      <c r="C15" s="793"/>
      <c r="D15" s="793"/>
      <c r="E15" s="160"/>
      <c r="F15" s="143"/>
      <c r="G15" s="140"/>
      <c r="H15" s="141"/>
      <c r="I15" s="15">
        <f t="shared" si="0"/>
      </c>
      <c r="J15" s="148"/>
      <c r="K15" s="15">
        <f t="shared" si="1"/>
      </c>
      <c r="L15" s="15">
        <f t="shared" si="2"/>
      </c>
      <c r="M15" s="16">
        <f t="shared" si="3"/>
      </c>
      <c r="N15" s="150">
        <v>8</v>
      </c>
    </row>
    <row r="16" spans="1:14" ht="61.5" customHeight="1">
      <c r="A16" s="120">
        <v>4</v>
      </c>
      <c r="B16" s="792"/>
      <c r="C16" s="793"/>
      <c r="D16" s="793"/>
      <c r="E16" s="160"/>
      <c r="F16" s="143"/>
      <c r="G16" s="140"/>
      <c r="H16" s="141"/>
      <c r="I16" s="15">
        <f t="shared" si="0"/>
      </c>
      <c r="J16" s="148"/>
      <c r="K16" s="15">
        <f t="shared" si="1"/>
      </c>
      <c r="L16" s="15">
        <f t="shared" si="2"/>
      </c>
      <c r="M16" s="16">
        <f t="shared" si="3"/>
      </c>
      <c r="N16" s="150">
        <v>8</v>
      </c>
    </row>
    <row r="17" spans="1:14" ht="61.5" customHeight="1">
      <c r="A17" s="120">
        <v>5</v>
      </c>
      <c r="B17" s="792"/>
      <c r="C17" s="793"/>
      <c r="D17" s="793"/>
      <c r="E17" s="160"/>
      <c r="F17" s="143"/>
      <c r="G17" s="140"/>
      <c r="H17" s="141"/>
      <c r="I17" s="15">
        <f t="shared" si="0"/>
      </c>
      <c r="J17" s="148"/>
      <c r="K17" s="15">
        <f t="shared" si="1"/>
      </c>
      <c r="L17" s="15">
        <f t="shared" si="2"/>
      </c>
      <c r="M17" s="16">
        <f t="shared" si="3"/>
      </c>
      <c r="N17" s="150">
        <v>8</v>
      </c>
    </row>
    <row r="18" spans="1:14" ht="61.5" customHeight="1">
      <c r="A18" s="120">
        <v>6</v>
      </c>
      <c r="B18" s="792"/>
      <c r="C18" s="793"/>
      <c r="D18" s="793"/>
      <c r="E18" s="160"/>
      <c r="F18" s="143"/>
      <c r="G18" s="140"/>
      <c r="H18" s="141"/>
      <c r="I18" s="15">
        <f t="shared" si="0"/>
      </c>
      <c r="J18" s="148"/>
      <c r="K18" s="15">
        <f t="shared" si="1"/>
      </c>
      <c r="L18" s="15">
        <f t="shared" si="2"/>
      </c>
      <c r="M18" s="16">
        <f t="shared" si="3"/>
      </c>
      <c r="N18" s="150">
        <v>8</v>
      </c>
    </row>
    <row r="19" spans="1:14" ht="61.5" customHeight="1">
      <c r="A19" s="120">
        <v>7</v>
      </c>
      <c r="B19" s="792"/>
      <c r="C19" s="793"/>
      <c r="D19" s="793"/>
      <c r="E19" s="160"/>
      <c r="F19" s="144"/>
      <c r="G19" s="140"/>
      <c r="H19" s="141"/>
      <c r="I19" s="15">
        <f t="shared" si="0"/>
      </c>
      <c r="J19" s="148"/>
      <c r="K19" s="15">
        <f t="shared" si="1"/>
      </c>
      <c r="L19" s="15">
        <f t="shared" si="2"/>
      </c>
      <c r="M19" s="16">
        <f t="shared" si="3"/>
      </c>
      <c r="N19" s="150">
        <v>8</v>
      </c>
    </row>
    <row r="20" spans="1:14" ht="61.5" customHeight="1">
      <c r="A20" s="120">
        <v>8</v>
      </c>
      <c r="B20" s="792"/>
      <c r="C20" s="793"/>
      <c r="D20" s="793"/>
      <c r="E20" s="160"/>
      <c r="F20" s="143"/>
      <c r="G20" s="140"/>
      <c r="H20" s="141"/>
      <c r="I20" s="15">
        <f t="shared" si="0"/>
      </c>
      <c r="J20" s="148"/>
      <c r="K20" s="15">
        <f t="shared" si="1"/>
      </c>
      <c r="L20" s="15">
        <f t="shared" si="2"/>
      </c>
      <c r="M20" s="16">
        <f t="shared" si="3"/>
      </c>
      <c r="N20" s="150">
        <v>8</v>
      </c>
    </row>
    <row r="21" spans="1:14" ht="61.5" customHeight="1">
      <c r="A21" s="120">
        <v>9</v>
      </c>
      <c r="B21" s="792"/>
      <c r="C21" s="793"/>
      <c r="D21" s="793"/>
      <c r="E21" s="160"/>
      <c r="F21" s="143"/>
      <c r="G21" s="140"/>
      <c r="H21" s="141"/>
      <c r="I21" s="15">
        <f t="shared" si="0"/>
      </c>
      <c r="J21" s="148"/>
      <c r="K21" s="15">
        <f t="shared" si="1"/>
      </c>
      <c r="L21" s="15">
        <f t="shared" si="2"/>
      </c>
      <c r="M21" s="16">
        <f t="shared" si="3"/>
      </c>
      <c r="N21" s="150">
        <v>8</v>
      </c>
    </row>
    <row r="22" spans="1:14" ht="61.5" customHeight="1" thickBot="1">
      <c r="A22" s="124">
        <v>10</v>
      </c>
      <c r="B22" s="796"/>
      <c r="C22" s="797"/>
      <c r="D22" s="797"/>
      <c r="E22" s="161"/>
      <c r="F22" s="145"/>
      <c r="G22" s="146"/>
      <c r="H22" s="147"/>
      <c r="I22" s="17">
        <f t="shared" si="0"/>
      </c>
      <c r="J22" s="149"/>
      <c r="K22" s="17">
        <f t="shared" si="1"/>
      </c>
      <c r="L22" s="17">
        <f t="shared" si="2"/>
      </c>
      <c r="M22" s="17">
        <f t="shared" si="3"/>
      </c>
      <c r="N22" s="151">
        <v>8</v>
      </c>
    </row>
    <row r="23" spans="1:13" ht="21" customHeight="1" thickBot="1">
      <c r="A23" s="809" t="s">
        <v>13</v>
      </c>
      <c r="B23" s="810"/>
      <c r="C23" s="810"/>
      <c r="D23" s="810"/>
      <c r="E23" s="810"/>
      <c r="F23" s="810"/>
      <c r="G23" s="810"/>
      <c r="H23" s="810"/>
      <c r="I23" s="810"/>
      <c r="J23" s="108"/>
      <c r="K23" s="14">
        <f>SUM(K13:K22)</f>
        <v>0</v>
      </c>
      <c r="L23" s="14">
        <f>SUM(L13:L22)</f>
        <v>0</v>
      </c>
      <c r="M23" s="181">
        <f>SUM(M13:M22)</f>
        <v>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783" t="s">
        <v>126</v>
      </c>
      <c r="C2" s="783"/>
      <c r="D2" s="783"/>
      <c r="E2" s="84"/>
      <c r="H2" s="83"/>
      <c r="O2" s="83"/>
      <c r="P2" s="86"/>
      <c r="Q2" s="86"/>
    </row>
    <row r="3" spans="1:17" ht="13.5">
      <c r="A3" s="83"/>
      <c r="E3" s="84"/>
      <c r="H3" s="83"/>
      <c r="O3" s="83"/>
      <c r="P3" s="86"/>
      <c r="Q3" s="86"/>
    </row>
    <row r="4" spans="1:6" ht="13.5" customHeight="1">
      <c r="A4" s="784" t="s">
        <v>288</v>
      </c>
      <c r="B4" s="784"/>
      <c r="C4" s="784"/>
      <c r="D4" s="784"/>
      <c r="E4" s="784"/>
      <c r="F4" s="83"/>
    </row>
    <row r="5" spans="1:6" ht="13.5" customHeight="1">
      <c r="A5" s="87"/>
      <c r="B5" s="87"/>
      <c r="C5" s="87"/>
      <c r="D5" s="87"/>
      <c r="E5" s="125"/>
      <c r="F5" s="83"/>
    </row>
    <row r="6" spans="1:8" ht="13.5" customHeight="1">
      <c r="A6" s="87"/>
      <c r="B6" s="89" t="s">
        <v>102</v>
      </c>
      <c r="C6" s="90"/>
      <c r="D6" s="91"/>
      <c r="E6" s="92"/>
      <c r="F6" s="597" t="s">
        <v>14</v>
      </c>
      <c r="G6" s="780"/>
      <c r="H6" s="598"/>
    </row>
    <row r="7" spans="1:8" ht="13.5" customHeight="1">
      <c r="A7" s="87"/>
      <c r="B7" s="87"/>
      <c r="C7" s="87"/>
      <c r="D7" s="87"/>
      <c r="E7" s="125"/>
      <c r="F7" s="789" t="s">
        <v>67</v>
      </c>
      <c r="G7" s="790"/>
      <c r="H7" s="791"/>
    </row>
    <row r="8" spans="1:14" ht="13.5" customHeight="1">
      <c r="A8" s="87"/>
      <c r="B8" s="87"/>
      <c r="C8" s="87"/>
      <c r="D8" s="87"/>
      <c r="E8" s="125"/>
      <c r="F8" s="83"/>
      <c r="M8" s="395" t="s">
        <v>294</v>
      </c>
      <c r="N8" s="93"/>
    </row>
    <row r="9" spans="1:12" ht="13.5" customHeight="1">
      <c r="A9" s="114"/>
      <c r="F9" s="83"/>
      <c r="I9" s="94" t="s">
        <v>28</v>
      </c>
      <c r="J9" s="1">
        <f>IF('基本情報入力（使い方）'!$C$12="","",'基本情報入力（使い方）'!$C$12)</f>
      </c>
      <c r="K9" s="94"/>
      <c r="L9" s="1"/>
    </row>
    <row r="10" spans="1:14" ht="13.5" customHeight="1" thickBot="1">
      <c r="A10" s="114"/>
      <c r="F10" s="83"/>
      <c r="M10" s="94"/>
      <c r="N10" s="94"/>
    </row>
    <row r="11" spans="1:14" ht="27" customHeight="1">
      <c r="A11" s="785" t="s">
        <v>1</v>
      </c>
      <c r="B11" s="787" t="s">
        <v>2</v>
      </c>
      <c r="C11" s="787"/>
      <c r="D11" s="788"/>
      <c r="E11" s="401" t="s">
        <v>3</v>
      </c>
      <c r="F11" s="402" t="s">
        <v>4</v>
      </c>
      <c r="G11" s="95" t="s">
        <v>5</v>
      </c>
      <c r="H11" s="95" t="s">
        <v>6</v>
      </c>
      <c r="I11" s="95" t="s">
        <v>0</v>
      </c>
      <c r="J11" s="95" t="s">
        <v>0</v>
      </c>
      <c r="K11" s="817" t="s">
        <v>7</v>
      </c>
      <c r="L11" s="795"/>
      <c r="M11" s="227" t="s">
        <v>139</v>
      </c>
      <c r="N11" s="781" t="s">
        <v>34</v>
      </c>
    </row>
    <row r="12" spans="1:14" ht="42" customHeight="1" thickBot="1">
      <c r="A12" s="786"/>
      <c r="B12" s="97" t="s">
        <v>8</v>
      </c>
      <c r="C12" s="97" t="s">
        <v>9</v>
      </c>
      <c r="D12" s="98" t="s">
        <v>10</v>
      </c>
      <c r="E12" s="126"/>
      <c r="F12" s="100"/>
      <c r="G12" s="101"/>
      <c r="H12" s="101"/>
      <c r="I12" s="101" t="s">
        <v>11</v>
      </c>
      <c r="J12" s="101" t="s">
        <v>21</v>
      </c>
      <c r="K12" s="101" t="s">
        <v>12</v>
      </c>
      <c r="L12" s="102" t="s">
        <v>19</v>
      </c>
      <c r="M12" s="173" t="s">
        <v>296</v>
      </c>
      <c r="N12" s="782"/>
    </row>
    <row r="13" spans="1:14" ht="61.5" customHeight="1">
      <c r="A13" s="119">
        <v>1</v>
      </c>
      <c r="B13" s="813"/>
      <c r="C13" s="814"/>
      <c r="D13" s="814"/>
      <c r="E13" s="164"/>
      <c r="F13" s="139"/>
      <c r="G13" s="140"/>
      <c r="H13" s="141"/>
      <c r="I13" s="15">
        <f aca="true" t="shared" si="0" ref="I13:I22">IF(J13="","",ROUNDDOWN(J13*(1+N13/100),0))</f>
      </c>
      <c r="J13" s="148"/>
      <c r="K13" s="15">
        <f aca="true" t="shared" si="1" ref="K13:K22">IF(L13="","",ROUNDDOWN(L13*(1+N13/100),0))</f>
      </c>
      <c r="L13" s="15">
        <f>IF(OR(J13="",G13=""),"",ROUNDDOWN(J13*G13,0))</f>
      </c>
      <c r="M13" s="16">
        <f>L13</f>
      </c>
      <c r="N13" s="150">
        <v>8</v>
      </c>
    </row>
    <row r="14" spans="1:14" ht="61.5" customHeight="1">
      <c r="A14" s="120">
        <v>2</v>
      </c>
      <c r="B14" s="792"/>
      <c r="C14" s="793"/>
      <c r="D14" s="793"/>
      <c r="E14" s="164"/>
      <c r="F14" s="143"/>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20">
        <v>3</v>
      </c>
      <c r="B15" s="792"/>
      <c r="C15" s="793"/>
      <c r="D15" s="793"/>
      <c r="E15" s="164"/>
      <c r="F15" s="143"/>
      <c r="G15" s="140"/>
      <c r="H15" s="141"/>
      <c r="I15" s="15">
        <f t="shared" si="0"/>
      </c>
      <c r="J15" s="148"/>
      <c r="K15" s="15">
        <f t="shared" si="1"/>
      </c>
      <c r="L15" s="15">
        <f t="shared" si="2"/>
      </c>
      <c r="M15" s="16">
        <f t="shared" si="3"/>
      </c>
      <c r="N15" s="150">
        <v>8</v>
      </c>
    </row>
    <row r="16" spans="1:14" ht="61.5" customHeight="1">
      <c r="A16" s="120">
        <v>4</v>
      </c>
      <c r="B16" s="792"/>
      <c r="C16" s="793"/>
      <c r="D16" s="793"/>
      <c r="E16" s="160"/>
      <c r="F16" s="143"/>
      <c r="G16" s="140"/>
      <c r="H16" s="141"/>
      <c r="I16" s="15">
        <f t="shared" si="0"/>
      </c>
      <c r="J16" s="148"/>
      <c r="K16" s="15">
        <f t="shared" si="1"/>
      </c>
      <c r="L16" s="15">
        <f t="shared" si="2"/>
      </c>
      <c r="M16" s="16">
        <f t="shared" si="3"/>
      </c>
      <c r="N16" s="150">
        <v>8</v>
      </c>
    </row>
    <row r="17" spans="1:14" ht="61.5" customHeight="1">
      <c r="A17" s="120">
        <v>5</v>
      </c>
      <c r="B17" s="792"/>
      <c r="C17" s="793"/>
      <c r="D17" s="793"/>
      <c r="E17" s="160"/>
      <c r="F17" s="143"/>
      <c r="G17" s="140"/>
      <c r="H17" s="141"/>
      <c r="I17" s="15">
        <f t="shared" si="0"/>
      </c>
      <c r="J17" s="148"/>
      <c r="K17" s="15">
        <f t="shared" si="1"/>
      </c>
      <c r="L17" s="15">
        <f t="shared" si="2"/>
      </c>
      <c r="M17" s="16">
        <f t="shared" si="3"/>
      </c>
      <c r="N17" s="150">
        <v>8</v>
      </c>
    </row>
    <row r="18" spans="1:14" ht="61.5" customHeight="1">
      <c r="A18" s="120">
        <v>6</v>
      </c>
      <c r="B18" s="792"/>
      <c r="C18" s="793"/>
      <c r="D18" s="793"/>
      <c r="E18" s="160"/>
      <c r="F18" s="143"/>
      <c r="G18" s="140"/>
      <c r="H18" s="141"/>
      <c r="I18" s="15">
        <f t="shared" si="0"/>
      </c>
      <c r="J18" s="148"/>
      <c r="K18" s="15">
        <f t="shared" si="1"/>
      </c>
      <c r="L18" s="15">
        <f t="shared" si="2"/>
      </c>
      <c r="M18" s="16">
        <f t="shared" si="3"/>
      </c>
      <c r="N18" s="150">
        <v>8</v>
      </c>
    </row>
    <row r="19" spans="1:14" ht="61.5" customHeight="1">
      <c r="A19" s="120">
        <v>7</v>
      </c>
      <c r="B19" s="792"/>
      <c r="C19" s="793"/>
      <c r="D19" s="793"/>
      <c r="E19" s="160"/>
      <c r="F19" s="144"/>
      <c r="G19" s="140"/>
      <c r="H19" s="141"/>
      <c r="I19" s="15">
        <f t="shared" si="0"/>
      </c>
      <c r="J19" s="148"/>
      <c r="K19" s="15">
        <f t="shared" si="1"/>
      </c>
      <c r="L19" s="15">
        <f t="shared" si="2"/>
      </c>
      <c r="M19" s="16">
        <f t="shared" si="3"/>
      </c>
      <c r="N19" s="150">
        <v>8</v>
      </c>
    </row>
    <row r="20" spans="1:14" ht="61.5" customHeight="1">
      <c r="A20" s="120">
        <v>8</v>
      </c>
      <c r="B20" s="792"/>
      <c r="C20" s="793"/>
      <c r="D20" s="793"/>
      <c r="E20" s="160"/>
      <c r="F20" s="143"/>
      <c r="G20" s="140"/>
      <c r="H20" s="141"/>
      <c r="I20" s="15">
        <f t="shared" si="0"/>
      </c>
      <c r="J20" s="148"/>
      <c r="K20" s="15">
        <f t="shared" si="1"/>
      </c>
      <c r="L20" s="15">
        <f t="shared" si="2"/>
      </c>
      <c r="M20" s="16">
        <f t="shared" si="3"/>
      </c>
      <c r="N20" s="150">
        <v>8</v>
      </c>
    </row>
    <row r="21" spans="1:14" ht="61.5" customHeight="1">
      <c r="A21" s="120">
        <v>9</v>
      </c>
      <c r="B21" s="792"/>
      <c r="C21" s="793"/>
      <c r="D21" s="793"/>
      <c r="E21" s="160"/>
      <c r="F21" s="143"/>
      <c r="G21" s="140"/>
      <c r="H21" s="141"/>
      <c r="I21" s="15">
        <f t="shared" si="0"/>
      </c>
      <c r="J21" s="148"/>
      <c r="K21" s="15">
        <f t="shared" si="1"/>
      </c>
      <c r="L21" s="15">
        <f t="shared" si="2"/>
      </c>
      <c r="M21" s="16">
        <f t="shared" si="3"/>
      </c>
      <c r="N21" s="150">
        <v>8</v>
      </c>
    </row>
    <row r="22" spans="1:14" ht="61.5" customHeight="1" thickBot="1">
      <c r="A22" s="124">
        <v>10</v>
      </c>
      <c r="B22" s="796"/>
      <c r="C22" s="797"/>
      <c r="D22" s="797"/>
      <c r="E22" s="161"/>
      <c r="F22" s="145"/>
      <c r="G22" s="146"/>
      <c r="H22" s="147"/>
      <c r="I22" s="17">
        <f t="shared" si="0"/>
      </c>
      <c r="J22" s="149"/>
      <c r="K22" s="17">
        <f t="shared" si="1"/>
      </c>
      <c r="L22" s="17">
        <f t="shared" si="2"/>
      </c>
      <c r="M22" s="17">
        <f t="shared" si="3"/>
      </c>
      <c r="N22" s="151">
        <v>8</v>
      </c>
    </row>
    <row r="23" spans="1:13" ht="21" customHeight="1" thickBot="1">
      <c r="A23" s="809" t="s">
        <v>13</v>
      </c>
      <c r="B23" s="810"/>
      <c r="C23" s="810"/>
      <c r="D23" s="810"/>
      <c r="E23" s="810"/>
      <c r="F23" s="810"/>
      <c r="G23" s="810"/>
      <c r="H23" s="810"/>
      <c r="I23" s="810"/>
      <c r="J23" s="108"/>
      <c r="K23" s="14">
        <f>SUM(K13:K22)</f>
        <v>0</v>
      </c>
      <c r="L23" s="14">
        <f>SUM(L13:L22)</f>
        <v>0</v>
      </c>
      <c r="M23" s="181">
        <f>SUM(M13:M22)</f>
        <v>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A23:I23"/>
    <mergeCell ref="B20:D20"/>
    <mergeCell ref="B21:D21"/>
    <mergeCell ref="B22:D22"/>
    <mergeCell ref="B13:D13"/>
    <mergeCell ref="B16:D16"/>
    <mergeCell ref="B17:D17"/>
    <mergeCell ref="B18:D18"/>
    <mergeCell ref="B19:D19"/>
    <mergeCell ref="B14:D14"/>
    <mergeCell ref="B2:D2"/>
    <mergeCell ref="N11:N12"/>
    <mergeCell ref="B15:D15"/>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Q30"/>
  <sheetViews>
    <sheetView showGridLines="0" zoomScaleSheetLayoutView="10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3" customWidth="1"/>
    <col min="2" max="4" width="3.7109375" style="85" customWidth="1"/>
    <col min="5" max="5" width="16.421875" style="84" customWidth="1"/>
    <col min="6" max="6" width="16.140625" style="1" customWidth="1"/>
    <col min="7" max="7" width="9.140625" style="85" customWidth="1"/>
    <col min="8" max="8" width="6.421875" style="85" customWidth="1"/>
    <col min="9" max="13" width="15.140625" style="85" customWidth="1"/>
    <col min="14" max="14" width="5.28125" style="83" customWidth="1"/>
    <col min="15" max="15" width="10.421875" style="85" bestFit="1" customWidth="1"/>
    <col min="16" max="16" width="9.00390625" style="85" customWidth="1"/>
    <col min="17" max="17" width="10.421875" style="85" bestFit="1" customWidth="1"/>
    <col min="18" max="16384" width="9.00390625" style="85" customWidth="1"/>
  </cols>
  <sheetData>
    <row r="1" spans="8:17" ht="13.5">
      <c r="H1" s="83"/>
      <c r="O1" s="83"/>
      <c r="P1" s="86"/>
      <c r="Q1" s="86"/>
    </row>
    <row r="2" spans="2:17" ht="13.5">
      <c r="B2" s="783" t="s">
        <v>126</v>
      </c>
      <c r="C2" s="783"/>
      <c r="D2" s="783"/>
      <c r="H2" s="83"/>
      <c r="O2" s="83"/>
      <c r="P2" s="86"/>
      <c r="Q2" s="86"/>
    </row>
    <row r="3" spans="8:17" ht="13.5">
      <c r="H3" s="83"/>
      <c r="O3" s="83"/>
      <c r="P3" s="86"/>
      <c r="Q3" s="86"/>
    </row>
    <row r="4" spans="1:6" ht="13.5" customHeight="1">
      <c r="A4" s="784" t="s">
        <v>288</v>
      </c>
      <c r="B4" s="784"/>
      <c r="C4" s="784"/>
      <c r="D4" s="784"/>
      <c r="E4" s="784"/>
      <c r="F4" s="83"/>
    </row>
    <row r="5" spans="1:6" ht="13.5" customHeight="1">
      <c r="A5" s="87"/>
      <c r="B5" s="87"/>
      <c r="C5" s="87"/>
      <c r="D5" s="87"/>
      <c r="E5" s="88"/>
      <c r="F5" s="83"/>
    </row>
    <row r="6" spans="1:8" ht="13.5" customHeight="1">
      <c r="A6" s="87"/>
      <c r="B6" s="89" t="s">
        <v>102</v>
      </c>
      <c r="C6" s="90"/>
      <c r="D6" s="91"/>
      <c r="E6" s="92"/>
      <c r="F6" s="597" t="s">
        <v>14</v>
      </c>
      <c r="G6" s="780"/>
      <c r="H6" s="598"/>
    </row>
    <row r="7" spans="1:8" ht="13.5" customHeight="1">
      <c r="A7" s="87"/>
      <c r="B7" s="87"/>
      <c r="C7" s="87"/>
      <c r="D7" s="87"/>
      <c r="E7" s="88"/>
      <c r="F7" s="789" t="s">
        <v>20</v>
      </c>
      <c r="G7" s="790"/>
      <c r="H7" s="791"/>
    </row>
    <row r="8" spans="1:14" ht="13.5" customHeight="1">
      <c r="A8" s="87"/>
      <c r="B8" s="87"/>
      <c r="C8" s="87"/>
      <c r="D8" s="87"/>
      <c r="E8" s="88"/>
      <c r="F8" s="83"/>
      <c r="M8" s="395" t="s">
        <v>294</v>
      </c>
      <c r="N8" s="93"/>
    </row>
    <row r="9" spans="1:12" ht="13.5" customHeight="1">
      <c r="A9" s="87"/>
      <c r="F9" s="83"/>
      <c r="I9" s="94" t="s">
        <v>28</v>
      </c>
      <c r="J9" s="1">
        <f>IF('基本情報入力（使い方）'!$C$12="","",'基本情報入力（使い方）'!$C$12)</f>
      </c>
      <c r="K9" s="94"/>
      <c r="L9" s="1"/>
    </row>
    <row r="10" spans="1:14" ht="13.5" customHeight="1" thickBot="1">
      <c r="A10" s="87"/>
      <c r="F10" s="83"/>
      <c r="M10" s="94"/>
      <c r="N10" s="94"/>
    </row>
    <row r="11" spans="1:14" ht="27" customHeight="1">
      <c r="A11" s="785" t="s">
        <v>1</v>
      </c>
      <c r="B11" s="787" t="s">
        <v>2</v>
      </c>
      <c r="C11" s="787"/>
      <c r="D11" s="788"/>
      <c r="E11" s="401" t="s">
        <v>3</v>
      </c>
      <c r="F11" s="402" t="s">
        <v>4</v>
      </c>
      <c r="G11" s="95" t="s">
        <v>5</v>
      </c>
      <c r="H11" s="95" t="s">
        <v>6</v>
      </c>
      <c r="I11" s="95" t="s">
        <v>0</v>
      </c>
      <c r="J11" s="95" t="s">
        <v>0</v>
      </c>
      <c r="K11" s="817" t="s">
        <v>7</v>
      </c>
      <c r="L11" s="795"/>
      <c r="M11" s="227" t="s">
        <v>139</v>
      </c>
      <c r="N11" s="781" t="s">
        <v>34</v>
      </c>
    </row>
    <row r="12" spans="1:14" ht="42" customHeight="1" thickBot="1">
      <c r="A12" s="786"/>
      <c r="B12" s="97" t="s">
        <v>8</v>
      </c>
      <c r="C12" s="97" t="s">
        <v>9</v>
      </c>
      <c r="D12" s="98" t="s">
        <v>10</v>
      </c>
      <c r="E12" s="99"/>
      <c r="F12" s="100"/>
      <c r="G12" s="101"/>
      <c r="H12" s="101"/>
      <c r="I12" s="101" t="s">
        <v>11</v>
      </c>
      <c r="J12" s="101" t="s">
        <v>21</v>
      </c>
      <c r="K12" s="101" t="s">
        <v>12</v>
      </c>
      <c r="L12" s="102" t="s">
        <v>19</v>
      </c>
      <c r="M12" s="173" t="s">
        <v>296</v>
      </c>
      <c r="N12" s="782"/>
    </row>
    <row r="13" spans="1:14" ht="61.5" customHeight="1">
      <c r="A13" s="119">
        <v>1</v>
      </c>
      <c r="B13" s="792"/>
      <c r="C13" s="793"/>
      <c r="D13" s="793"/>
      <c r="E13" s="138"/>
      <c r="F13" s="139"/>
      <c r="G13" s="140"/>
      <c r="H13" s="141"/>
      <c r="I13" s="15">
        <f aca="true" t="shared" si="0" ref="I13:I22">IF(J13="","",ROUNDDOWN(J13*(1+N13/100),0))</f>
      </c>
      <c r="J13" s="148"/>
      <c r="K13" s="15">
        <f aca="true" t="shared" si="1" ref="K13:K22">IF(L13="","",ROUNDDOWN(L13*(1+N13/100),0))</f>
      </c>
      <c r="L13" s="15">
        <f>IF(OR(J13="",G13=""),"",ROUNDDOWN(J13*G13,0))</f>
      </c>
      <c r="M13" s="16">
        <f>L13</f>
      </c>
      <c r="N13" s="150">
        <v>8</v>
      </c>
    </row>
    <row r="14" spans="1:15" ht="61.5" customHeight="1">
      <c r="A14" s="120">
        <v>2</v>
      </c>
      <c r="B14" s="792"/>
      <c r="C14" s="793"/>
      <c r="D14" s="793"/>
      <c r="E14" s="139"/>
      <c r="F14" s="139"/>
      <c r="G14" s="142"/>
      <c r="H14" s="141"/>
      <c r="I14" s="15">
        <f t="shared" si="0"/>
      </c>
      <c r="J14" s="157"/>
      <c r="K14" s="15">
        <f t="shared" si="1"/>
      </c>
      <c r="L14" s="16">
        <f aca="true" t="shared" si="2" ref="L14:L22">IF(OR(J14="",G14=""),"",ROUNDDOWN(J14*G14,0))</f>
      </c>
      <c r="M14" s="16">
        <f aca="true" t="shared" si="3" ref="M14:M22">L14</f>
      </c>
      <c r="N14" s="150">
        <v>8</v>
      </c>
      <c r="O14" s="93"/>
    </row>
    <row r="15" spans="1:15" ht="61.5" customHeight="1">
      <c r="A15" s="119">
        <v>3</v>
      </c>
      <c r="B15" s="792"/>
      <c r="C15" s="793"/>
      <c r="D15" s="793"/>
      <c r="E15" s="143"/>
      <c r="F15" s="143"/>
      <c r="G15" s="142"/>
      <c r="H15" s="141"/>
      <c r="I15" s="15">
        <f t="shared" si="0"/>
      </c>
      <c r="J15" s="157"/>
      <c r="K15" s="15">
        <f t="shared" si="1"/>
      </c>
      <c r="L15" s="16">
        <f t="shared" si="2"/>
      </c>
      <c r="M15" s="16">
        <f t="shared" si="3"/>
      </c>
      <c r="N15" s="150">
        <v>8</v>
      </c>
      <c r="O15" s="93"/>
    </row>
    <row r="16" spans="1:17" s="105" customFormat="1" ht="61.5" customHeight="1">
      <c r="A16" s="120">
        <v>4</v>
      </c>
      <c r="B16" s="792"/>
      <c r="C16" s="793"/>
      <c r="D16" s="793"/>
      <c r="E16" s="143"/>
      <c r="F16" s="143"/>
      <c r="G16" s="140"/>
      <c r="H16" s="141"/>
      <c r="I16" s="15">
        <f t="shared" si="0"/>
      </c>
      <c r="J16" s="157"/>
      <c r="K16" s="15">
        <f t="shared" si="1"/>
      </c>
      <c r="L16" s="16">
        <f t="shared" si="2"/>
      </c>
      <c r="M16" s="16">
        <f t="shared" si="3"/>
      </c>
      <c r="N16" s="150">
        <v>8</v>
      </c>
      <c r="O16" s="93"/>
      <c r="P16" s="85"/>
      <c r="Q16" s="85"/>
    </row>
    <row r="17" spans="1:17" s="105" customFormat="1" ht="61.5" customHeight="1">
      <c r="A17" s="119">
        <v>5</v>
      </c>
      <c r="B17" s="792"/>
      <c r="C17" s="793"/>
      <c r="D17" s="793"/>
      <c r="E17" s="143"/>
      <c r="F17" s="143"/>
      <c r="G17" s="142"/>
      <c r="H17" s="141"/>
      <c r="I17" s="15">
        <f t="shared" si="0"/>
      </c>
      <c r="J17" s="157"/>
      <c r="K17" s="15">
        <f t="shared" si="1"/>
      </c>
      <c r="L17" s="16">
        <f t="shared" si="2"/>
      </c>
      <c r="M17" s="16">
        <f t="shared" si="3"/>
      </c>
      <c r="N17" s="150">
        <v>8</v>
      </c>
      <c r="O17" s="85"/>
      <c r="P17" s="85"/>
      <c r="Q17" s="85"/>
    </row>
    <row r="18" spans="1:14" ht="61.5" customHeight="1">
      <c r="A18" s="120">
        <v>6</v>
      </c>
      <c r="B18" s="792"/>
      <c r="C18" s="793"/>
      <c r="D18" s="793"/>
      <c r="E18" s="166"/>
      <c r="F18" s="143"/>
      <c r="G18" s="142"/>
      <c r="H18" s="141"/>
      <c r="I18" s="15">
        <f t="shared" si="0"/>
      </c>
      <c r="J18" s="157"/>
      <c r="K18" s="15">
        <f t="shared" si="1"/>
      </c>
      <c r="L18" s="16">
        <f t="shared" si="2"/>
      </c>
      <c r="M18" s="16">
        <f t="shared" si="3"/>
      </c>
      <c r="N18" s="150">
        <v>8</v>
      </c>
    </row>
    <row r="19" spans="1:14" ht="61.5" customHeight="1">
      <c r="A19" s="119">
        <v>7</v>
      </c>
      <c r="B19" s="792"/>
      <c r="C19" s="793"/>
      <c r="D19" s="793"/>
      <c r="E19" s="166"/>
      <c r="F19" s="143"/>
      <c r="G19" s="140"/>
      <c r="H19" s="155"/>
      <c r="I19" s="15">
        <f t="shared" si="0"/>
      </c>
      <c r="J19" s="157"/>
      <c r="K19" s="15">
        <f t="shared" si="1"/>
      </c>
      <c r="L19" s="16">
        <f t="shared" si="2"/>
      </c>
      <c r="M19" s="16">
        <f t="shared" si="3"/>
      </c>
      <c r="N19" s="150">
        <v>8</v>
      </c>
    </row>
    <row r="20" spans="1:14" ht="61.5" customHeight="1">
      <c r="A20" s="120">
        <v>8</v>
      </c>
      <c r="B20" s="792"/>
      <c r="C20" s="793"/>
      <c r="D20" s="793"/>
      <c r="E20" s="166"/>
      <c r="F20" s="143"/>
      <c r="G20" s="142"/>
      <c r="H20" s="155"/>
      <c r="I20" s="15">
        <f t="shared" si="0"/>
      </c>
      <c r="J20" s="157"/>
      <c r="K20" s="15">
        <f t="shared" si="1"/>
      </c>
      <c r="L20" s="16">
        <f t="shared" si="2"/>
      </c>
      <c r="M20" s="16">
        <f t="shared" si="3"/>
      </c>
      <c r="N20" s="150">
        <v>8</v>
      </c>
    </row>
    <row r="21" spans="1:14" ht="61.5" customHeight="1">
      <c r="A21" s="119">
        <v>9</v>
      </c>
      <c r="B21" s="792"/>
      <c r="C21" s="793"/>
      <c r="D21" s="793"/>
      <c r="E21" s="166"/>
      <c r="F21" s="143"/>
      <c r="G21" s="142"/>
      <c r="H21" s="155"/>
      <c r="I21" s="15">
        <f t="shared" si="0"/>
      </c>
      <c r="J21" s="157"/>
      <c r="K21" s="15">
        <f t="shared" si="1"/>
      </c>
      <c r="L21" s="16">
        <f t="shared" si="2"/>
      </c>
      <c r="M21" s="16">
        <f t="shared" si="3"/>
      </c>
      <c r="N21" s="150">
        <v>8</v>
      </c>
    </row>
    <row r="22" spans="1:14" ht="61.5" customHeight="1" thickBot="1">
      <c r="A22" s="124">
        <v>10</v>
      </c>
      <c r="B22" s="796"/>
      <c r="C22" s="797"/>
      <c r="D22" s="797"/>
      <c r="E22" s="167"/>
      <c r="F22" s="145"/>
      <c r="G22" s="146"/>
      <c r="H22" s="147"/>
      <c r="I22" s="17">
        <f t="shared" si="0"/>
      </c>
      <c r="J22" s="149"/>
      <c r="K22" s="17">
        <f t="shared" si="1"/>
      </c>
      <c r="L22" s="17">
        <f t="shared" si="2"/>
      </c>
      <c r="M22" s="17">
        <f t="shared" si="3"/>
      </c>
      <c r="N22" s="151">
        <v>8</v>
      </c>
    </row>
    <row r="23" spans="1:13" ht="21" customHeight="1" thickBot="1">
      <c r="A23" s="809" t="s">
        <v>13</v>
      </c>
      <c r="B23" s="810"/>
      <c r="C23" s="810"/>
      <c r="D23" s="810"/>
      <c r="E23" s="810"/>
      <c r="F23" s="810"/>
      <c r="G23" s="810"/>
      <c r="H23" s="810"/>
      <c r="I23" s="810"/>
      <c r="J23" s="108"/>
      <c r="K23" s="14">
        <f>SUM(K13:K22)</f>
        <v>0</v>
      </c>
      <c r="L23" s="19">
        <f>SUM(L13:L22)</f>
        <v>0</v>
      </c>
      <c r="M23" s="181">
        <f>SUM(M13:M22)</f>
        <v>0</v>
      </c>
    </row>
    <row r="24" spans="1:13" ht="13.5" customHeight="1">
      <c r="A24" s="87"/>
      <c r="L24" s="111"/>
      <c r="M24" s="112"/>
    </row>
    <row r="25" spans="2:5" ht="13.5" customHeight="1">
      <c r="B25" s="85" t="s">
        <v>15</v>
      </c>
      <c r="D25" s="114"/>
      <c r="E25" s="1" t="s">
        <v>29</v>
      </c>
    </row>
    <row r="26" spans="2:15" ht="13.5" customHeight="1">
      <c r="B26" s="85" t="s">
        <v>16</v>
      </c>
      <c r="E26" s="1" t="s">
        <v>30</v>
      </c>
      <c r="O26" s="1"/>
    </row>
    <row r="27" spans="2:15" ht="13.5" customHeight="1">
      <c r="B27" s="85" t="s">
        <v>17</v>
      </c>
      <c r="E27" s="1" t="s">
        <v>31</v>
      </c>
      <c r="O27" s="1"/>
    </row>
    <row r="28" spans="1:15" s="1" customFormat="1" ht="13.5">
      <c r="A28" s="83"/>
      <c r="B28" s="85"/>
      <c r="C28" s="85"/>
      <c r="D28" s="85"/>
      <c r="E28" s="84"/>
      <c r="G28" s="85"/>
      <c r="H28" s="85"/>
      <c r="I28" s="85"/>
      <c r="J28" s="85"/>
      <c r="K28" s="85"/>
      <c r="L28" s="85"/>
      <c r="M28" s="85"/>
      <c r="N28" s="83"/>
      <c r="O28" s="85"/>
    </row>
    <row r="29" spans="1:15" s="1" customFormat="1" ht="13.5">
      <c r="A29" s="83"/>
      <c r="B29" s="85"/>
      <c r="C29" s="85"/>
      <c r="D29" s="85"/>
      <c r="E29" s="84"/>
      <c r="G29" s="85"/>
      <c r="H29" s="85"/>
      <c r="I29" s="85"/>
      <c r="J29" s="85"/>
      <c r="K29" s="85"/>
      <c r="L29" s="85"/>
      <c r="M29" s="85"/>
      <c r="N29" s="83"/>
      <c r="O29" s="85"/>
    </row>
    <row r="30" spans="1:15" s="1" customFormat="1" ht="13.5">
      <c r="A30" s="83"/>
      <c r="B30" s="85"/>
      <c r="C30" s="85"/>
      <c r="D30" s="85"/>
      <c r="E30" s="84"/>
      <c r="G30" s="85"/>
      <c r="H30" s="85"/>
      <c r="I30" s="85"/>
      <c r="J30" s="85"/>
      <c r="K30" s="85"/>
      <c r="L30" s="85"/>
      <c r="M30" s="85"/>
      <c r="N30" s="83"/>
      <c r="O30" s="85"/>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Q27"/>
  <sheetViews>
    <sheetView showGridLines="0" zoomScaleSheetLayoutView="10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84" customWidth="1"/>
    <col min="6" max="6" width="16.140625" style="1" customWidth="1"/>
    <col min="7" max="7" width="9.140625" style="85" customWidth="1"/>
    <col min="8" max="8" width="6.421875" style="85" customWidth="1"/>
    <col min="9" max="9" width="15.140625" style="85" customWidth="1"/>
    <col min="10" max="10" width="15.140625" style="115" customWidth="1"/>
    <col min="11" max="13" width="15.140625" style="85" customWidth="1"/>
    <col min="14" max="14" width="5.28125" style="83" customWidth="1"/>
    <col min="15" max="16384" width="9.00390625" style="85" customWidth="1"/>
  </cols>
  <sheetData>
    <row r="1" spans="1:17" ht="13.5">
      <c r="A1" s="83"/>
      <c r="H1" s="83"/>
      <c r="J1" s="85"/>
      <c r="O1" s="83"/>
      <c r="P1" s="86"/>
      <c r="Q1" s="86"/>
    </row>
    <row r="2" spans="1:17" ht="13.5">
      <c r="A2" s="83"/>
      <c r="B2" s="783" t="s">
        <v>126</v>
      </c>
      <c r="C2" s="783"/>
      <c r="D2" s="783"/>
      <c r="H2" s="83"/>
      <c r="J2" s="85"/>
      <c r="O2" s="83"/>
      <c r="P2" s="86"/>
      <c r="Q2" s="86"/>
    </row>
    <row r="3" spans="1:17" ht="13.5">
      <c r="A3" s="83"/>
      <c r="H3" s="83"/>
      <c r="J3" s="85"/>
      <c r="O3" s="83"/>
      <c r="P3" s="86"/>
      <c r="Q3" s="86"/>
    </row>
    <row r="4" spans="1:6" ht="13.5" customHeight="1">
      <c r="A4" s="784" t="s">
        <v>288</v>
      </c>
      <c r="B4" s="784"/>
      <c r="C4" s="784"/>
      <c r="D4" s="784"/>
      <c r="E4" s="784"/>
      <c r="F4" s="83"/>
    </row>
    <row r="5" spans="1:6" ht="13.5" customHeight="1">
      <c r="A5" s="87"/>
      <c r="B5" s="87"/>
      <c r="C5" s="87"/>
      <c r="D5" s="87"/>
      <c r="E5" s="88"/>
      <c r="F5" s="83"/>
    </row>
    <row r="6" spans="1:8" ht="13.5" customHeight="1">
      <c r="A6" s="87"/>
      <c r="B6" s="89" t="s">
        <v>102</v>
      </c>
      <c r="C6" s="90"/>
      <c r="D6" s="91"/>
      <c r="E6" s="92"/>
      <c r="F6" s="597" t="s">
        <v>14</v>
      </c>
      <c r="G6" s="780"/>
      <c r="H6" s="598"/>
    </row>
    <row r="7" spans="1:8" ht="13.5" customHeight="1">
      <c r="A7" s="87"/>
      <c r="B7" s="87"/>
      <c r="C7" s="87"/>
      <c r="D7" s="87"/>
      <c r="E7" s="88"/>
      <c r="F7" s="789" t="s">
        <v>25</v>
      </c>
      <c r="G7" s="790"/>
      <c r="H7" s="791"/>
    </row>
    <row r="8" spans="1:14" ht="13.5" customHeight="1">
      <c r="A8" s="87"/>
      <c r="B8" s="87"/>
      <c r="C8" s="87"/>
      <c r="D8" s="87"/>
      <c r="E8" s="88"/>
      <c r="F8" s="83"/>
      <c r="M8" s="395" t="s">
        <v>294</v>
      </c>
      <c r="N8" s="93"/>
    </row>
    <row r="9" spans="1:12" ht="13.5" customHeight="1">
      <c r="A9" s="114"/>
      <c r="F9" s="83"/>
      <c r="I9" s="94" t="s">
        <v>28</v>
      </c>
      <c r="J9" s="1">
        <f>IF('基本情報入力（使い方）'!$C$12="","",'基本情報入力（使い方）'!$C$12)</f>
      </c>
      <c r="K9" s="94"/>
      <c r="L9" s="1"/>
    </row>
    <row r="10" spans="1:14" ht="13.5" customHeight="1" thickBot="1">
      <c r="A10" s="114"/>
      <c r="F10" s="83"/>
      <c r="M10" s="94"/>
      <c r="N10" s="94"/>
    </row>
    <row r="11" spans="1:14" ht="27" customHeight="1">
      <c r="A11" s="785" t="s">
        <v>1</v>
      </c>
      <c r="B11" s="787" t="s">
        <v>2</v>
      </c>
      <c r="C11" s="787"/>
      <c r="D11" s="788"/>
      <c r="E11" s="401" t="s">
        <v>3</v>
      </c>
      <c r="F11" s="402" t="s">
        <v>4</v>
      </c>
      <c r="G11" s="95" t="s">
        <v>5</v>
      </c>
      <c r="H11" s="95" t="s">
        <v>6</v>
      </c>
      <c r="I11" s="95" t="s">
        <v>0</v>
      </c>
      <c r="J11" s="127" t="s">
        <v>0</v>
      </c>
      <c r="K11" s="817" t="s">
        <v>7</v>
      </c>
      <c r="L11" s="795"/>
      <c r="M11" s="227" t="s">
        <v>139</v>
      </c>
      <c r="N11" s="781" t="s">
        <v>34</v>
      </c>
    </row>
    <row r="12" spans="1:14" ht="42" customHeight="1" thickBot="1">
      <c r="A12" s="786"/>
      <c r="B12" s="97" t="s">
        <v>8</v>
      </c>
      <c r="C12" s="97" t="s">
        <v>9</v>
      </c>
      <c r="D12" s="98" t="s">
        <v>10</v>
      </c>
      <c r="E12" s="99"/>
      <c r="F12" s="100"/>
      <c r="G12" s="101"/>
      <c r="H12" s="101"/>
      <c r="I12" s="101" t="s">
        <v>11</v>
      </c>
      <c r="J12" s="128" t="s">
        <v>21</v>
      </c>
      <c r="K12" s="101" t="s">
        <v>12</v>
      </c>
      <c r="L12" s="102" t="s">
        <v>19</v>
      </c>
      <c r="M12" s="173" t="s">
        <v>296</v>
      </c>
      <c r="N12" s="782"/>
    </row>
    <row r="13" spans="1:14" ht="61.5" customHeight="1">
      <c r="A13" s="119">
        <v>1</v>
      </c>
      <c r="B13" s="792"/>
      <c r="C13" s="793"/>
      <c r="D13" s="793"/>
      <c r="E13" s="138"/>
      <c r="F13" s="139"/>
      <c r="G13" s="140"/>
      <c r="H13" s="141"/>
      <c r="I13" s="15">
        <f aca="true" t="shared" si="0" ref="I13:I22">IF(J13="","",ROUNDDOWN(J13*(1+N13/100),0))</f>
      </c>
      <c r="J13" s="148"/>
      <c r="K13" s="15">
        <f aca="true" t="shared" si="1" ref="K13:K22">IF(L13="","",ROUNDDOWN(L13*(1+N13/100),0))</f>
      </c>
      <c r="L13" s="15">
        <f>IF(OR(J13="",G13=""),"",ROUNDDOWN(J13*G13,0))</f>
      </c>
      <c r="M13" s="16">
        <f>L13</f>
      </c>
      <c r="N13" s="150">
        <v>8</v>
      </c>
    </row>
    <row r="14" spans="1:14" ht="61.5" customHeight="1">
      <c r="A14" s="120">
        <v>2</v>
      </c>
      <c r="B14" s="792"/>
      <c r="C14" s="793"/>
      <c r="D14" s="793"/>
      <c r="E14" s="143"/>
      <c r="F14" s="139"/>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19">
        <v>3</v>
      </c>
      <c r="B15" s="792"/>
      <c r="C15" s="793"/>
      <c r="D15" s="793"/>
      <c r="E15" s="143"/>
      <c r="F15" s="143"/>
      <c r="G15" s="140"/>
      <c r="H15" s="141"/>
      <c r="I15" s="15">
        <f t="shared" si="0"/>
      </c>
      <c r="J15" s="148"/>
      <c r="K15" s="15">
        <f t="shared" si="1"/>
      </c>
      <c r="L15" s="15">
        <f t="shared" si="2"/>
      </c>
      <c r="M15" s="16">
        <f t="shared" si="3"/>
      </c>
      <c r="N15" s="150">
        <v>8</v>
      </c>
    </row>
    <row r="16" spans="1:14" s="105" customFormat="1" ht="61.5" customHeight="1">
      <c r="A16" s="120">
        <v>4</v>
      </c>
      <c r="B16" s="792"/>
      <c r="C16" s="793"/>
      <c r="D16" s="793"/>
      <c r="E16" s="143"/>
      <c r="F16" s="143"/>
      <c r="G16" s="140"/>
      <c r="H16" s="141"/>
      <c r="I16" s="15">
        <f t="shared" si="0"/>
      </c>
      <c r="J16" s="148"/>
      <c r="K16" s="15">
        <f t="shared" si="1"/>
      </c>
      <c r="L16" s="15">
        <f t="shared" si="2"/>
      </c>
      <c r="M16" s="16">
        <f t="shared" si="3"/>
      </c>
      <c r="N16" s="150">
        <v>8</v>
      </c>
    </row>
    <row r="17" spans="1:14" s="105" customFormat="1" ht="61.5" customHeight="1">
      <c r="A17" s="119">
        <v>5</v>
      </c>
      <c r="B17" s="792"/>
      <c r="C17" s="793"/>
      <c r="D17" s="793"/>
      <c r="E17" s="143"/>
      <c r="F17" s="143"/>
      <c r="G17" s="140"/>
      <c r="H17" s="141"/>
      <c r="I17" s="15">
        <f t="shared" si="0"/>
      </c>
      <c r="J17" s="148"/>
      <c r="K17" s="15">
        <f t="shared" si="1"/>
      </c>
      <c r="L17" s="15">
        <f t="shared" si="2"/>
      </c>
      <c r="M17" s="16">
        <f t="shared" si="3"/>
      </c>
      <c r="N17" s="150">
        <v>8</v>
      </c>
    </row>
    <row r="18" spans="1:14" ht="61.5" customHeight="1">
      <c r="A18" s="120">
        <v>6</v>
      </c>
      <c r="B18" s="792"/>
      <c r="C18" s="793"/>
      <c r="D18" s="793"/>
      <c r="E18" s="143"/>
      <c r="F18" s="143"/>
      <c r="G18" s="140"/>
      <c r="H18" s="141"/>
      <c r="I18" s="15">
        <f t="shared" si="0"/>
      </c>
      <c r="J18" s="148"/>
      <c r="K18" s="15">
        <f t="shared" si="1"/>
      </c>
      <c r="L18" s="15">
        <f t="shared" si="2"/>
      </c>
      <c r="M18" s="16">
        <f t="shared" si="3"/>
      </c>
      <c r="N18" s="150">
        <v>8</v>
      </c>
    </row>
    <row r="19" spans="1:14" ht="61.5" customHeight="1">
      <c r="A19" s="119">
        <v>7</v>
      </c>
      <c r="B19" s="792"/>
      <c r="C19" s="793"/>
      <c r="D19" s="793"/>
      <c r="E19" s="143"/>
      <c r="F19" s="144"/>
      <c r="G19" s="140"/>
      <c r="H19" s="141"/>
      <c r="I19" s="15">
        <f t="shared" si="0"/>
      </c>
      <c r="J19" s="148"/>
      <c r="K19" s="15">
        <f t="shared" si="1"/>
      </c>
      <c r="L19" s="15">
        <f t="shared" si="2"/>
      </c>
      <c r="M19" s="16">
        <f t="shared" si="3"/>
      </c>
      <c r="N19" s="150">
        <v>8</v>
      </c>
    </row>
    <row r="20" spans="1:14" ht="61.5" customHeight="1">
      <c r="A20" s="120">
        <v>8</v>
      </c>
      <c r="B20" s="792"/>
      <c r="C20" s="793"/>
      <c r="D20" s="793"/>
      <c r="E20" s="143"/>
      <c r="F20" s="143"/>
      <c r="G20" s="140"/>
      <c r="H20" s="141"/>
      <c r="I20" s="15">
        <f t="shared" si="0"/>
      </c>
      <c r="J20" s="148"/>
      <c r="K20" s="15">
        <f t="shared" si="1"/>
      </c>
      <c r="L20" s="15">
        <f t="shared" si="2"/>
      </c>
      <c r="M20" s="16">
        <f t="shared" si="3"/>
      </c>
      <c r="N20" s="150">
        <v>8</v>
      </c>
    </row>
    <row r="21" spans="1:14" ht="61.5" customHeight="1">
      <c r="A21" s="119">
        <v>9</v>
      </c>
      <c r="B21" s="792"/>
      <c r="C21" s="793"/>
      <c r="D21" s="793"/>
      <c r="E21" s="143"/>
      <c r="F21" s="143"/>
      <c r="G21" s="140"/>
      <c r="H21" s="141"/>
      <c r="I21" s="15">
        <f t="shared" si="0"/>
      </c>
      <c r="J21" s="148"/>
      <c r="K21" s="15">
        <f t="shared" si="1"/>
      </c>
      <c r="L21" s="15">
        <f t="shared" si="2"/>
      </c>
      <c r="M21" s="16">
        <f t="shared" si="3"/>
      </c>
      <c r="N21" s="150">
        <v>8</v>
      </c>
    </row>
    <row r="22" spans="1:14" ht="61.5" customHeight="1" thickBot="1">
      <c r="A22" s="124">
        <v>10</v>
      </c>
      <c r="B22" s="796"/>
      <c r="C22" s="797"/>
      <c r="D22" s="797"/>
      <c r="E22" s="145"/>
      <c r="F22" s="145"/>
      <c r="G22" s="146"/>
      <c r="H22" s="147"/>
      <c r="I22" s="17">
        <f t="shared" si="0"/>
      </c>
      <c r="J22" s="149"/>
      <c r="K22" s="17">
        <f t="shared" si="1"/>
      </c>
      <c r="L22" s="17">
        <f t="shared" si="2"/>
      </c>
      <c r="M22" s="17">
        <f t="shared" si="3"/>
      </c>
      <c r="N22" s="151">
        <v>8</v>
      </c>
    </row>
    <row r="23" spans="1:13" ht="21" customHeight="1" thickBot="1">
      <c r="A23" s="809" t="s">
        <v>13</v>
      </c>
      <c r="B23" s="810"/>
      <c r="C23" s="810"/>
      <c r="D23" s="810"/>
      <c r="E23" s="810"/>
      <c r="F23" s="810"/>
      <c r="G23" s="810"/>
      <c r="H23" s="810"/>
      <c r="I23" s="810"/>
      <c r="J23" s="129"/>
      <c r="K23" s="14">
        <f>SUM(K13:K22)</f>
        <v>0</v>
      </c>
      <c r="L23" s="14">
        <f>SUM(L13:L22)</f>
        <v>0</v>
      </c>
      <c r="M23" s="181">
        <f>SUM(M13:M22)</f>
        <v>0</v>
      </c>
    </row>
    <row r="24" spans="1:13" ht="13.5" customHeight="1">
      <c r="A24" s="114"/>
      <c r="L24" s="111"/>
      <c r="M24" s="112"/>
    </row>
    <row r="25" spans="2:5" ht="13.5" customHeight="1">
      <c r="B25" s="85" t="s">
        <v>15</v>
      </c>
      <c r="D25" s="114"/>
      <c r="E25" s="1" t="s">
        <v>29</v>
      </c>
    </row>
    <row r="26" spans="1:14" s="1" customFormat="1" ht="13.5" customHeight="1">
      <c r="A26" s="85"/>
      <c r="B26" s="85" t="s">
        <v>16</v>
      </c>
      <c r="C26" s="85"/>
      <c r="D26" s="85"/>
      <c r="E26" s="1" t="s">
        <v>30</v>
      </c>
      <c r="G26" s="85"/>
      <c r="H26" s="85"/>
      <c r="I26" s="85"/>
      <c r="J26" s="115"/>
      <c r="K26" s="85"/>
      <c r="L26" s="85"/>
      <c r="M26" s="85"/>
      <c r="N26" s="83"/>
    </row>
    <row r="27" spans="1:14" s="1" customFormat="1" ht="13.5" customHeight="1">
      <c r="A27" s="85"/>
      <c r="B27" s="85" t="s">
        <v>17</v>
      </c>
      <c r="C27" s="85"/>
      <c r="D27" s="85"/>
      <c r="E27" s="1" t="s">
        <v>31</v>
      </c>
      <c r="G27" s="85"/>
      <c r="H27" s="85"/>
      <c r="I27" s="85"/>
      <c r="J27" s="115"/>
      <c r="K27" s="85"/>
      <c r="L27" s="85"/>
      <c r="M27" s="85"/>
      <c r="N27" s="83"/>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Q27"/>
  <sheetViews>
    <sheetView showGridLines="0" zoomScaleSheetLayoutView="10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783" t="s">
        <v>126</v>
      </c>
      <c r="C2" s="783"/>
      <c r="D2" s="783"/>
      <c r="E2" s="84"/>
      <c r="H2" s="83"/>
      <c r="O2" s="83"/>
      <c r="P2" s="86"/>
      <c r="Q2" s="86"/>
    </row>
    <row r="3" spans="1:17" ht="13.5">
      <c r="A3" s="83"/>
      <c r="E3" s="84"/>
      <c r="H3" s="83"/>
      <c r="O3" s="83"/>
      <c r="P3" s="86"/>
      <c r="Q3" s="86"/>
    </row>
    <row r="4" spans="1:6" ht="13.5" customHeight="1">
      <c r="A4" s="784" t="s">
        <v>288</v>
      </c>
      <c r="B4" s="784"/>
      <c r="C4" s="784"/>
      <c r="D4" s="784"/>
      <c r="E4" s="784"/>
      <c r="F4" s="83"/>
    </row>
    <row r="5" spans="1:6" ht="13.5" customHeight="1">
      <c r="A5" s="87"/>
      <c r="B5" s="87"/>
      <c r="C5" s="87"/>
      <c r="D5" s="87"/>
      <c r="E5" s="125"/>
      <c r="F5" s="83"/>
    </row>
    <row r="6" spans="1:8" ht="13.5" customHeight="1">
      <c r="A6" s="87"/>
      <c r="B6" s="89" t="s">
        <v>102</v>
      </c>
      <c r="C6" s="90"/>
      <c r="D6" s="91"/>
      <c r="E6" s="92"/>
      <c r="F6" s="597" t="s">
        <v>14</v>
      </c>
      <c r="G6" s="780"/>
      <c r="H6" s="598"/>
    </row>
    <row r="7" spans="1:8" ht="13.5" customHeight="1">
      <c r="A7" s="87"/>
      <c r="B7" s="87"/>
      <c r="C7" s="87"/>
      <c r="D7" s="87"/>
      <c r="E7" s="125"/>
      <c r="F7" s="789" t="s">
        <v>24</v>
      </c>
      <c r="G7" s="790"/>
      <c r="H7" s="791"/>
    </row>
    <row r="8" spans="1:14" ht="13.5" customHeight="1">
      <c r="A8" s="87"/>
      <c r="B8" s="87"/>
      <c r="C8" s="87"/>
      <c r="D8" s="87"/>
      <c r="E8" s="125"/>
      <c r="F8" s="83"/>
      <c r="M8" s="395" t="s">
        <v>294</v>
      </c>
      <c r="N8" s="93"/>
    </row>
    <row r="9" spans="1:12" ht="13.5" customHeight="1">
      <c r="A9" s="114"/>
      <c r="F9" s="83"/>
      <c r="I9" s="94" t="s">
        <v>28</v>
      </c>
      <c r="J9" s="1">
        <f>IF('基本情報入力（使い方）'!$C$12="","",'基本情報入力（使い方）'!$C$12)</f>
      </c>
      <c r="K9" s="94"/>
      <c r="L9" s="1"/>
    </row>
    <row r="10" spans="1:14" ht="13.5" customHeight="1" thickBot="1">
      <c r="A10" s="114"/>
      <c r="F10" s="83"/>
      <c r="M10" s="94"/>
      <c r="N10" s="94"/>
    </row>
    <row r="11" spans="1:14" ht="27" customHeight="1">
      <c r="A11" s="785" t="s">
        <v>1</v>
      </c>
      <c r="B11" s="787" t="s">
        <v>2</v>
      </c>
      <c r="C11" s="787"/>
      <c r="D11" s="788"/>
      <c r="E11" s="401" t="s">
        <v>3</v>
      </c>
      <c r="F11" s="402" t="s">
        <v>4</v>
      </c>
      <c r="G11" s="95" t="s">
        <v>5</v>
      </c>
      <c r="H11" s="95" t="s">
        <v>6</v>
      </c>
      <c r="I11" s="95" t="s">
        <v>0</v>
      </c>
      <c r="J11" s="95" t="s">
        <v>0</v>
      </c>
      <c r="K11" s="817" t="s">
        <v>7</v>
      </c>
      <c r="L11" s="795"/>
      <c r="M11" s="227" t="s">
        <v>139</v>
      </c>
      <c r="N11" s="781" t="s">
        <v>34</v>
      </c>
    </row>
    <row r="12" spans="1:14" ht="42" customHeight="1" thickBot="1">
      <c r="A12" s="786"/>
      <c r="B12" s="97" t="s">
        <v>8</v>
      </c>
      <c r="C12" s="97" t="s">
        <v>9</v>
      </c>
      <c r="D12" s="98" t="s">
        <v>10</v>
      </c>
      <c r="E12" s="126"/>
      <c r="F12" s="100"/>
      <c r="G12" s="101"/>
      <c r="H12" s="101"/>
      <c r="I12" s="101" t="s">
        <v>11</v>
      </c>
      <c r="J12" s="101" t="s">
        <v>21</v>
      </c>
      <c r="K12" s="101" t="s">
        <v>12</v>
      </c>
      <c r="L12" s="102" t="s">
        <v>19</v>
      </c>
      <c r="M12" s="173" t="s">
        <v>296</v>
      </c>
      <c r="N12" s="782"/>
    </row>
    <row r="13" spans="1:14" ht="61.5" customHeight="1">
      <c r="A13" s="119">
        <v>1</v>
      </c>
      <c r="B13" s="813"/>
      <c r="C13" s="814"/>
      <c r="D13" s="814"/>
      <c r="E13" s="164"/>
      <c r="F13" s="139"/>
      <c r="G13" s="140"/>
      <c r="H13" s="141"/>
      <c r="I13" s="15">
        <f aca="true" t="shared" si="0" ref="I13:I22">IF(J13="","",ROUNDDOWN(J13*(1+N13/100),0))</f>
      </c>
      <c r="J13" s="148"/>
      <c r="K13" s="15">
        <f aca="true" t="shared" si="1" ref="K13:K22">IF(L13="","",ROUNDDOWN(L13*(1+N13/100),0))</f>
      </c>
      <c r="L13" s="15">
        <f>IF(OR(J13="",G13=""),"",ROUNDDOWN(J13*G13,0))</f>
      </c>
      <c r="M13" s="16">
        <f>L13</f>
      </c>
      <c r="N13" s="162">
        <v>8</v>
      </c>
    </row>
    <row r="14" spans="1:14" ht="61.5" customHeight="1">
      <c r="A14" s="120">
        <v>2</v>
      </c>
      <c r="B14" s="792"/>
      <c r="C14" s="793"/>
      <c r="D14" s="793"/>
      <c r="E14" s="160"/>
      <c r="F14" s="143"/>
      <c r="G14" s="140"/>
      <c r="H14" s="141"/>
      <c r="I14" s="15">
        <f t="shared" si="0"/>
      </c>
      <c r="J14" s="148"/>
      <c r="K14" s="15">
        <f t="shared" si="1"/>
      </c>
      <c r="L14" s="15">
        <f aca="true" t="shared" si="2" ref="L14:L22">IF(OR(J14="",G14=""),"",ROUNDDOWN(J14*G14,0))</f>
      </c>
      <c r="M14" s="16">
        <f aca="true" t="shared" si="3" ref="M14:M22">L14</f>
      </c>
      <c r="N14" s="162">
        <v>8</v>
      </c>
    </row>
    <row r="15" spans="1:14" ht="61.5" customHeight="1">
      <c r="A15" s="120">
        <v>3</v>
      </c>
      <c r="B15" s="792"/>
      <c r="C15" s="793"/>
      <c r="D15" s="793"/>
      <c r="E15" s="160"/>
      <c r="F15" s="143"/>
      <c r="G15" s="140"/>
      <c r="H15" s="141"/>
      <c r="I15" s="15">
        <f t="shared" si="0"/>
      </c>
      <c r="J15" s="148"/>
      <c r="K15" s="15">
        <f t="shared" si="1"/>
      </c>
      <c r="L15" s="15">
        <f t="shared" si="2"/>
      </c>
      <c r="M15" s="16">
        <f t="shared" si="3"/>
      </c>
      <c r="N15" s="162">
        <v>8</v>
      </c>
    </row>
    <row r="16" spans="1:14" ht="61.5" customHeight="1">
      <c r="A16" s="120">
        <v>4</v>
      </c>
      <c r="B16" s="792"/>
      <c r="C16" s="793"/>
      <c r="D16" s="793"/>
      <c r="E16" s="160"/>
      <c r="F16" s="143"/>
      <c r="G16" s="140"/>
      <c r="H16" s="141"/>
      <c r="I16" s="15">
        <f t="shared" si="0"/>
      </c>
      <c r="J16" s="148"/>
      <c r="K16" s="15">
        <f t="shared" si="1"/>
      </c>
      <c r="L16" s="15">
        <f t="shared" si="2"/>
      </c>
      <c r="M16" s="16">
        <f t="shared" si="3"/>
      </c>
      <c r="N16" s="162">
        <v>8</v>
      </c>
    </row>
    <row r="17" spans="1:14" ht="61.5" customHeight="1">
      <c r="A17" s="120">
        <v>5</v>
      </c>
      <c r="B17" s="792"/>
      <c r="C17" s="793"/>
      <c r="D17" s="793"/>
      <c r="E17" s="160"/>
      <c r="F17" s="143"/>
      <c r="G17" s="140"/>
      <c r="H17" s="141"/>
      <c r="I17" s="15">
        <f t="shared" si="0"/>
      </c>
      <c r="J17" s="148"/>
      <c r="K17" s="15">
        <f t="shared" si="1"/>
      </c>
      <c r="L17" s="15">
        <f t="shared" si="2"/>
      </c>
      <c r="M17" s="16">
        <f t="shared" si="3"/>
      </c>
      <c r="N17" s="162">
        <v>8</v>
      </c>
    </row>
    <row r="18" spans="1:14" ht="61.5" customHeight="1">
      <c r="A18" s="120">
        <v>6</v>
      </c>
      <c r="B18" s="792"/>
      <c r="C18" s="793"/>
      <c r="D18" s="793"/>
      <c r="E18" s="160"/>
      <c r="F18" s="143"/>
      <c r="G18" s="140"/>
      <c r="H18" s="141"/>
      <c r="I18" s="15">
        <f t="shared" si="0"/>
      </c>
      <c r="J18" s="148"/>
      <c r="K18" s="15">
        <f t="shared" si="1"/>
      </c>
      <c r="L18" s="15">
        <f t="shared" si="2"/>
      </c>
      <c r="M18" s="16">
        <f t="shared" si="3"/>
      </c>
      <c r="N18" s="162">
        <v>8</v>
      </c>
    </row>
    <row r="19" spans="1:14" ht="61.5" customHeight="1">
      <c r="A19" s="120">
        <v>7</v>
      </c>
      <c r="B19" s="792"/>
      <c r="C19" s="793"/>
      <c r="D19" s="793"/>
      <c r="E19" s="160"/>
      <c r="F19" s="144"/>
      <c r="G19" s="140"/>
      <c r="H19" s="141"/>
      <c r="I19" s="15">
        <f t="shared" si="0"/>
      </c>
      <c r="J19" s="148"/>
      <c r="K19" s="15">
        <f t="shared" si="1"/>
      </c>
      <c r="L19" s="15">
        <f t="shared" si="2"/>
      </c>
      <c r="M19" s="16">
        <f t="shared" si="3"/>
      </c>
      <c r="N19" s="162">
        <v>8</v>
      </c>
    </row>
    <row r="20" spans="1:14" ht="61.5" customHeight="1">
      <c r="A20" s="120">
        <v>8</v>
      </c>
      <c r="B20" s="792"/>
      <c r="C20" s="793"/>
      <c r="D20" s="793"/>
      <c r="E20" s="160"/>
      <c r="F20" s="143"/>
      <c r="G20" s="140"/>
      <c r="H20" s="141"/>
      <c r="I20" s="15">
        <f t="shared" si="0"/>
      </c>
      <c r="J20" s="148"/>
      <c r="K20" s="15">
        <f t="shared" si="1"/>
      </c>
      <c r="L20" s="15">
        <f t="shared" si="2"/>
      </c>
      <c r="M20" s="16">
        <f t="shared" si="3"/>
      </c>
      <c r="N20" s="162">
        <v>8</v>
      </c>
    </row>
    <row r="21" spans="1:14" ht="61.5" customHeight="1">
      <c r="A21" s="120">
        <v>9</v>
      </c>
      <c r="B21" s="792"/>
      <c r="C21" s="793"/>
      <c r="D21" s="793"/>
      <c r="E21" s="160"/>
      <c r="F21" s="143"/>
      <c r="G21" s="140"/>
      <c r="H21" s="141"/>
      <c r="I21" s="15">
        <f t="shared" si="0"/>
      </c>
      <c r="J21" s="148"/>
      <c r="K21" s="15">
        <f t="shared" si="1"/>
      </c>
      <c r="L21" s="15">
        <f t="shared" si="2"/>
      </c>
      <c r="M21" s="16">
        <f t="shared" si="3"/>
      </c>
      <c r="N21" s="162">
        <v>8</v>
      </c>
    </row>
    <row r="22" spans="1:14" ht="61.5" customHeight="1" thickBot="1">
      <c r="A22" s="124">
        <v>10</v>
      </c>
      <c r="B22" s="796"/>
      <c r="C22" s="797"/>
      <c r="D22" s="797"/>
      <c r="E22" s="161"/>
      <c r="F22" s="145"/>
      <c r="G22" s="146"/>
      <c r="H22" s="147"/>
      <c r="I22" s="17">
        <f t="shared" si="0"/>
      </c>
      <c r="J22" s="149"/>
      <c r="K22" s="17">
        <f t="shared" si="1"/>
      </c>
      <c r="L22" s="17">
        <f t="shared" si="2"/>
      </c>
      <c r="M22" s="17">
        <f t="shared" si="3"/>
      </c>
      <c r="N22" s="163">
        <v>8</v>
      </c>
    </row>
    <row r="23" spans="1:13" ht="21" customHeight="1" thickBot="1">
      <c r="A23" s="809" t="s">
        <v>13</v>
      </c>
      <c r="B23" s="810"/>
      <c r="C23" s="810"/>
      <c r="D23" s="810"/>
      <c r="E23" s="810"/>
      <c r="F23" s="810"/>
      <c r="G23" s="810"/>
      <c r="H23" s="810"/>
      <c r="I23" s="810"/>
      <c r="J23" s="108"/>
      <c r="K23" s="14">
        <f>SUM(K13:K22)</f>
        <v>0</v>
      </c>
      <c r="L23" s="14">
        <f>SUM(L13:L22)</f>
        <v>0</v>
      </c>
      <c r="M23" s="181">
        <f>SUM(M13:M22)</f>
        <v>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783" t="s">
        <v>126</v>
      </c>
      <c r="C2" s="783"/>
      <c r="D2" s="783"/>
      <c r="E2" s="84"/>
      <c r="H2" s="83"/>
      <c r="O2" s="83"/>
      <c r="P2" s="86"/>
      <c r="Q2" s="86"/>
    </row>
    <row r="3" spans="1:17" ht="13.5">
      <c r="A3" s="83"/>
      <c r="E3" s="84"/>
      <c r="H3" s="83"/>
      <c r="O3" s="83"/>
      <c r="P3" s="86"/>
      <c r="Q3" s="86"/>
    </row>
    <row r="4" spans="1:6" ht="13.5" customHeight="1">
      <c r="A4" s="784" t="s">
        <v>288</v>
      </c>
      <c r="B4" s="784"/>
      <c r="C4" s="784"/>
      <c r="D4" s="784"/>
      <c r="E4" s="784"/>
      <c r="F4" s="83"/>
    </row>
    <row r="5" spans="1:6" ht="13.5" customHeight="1">
      <c r="A5" s="87"/>
      <c r="B5" s="87"/>
      <c r="C5" s="87"/>
      <c r="D5" s="87"/>
      <c r="E5" s="125"/>
      <c r="F5" s="83"/>
    </row>
    <row r="6" spans="1:8" ht="13.5" customHeight="1">
      <c r="A6" s="87"/>
      <c r="B6" s="89" t="s">
        <v>102</v>
      </c>
      <c r="C6" s="90"/>
      <c r="D6" s="91"/>
      <c r="E6" s="92"/>
      <c r="F6" s="597" t="s">
        <v>14</v>
      </c>
      <c r="G6" s="780"/>
      <c r="H6" s="598"/>
    </row>
    <row r="7" spans="1:8" ht="13.5" customHeight="1">
      <c r="A7" s="87"/>
      <c r="B7" s="87"/>
      <c r="C7" s="87"/>
      <c r="D7" s="87"/>
      <c r="E7" s="125"/>
      <c r="F7" s="789" t="s">
        <v>42</v>
      </c>
      <c r="G7" s="790"/>
      <c r="H7" s="791"/>
    </row>
    <row r="8" spans="1:14" ht="13.5" customHeight="1">
      <c r="A8" s="87"/>
      <c r="B8" s="87"/>
      <c r="C8" s="87"/>
      <c r="D8" s="87"/>
      <c r="E8" s="125"/>
      <c r="F8" s="83"/>
      <c r="M8" s="395" t="s">
        <v>294</v>
      </c>
      <c r="N8" s="93"/>
    </row>
    <row r="9" spans="1:12" ht="13.5" customHeight="1">
      <c r="A9" s="114"/>
      <c r="F9" s="83"/>
      <c r="I9" s="94" t="s">
        <v>28</v>
      </c>
      <c r="J9" s="1">
        <f>IF('基本情報入力（使い方）'!$C$12="","",'基本情報入力（使い方）'!$C$12)</f>
      </c>
      <c r="K9" s="94"/>
      <c r="L9" s="1"/>
    </row>
    <row r="10" spans="1:14" ht="13.5" customHeight="1" thickBot="1">
      <c r="A10" s="114"/>
      <c r="F10" s="83"/>
      <c r="M10" s="94"/>
      <c r="N10" s="94"/>
    </row>
    <row r="11" spans="1:14" ht="27" customHeight="1">
      <c r="A11" s="785" t="s">
        <v>1</v>
      </c>
      <c r="B11" s="787" t="s">
        <v>2</v>
      </c>
      <c r="C11" s="787"/>
      <c r="D11" s="788"/>
      <c r="E11" s="401" t="s">
        <v>3</v>
      </c>
      <c r="F11" s="402" t="s">
        <v>4</v>
      </c>
      <c r="G11" s="95" t="s">
        <v>5</v>
      </c>
      <c r="H11" s="95" t="s">
        <v>6</v>
      </c>
      <c r="I11" s="95" t="s">
        <v>0</v>
      </c>
      <c r="J11" s="95" t="s">
        <v>0</v>
      </c>
      <c r="K11" s="817" t="s">
        <v>7</v>
      </c>
      <c r="L11" s="795"/>
      <c r="M11" s="227" t="s">
        <v>139</v>
      </c>
      <c r="N11" s="781" t="s">
        <v>34</v>
      </c>
    </row>
    <row r="12" spans="1:14" ht="42" customHeight="1" thickBot="1">
      <c r="A12" s="786"/>
      <c r="B12" s="97" t="s">
        <v>8</v>
      </c>
      <c r="C12" s="97" t="s">
        <v>9</v>
      </c>
      <c r="D12" s="98" t="s">
        <v>10</v>
      </c>
      <c r="E12" s="126"/>
      <c r="F12" s="100"/>
      <c r="G12" s="101"/>
      <c r="H12" s="101"/>
      <c r="I12" s="101" t="s">
        <v>11</v>
      </c>
      <c r="J12" s="101" t="s">
        <v>21</v>
      </c>
      <c r="K12" s="101" t="s">
        <v>12</v>
      </c>
      <c r="L12" s="102" t="s">
        <v>19</v>
      </c>
      <c r="M12" s="173" t="s">
        <v>297</v>
      </c>
      <c r="N12" s="782"/>
    </row>
    <row r="13" spans="1:14" ht="61.5" customHeight="1">
      <c r="A13" s="119">
        <v>1</v>
      </c>
      <c r="B13" s="792"/>
      <c r="C13" s="793"/>
      <c r="D13" s="818"/>
      <c r="E13" s="138"/>
      <c r="F13" s="138"/>
      <c r="G13" s="153"/>
      <c r="H13" s="154"/>
      <c r="I13" s="18">
        <f aca="true" t="shared" si="0" ref="I13:I22">IF(J13="","",ROUNDDOWN(J13*(1+N13/100),0))</f>
      </c>
      <c r="J13" s="156"/>
      <c r="K13" s="18">
        <f aca="true" t="shared" si="1" ref="K13:K22">IF(L13="","",ROUNDDOWN(L13*(1+N13/100),0))</f>
      </c>
      <c r="L13" s="18">
        <f>IF(OR(J13="",G13=""),"",ROUNDDOWN(J13*G13,0))</f>
      </c>
      <c r="M13" s="16">
        <f>L13</f>
      </c>
      <c r="N13" s="150">
        <v>8</v>
      </c>
    </row>
    <row r="14" spans="1:14" ht="61.5" customHeight="1">
      <c r="A14" s="120">
        <v>2</v>
      </c>
      <c r="B14" s="792"/>
      <c r="C14" s="793"/>
      <c r="D14" s="818"/>
      <c r="E14" s="143"/>
      <c r="F14" s="143"/>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20">
        <v>3</v>
      </c>
      <c r="B15" s="792"/>
      <c r="C15" s="793"/>
      <c r="D15" s="818"/>
      <c r="E15" s="143"/>
      <c r="F15" s="143"/>
      <c r="G15" s="140"/>
      <c r="H15" s="141"/>
      <c r="I15" s="15">
        <f t="shared" si="0"/>
      </c>
      <c r="J15" s="148"/>
      <c r="K15" s="15">
        <f t="shared" si="1"/>
      </c>
      <c r="L15" s="15">
        <f t="shared" si="2"/>
      </c>
      <c r="M15" s="16">
        <f t="shared" si="3"/>
      </c>
      <c r="N15" s="150">
        <v>8</v>
      </c>
    </row>
    <row r="16" spans="1:14" ht="61.5" customHeight="1">
      <c r="A16" s="120">
        <v>4</v>
      </c>
      <c r="B16" s="792"/>
      <c r="C16" s="793"/>
      <c r="D16" s="818"/>
      <c r="E16" s="143"/>
      <c r="F16" s="143"/>
      <c r="G16" s="140"/>
      <c r="H16" s="141"/>
      <c r="I16" s="15">
        <f t="shared" si="0"/>
      </c>
      <c r="J16" s="148"/>
      <c r="K16" s="15">
        <f t="shared" si="1"/>
      </c>
      <c r="L16" s="15">
        <f t="shared" si="2"/>
      </c>
      <c r="M16" s="16">
        <f t="shared" si="3"/>
      </c>
      <c r="N16" s="150">
        <v>8</v>
      </c>
    </row>
    <row r="17" spans="1:14" ht="61.5" customHeight="1">
      <c r="A17" s="120">
        <v>5</v>
      </c>
      <c r="B17" s="792"/>
      <c r="C17" s="793"/>
      <c r="D17" s="818"/>
      <c r="E17" s="143"/>
      <c r="F17" s="143"/>
      <c r="G17" s="140"/>
      <c r="H17" s="141"/>
      <c r="I17" s="15">
        <f t="shared" si="0"/>
      </c>
      <c r="J17" s="148"/>
      <c r="K17" s="15">
        <f t="shared" si="1"/>
      </c>
      <c r="L17" s="15">
        <f t="shared" si="2"/>
      </c>
      <c r="M17" s="16">
        <f t="shared" si="3"/>
      </c>
      <c r="N17" s="150">
        <v>8</v>
      </c>
    </row>
    <row r="18" spans="1:14" ht="61.5" customHeight="1">
      <c r="A18" s="120">
        <v>6</v>
      </c>
      <c r="B18" s="792"/>
      <c r="C18" s="793"/>
      <c r="D18" s="818"/>
      <c r="E18" s="143"/>
      <c r="F18" s="143"/>
      <c r="G18" s="140"/>
      <c r="H18" s="141"/>
      <c r="I18" s="15">
        <f t="shared" si="0"/>
      </c>
      <c r="J18" s="148"/>
      <c r="K18" s="15">
        <f t="shared" si="1"/>
      </c>
      <c r="L18" s="15">
        <f t="shared" si="2"/>
      </c>
      <c r="M18" s="16">
        <f t="shared" si="3"/>
      </c>
      <c r="N18" s="150">
        <v>8</v>
      </c>
    </row>
    <row r="19" spans="1:14" ht="61.5" customHeight="1">
      <c r="A19" s="120">
        <v>7</v>
      </c>
      <c r="B19" s="792"/>
      <c r="C19" s="793"/>
      <c r="D19" s="818"/>
      <c r="E19" s="143"/>
      <c r="F19" s="144"/>
      <c r="G19" s="140"/>
      <c r="H19" s="141"/>
      <c r="I19" s="15">
        <f t="shared" si="0"/>
      </c>
      <c r="J19" s="148"/>
      <c r="K19" s="15">
        <f t="shared" si="1"/>
      </c>
      <c r="L19" s="15">
        <f t="shared" si="2"/>
      </c>
      <c r="M19" s="16">
        <f t="shared" si="3"/>
      </c>
      <c r="N19" s="150">
        <v>8</v>
      </c>
    </row>
    <row r="20" spans="1:14" ht="61.5" customHeight="1">
      <c r="A20" s="120">
        <v>8</v>
      </c>
      <c r="B20" s="792"/>
      <c r="C20" s="793"/>
      <c r="D20" s="818"/>
      <c r="E20" s="143"/>
      <c r="F20" s="143"/>
      <c r="G20" s="140"/>
      <c r="H20" s="141"/>
      <c r="I20" s="15">
        <f t="shared" si="0"/>
      </c>
      <c r="J20" s="148"/>
      <c r="K20" s="15">
        <f t="shared" si="1"/>
      </c>
      <c r="L20" s="15">
        <f t="shared" si="2"/>
      </c>
      <c r="M20" s="16">
        <f t="shared" si="3"/>
      </c>
      <c r="N20" s="150">
        <v>8</v>
      </c>
    </row>
    <row r="21" spans="1:14" ht="61.5" customHeight="1">
      <c r="A21" s="120">
        <v>9</v>
      </c>
      <c r="B21" s="792"/>
      <c r="C21" s="793"/>
      <c r="D21" s="818"/>
      <c r="E21" s="143"/>
      <c r="F21" s="143"/>
      <c r="G21" s="140"/>
      <c r="H21" s="141"/>
      <c r="I21" s="15">
        <f t="shared" si="0"/>
      </c>
      <c r="J21" s="148"/>
      <c r="K21" s="15">
        <f t="shared" si="1"/>
      </c>
      <c r="L21" s="15">
        <f t="shared" si="2"/>
      </c>
      <c r="M21" s="16">
        <f t="shared" si="3"/>
      </c>
      <c r="N21" s="150">
        <v>8</v>
      </c>
    </row>
    <row r="22" spans="1:14" ht="61.5" customHeight="1" thickBot="1">
      <c r="A22" s="124">
        <v>10</v>
      </c>
      <c r="B22" s="796"/>
      <c r="C22" s="797"/>
      <c r="D22" s="819"/>
      <c r="E22" s="145"/>
      <c r="F22" s="145"/>
      <c r="G22" s="146"/>
      <c r="H22" s="147"/>
      <c r="I22" s="17">
        <f t="shared" si="0"/>
      </c>
      <c r="J22" s="149"/>
      <c r="K22" s="17">
        <f t="shared" si="1"/>
      </c>
      <c r="L22" s="17">
        <f t="shared" si="2"/>
      </c>
      <c r="M22" s="17">
        <f t="shared" si="3"/>
      </c>
      <c r="N22" s="151">
        <v>8</v>
      </c>
    </row>
    <row r="23" spans="1:13" ht="21" customHeight="1" thickBot="1">
      <c r="A23" s="809" t="s">
        <v>13</v>
      </c>
      <c r="B23" s="810"/>
      <c r="C23" s="810"/>
      <c r="D23" s="810"/>
      <c r="E23" s="810"/>
      <c r="F23" s="810"/>
      <c r="G23" s="810"/>
      <c r="H23" s="810"/>
      <c r="I23" s="810"/>
      <c r="J23" s="108"/>
      <c r="K23" s="13">
        <f>SUM(K13:K22)</f>
        <v>0</v>
      </c>
      <c r="L23" s="13">
        <f>SUM(L13:L22)</f>
        <v>0</v>
      </c>
      <c r="M23" s="182">
        <f>SUM(M13:M22)</f>
        <v>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Sheet12"/>
  <dimension ref="B2:H29"/>
  <sheetViews>
    <sheetView zoomScaleSheetLayoutView="100" workbookViewId="0" topLeftCell="A1">
      <selection activeCell="A1" sqref="A1"/>
    </sheetView>
  </sheetViews>
  <sheetFormatPr defaultColWidth="9.140625" defaultRowHeight="15"/>
  <cols>
    <col min="1" max="1" width="4.00390625" style="418" customWidth="1"/>
    <col min="2" max="2" width="3.421875" style="406" bestFit="1" customWidth="1"/>
    <col min="3" max="3" width="12.421875" style="406" bestFit="1" customWidth="1"/>
    <col min="4" max="7" width="25.57421875" style="407" customWidth="1"/>
    <col min="8" max="8" width="18.57421875" style="407" customWidth="1"/>
    <col min="9" max="16384" width="9.00390625" style="418" customWidth="1"/>
  </cols>
  <sheetData>
    <row r="2" ht="14.25">
      <c r="B2" s="405" t="s">
        <v>342</v>
      </c>
    </row>
    <row r="3" spans="2:6" ht="14.25">
      <c r="B3" s="572" t="s">
        <v>305</v>
      </c>
      <c r="C3" s="572"/>
      <c r="D3" s="572"/>
      <c r="E3" s="573"/>
      <c r="F3" s="574"/>
    </row>
    <row r="4" spans="2:6" ht="14.25">
      <c r="B4" s="572" t="s">
        <v>306</v>
      </c>
      <c r="C4" s="572"/>
      <c r="D4" s="572"/>
      <c r="E4" s="573"/>
      <c r="F4" s="574"/>
    </row>
    <row r="7" spans="2:8" ht="13.5">
      <c r="B7" s="418" t="s">
        <v>343</v>
      </c>
      <c r="C7" s="418"/>
      <c r="D7" s="408"/>
      <c r="E7" s="408"/>
      <c r="F7" s="408"/>
      <c r="G7" s="408"/>
      <c r="H7" s="408"/>
    </row>
    <row r="8" ht="13.5">
      <c r="G8" s="409" t="s">
        <v>307</v>
      </c>
    </row>
    <row r="9" spans="2:8" ht="13.5" customHeight="1">
      <c r="B9" s="575" t="s">
        <v>27</v>
      </c>
      <c r="C9" s="575"/>
      <c r="D9" s="577" t="s">
        <v>308</v>
      </c>
      <c r="E9" s="579" t="s">
        <v>309</v>
      </c>
      <c r="F9" s="580"/>
      <c r="G9" s="581"/>
      <c r="H9" s="418"/>
    </row>
    <row r="10" spans="2:8" ht="54">
      <c r="B10" s="576"/>
      <c r="C10" s="576"/>
      <c r="D10" s="578"/>
      <c r="E10" s="410" t="s">
        <v>310</v>
      </c>
      <c r="F10" s="410" t="s">
        <v>344</v>
      </c>
      <c r="G10" s="410" t="s">
        <v>311</v>
      </c>
      <c r="H10" s="418"/>
    </row>
    <row r="11" spans="2:8" ht="13.5">
      <c r="B11" s="411">
        <v>1</v>
      </c>
      <c r="C11" s="412" t="s">
        <v>312</v>
      </c>
      <c r="D11" s="413"/>
      <c r="E11" s="414"/>
      <c r="F11" s="414"/>
      <c r="G11" s="416">
        <f aca="true" t="shared" si="0" ref="G11:G20">SUM(E11:F11)</f>
        <v>0</v>
      </c>
      <c r="H11" s="418"/>
    </row>
    <row r="12" spans="2:8" ht="13.5">
      <c r="B12" s="411">
        <v>2</v>
      </c>
      <c r="C12" s="412">
        <f>IF(COUNTA($D12)&gt;0,"共同申請者１","")</f>
      </c>
      <c r="D12" s="414"/>
      <c r="E12" s="414"/>
      <c r="F12" s="414"/>
      <c r="G12" s="416">
        <f t="shared" si="0"/>
        <v>0</v>
      </c>
      <c r="H12" s="418"/>
    </row>
    <row r="13" spans="2:8" ht="13.5">
      <c r="B13" s="411">
        <v>3</v>
      </c>
      <c r="C13" s="412">
        <f>IF(COUNTA($D13)&gt;0,"共同申請者２","")</f>
      </c>
      <c r="D13" s="414"/>
      <c r="E13" s="414"/>
      <c r="F13" s="414"/>
      <c r="G13" s="416">
        <f t="shared" si="0"/>
        <v>0</v>
      </c>
      <c r="H13" s="418"/>
    </row>
    <row r="14" spans="2:8" ht="13.5">
      <c r="B14" s="411">
        <v>4</v>
      </c>
      <c r="C14" s="412">
        <f>IF(COUNTA($D14)&gt;0,"共同申請者３","")</f>
      </c>
      <c r="D14" s="414"/>
      <c r="E14" s="414"/>
      <c r="F14" s="414"/>
      <c r="G14" s="416">
        <f t="shared" si="0"/>
        <v>0</v>
      </c>
      <c r="H14" s="418"/>
    </row>
    <row r="15" spans="2:8" ht="13.5">
      <c r="B15" s="411">
        <v>5</v>
      </c>
      <c r="C15" s="412">
        <f>IF(COUNTA($D15)&gt;0,"共同申請者４","")</f>
      </c>
      <c r="D15" s="414"/>
      <c r="E15" s="414"/>
      <c r="F15" s="414"/>
      <c r="G15" s="416">
        <f t="shared" si="0"/>
        <v>0</v>
      </c>
      <c r="H15" s="418"/>
    </row>
    <row r="16" spans="2:8" ht="13.5">
      <c r="B16" s="411">
        <v>6</v>
      </c>
      <c r="C16" s="412">
        <f>IF(COUNTA($D16)&gt;0,"共同申請者５","")</f>
      </c>
      <c r="D16" s="414"/>
      <c r="E16" s="414"/>
      <c r="F16" s="414"/>
      <c r="G16" s="416">
        <f t="shared" si="0"/>
        <v>0</v>
      </c>
      <c r="H16" s="418"/>
    </row>
    <row r="17" spans="2:8" ht="13.5">
      <c r="B17" s="411">
        <v>7</v>
      </c>
      <c r="C17" s="412">
        <f>IF(COUNTA($D17)&gt;0,"共同申請者６","")</f>
      </c>
      <c r="D17" s="414"/>
      <c r="E17" s="414"/>
      <c r="F17" s="414"/>
      <c r="G17" s="416">
        <f t="shared" si="0"/>
        <v>0</v>
      </c>
      <c r="H17" s="418"/>
    </row>
    <row r="18" spans="2:8" ht="13.5">
      <c r="B18" s="411">
        <v>8</v>
      </c>
      <c r="C18" s="412">
        <f>IF(COUNTA($D18)&gt;0,"共同申請者７","")</f>
      </c>
      <c r="D18" s="414"/>
      <c r="E18" s="414"/>
      <c r="F18" s="414"/>
      <c r="G18" s="416">
        <f t="shared" si="0"/>
        <v>0</v>
      </c>
      <c r="H18" s="418"/>
    </row>
    <row r="19" spans="2:8" ht="13.5">
      <c r="B19" s="411">
        <v>9</v>
      </c>
      <c r="C19" s="412">
        <f>IF(COUNTA($D19)&gt;0,"共同申請者８","")</f>
      </c>
      <c r="D19" s="414"/>
      <c r="E19" s="414"/>
      <c r="F19" s="414"/>
      <c r="G19" s="416">
        <f t="shared" si="0"/>
        <v>0</v>
      </c>
      <c r="H19" s="418"/>
    </row>
    <row r="20" spans="2:8" ht="13.5">
      <c r="B20" s="411">
        <v>10</v>
      </c>
      <c r="C20" s="412">
        <f>IF(COUNTA($D20)&gt;0,"共同申請者９","")</f>
      </c>
      <c r="D20" s="414"/>
      <c r="E20" s="414"/>
      <c r="F20" s="414"/>
      <c r="G20" s="416">
        <f t="shared" si="0"/>
        <v>0</v>
      </c>
      <c r="H20" s="418"/>
    </row>
    <row r="21" spans="2:8" ht="13.5">
      <c r="B21" s="570" t="s">
        <v>22</v>
      </c>
      <c r="C21" s="571"/>
      <c r="D21" s="415">
        <f>COUNTA(D11:D20)</f>
        <v>0</v>
      </c>
      <c r="E21" s="416">
        <f>SUM(E11:E20)</f>
        <v>0</v>
      </c>
      <c r="F21" s="416">
        <f>SUM(F11:F20)</f>
        <v>0</v>
      </c>
      <c r="G21" s="416">
        <f>SUM(G11:G20)</f>
        <v>0</v>
      </c>
      <c r="H21" s="418"/>
    </row>
    <row r="22" spans="2:8" ht="13.5">
      <c r="B22" s="417" t="s">
        <v>345</v>
      </c>
      <c r="C22" s="418"/>
      <c r="D22" s="429"/>
      <c r="E22" s="429"/>
      <c r="F22" s="429"/>
      <c r="G22" s="429"/>
      <c r="H22" s="418"/>
    </row>
    <row r="23" spans="2:8" ht="13.5">
      <c r="B23" s="417" t="s">
        <v>346</v>
      </c>
      <c r="C23" s="418"/>
      <c r="D23" s="429"/>
      <c r="E23" s="429"/>
      <c r="F23" s="429"/>
      <c r="G23" s="429"/>
      <c r="H23" s="418"/>
    </row>
    <row r="24" spans="2:8" ht="13.5">
      <c r="B24" s="417"/>
      <c r="C24" s="418"/>
      <c r="D24" s="429"/>
      <c r="E24" s="429"/>
      <c r="F24" s="429"/>
      <c r="G24" s="429"/>
      <c r="H24" s="418"/>
    </row>
    <row r="25" spans="2:8" ht="13.5">
      <c r="B25" s="418"/>
      <c r="C25" s="418"/>
      <c r="D25" s="429"/>
      <c r="E25" s="429"/>
      <c r="F25" s="429"/>
      <c r="G25" s="429"/>
      <c r="H25" s="418"/>
    </row>
    <row r="26" spans="2:8" ht="13.5">
      <c r="B26" s="418"/>
      <c r="C26" s="418"/>
      <c r="D26" s="429"/>
      <c r="E26" s="429"/>
      <c r="F26" s="429"/>
      <c r="G26" s="429"/>
      <c r="H26" s="418"/>
    </row>
    <row r="27" spans="2:8" ht="13.5">
      <c r="B27" s="418"/>
      <c r="C27" s="418"/>
      <c r="D27" s="429"/>
      <c r="E27" s="429"/>
      <c r="F27" s="429"/>
      <c r="G27" s="429"/>
      <c r="H27" s="418"/>
    </row>
    <row r="28" spans="2:8" ht="13.5">
      <c r="B28" s="418"/>
      <c r="C28" s="418"/>
      <c r="D28" s="429"/>
      <c r="E28" s="429"/>
      <c r="F28" s="429"/>
      <c r="G28" s="429"/>
      <c r="H28" s="418"/>
    </row>
    <row r="29" spans="2:8" ht="13.5">
      <c r="B29" s="418"/>
      <c r="C29" s="418"/>
      <c r="D29" s="429"/>
      <c r="E29" s="429"/>
      <c r="F29" s="429"/>
      <c r="G29" s="429"/>
      <c r="H29" s="418"/>
    </row>
  </sheetData>
  <sheetProtection sheet="1" objects="1" scenarios="1"/>
  <mergeCells count="9">
    <mergeCell ref="B21:C21"/>
    <mergeCell ref="B3:D3"/>
    <mergeCell ref="E3:F3"/>
    <mergeCell ref="B4:D4"/>
    <mergeCell ref="E4:F4"/>
    <mergeCell ref="B9:B10"/>
    <mergeCell ref="C9:C10"/>
    <mergeCell ref="D9:D10"/>
    <mergeCell ref="E9:G9"/>
  </mergeCells>
  <conditionalFormatting sqref="E4:F4">
    <cfRule type="cellIs" priority="2" dxfId="0" operator="notEqual" stopIfTrue="1">
      <formula>$G$21</formula>
    </cfRule>
  </conditionalFormatting>
  <conditionalFormatting sqref="F21">
    <cfRule type="expression" priority="1" dxfId="0" stopIfTrue="1">
      <formula>AND($F$21&lt;&gt;300000,$F$21&lt;&gt;0)</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O83"/>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82" customWidth="1"/>
    <col min="3" max="8" width="13.421875" style="82" customWidth="1"/>
    <col min="9" max="9" width="3.8515625" style="82" customWidth="1"/>
    <col min="10" max="10" width="2.421875" style="3" hidden="1" customWidth="1"/>
    <col min="11" max="11" width="4.140625" style="3" customWidth="1"/>
    <col min="12" max="16384" width="9.00390625" style="82" customWidth="1"/>
  </cols>
  <sheetData>
    <row r="1" spans="1:11" s="78" customFormat="1" ht="15.75" customHeight="1">
      <c r="A1" s="184" t="s">
        <v>41</v>
      </c>
      <c r="J1" s="5"/>
      <c r="K1" s="5"/>
    </row>
    <row r="2" spans="10:11" s="78" customFormat="1" ht="15.75" customHeight="1">
      <c r="J2" s="5"/>
      <c r="K2" s="5"/>
    </row>
    <row r="3" spans="1:11" s="78" customFormat="1" ht="15.75" customHeight="1">
      <c r="A3" s="185" t="s">
        <v>62</v>
      </c>
      <c r="J3" s="5"/>
      <c r="K3" s="5"/>
    </row>
    <row r="4" spans="3:11" s="78" customFormat="1" ht="15.75" customHeight="1">
      <c r="C4" s="78" t="s">
        <v>268</v>
      </c>
      <c r="J4" s="5"/>
      <c r="K4" s="221"/>
    </row>
    <row r="5" spans="3:11" s="78" customFormat="1" ht="15.75" customHeight="1">
      <c r="C5" s="78" t="s">
        <v>269</v>
      </c>
      <c r="J5" s="5"/>
      <c r="K5" s="221"/>
    </row>
    <row r="6" spans="3:11" s="78" customFormat="1" ht="15.75" customHeight="1">
      <c r="C6" s="78" t="s">
        <v>128</v>
      </c>
      <c r="J6" s="5"/>
      <c r="K6" s="221"/>
    </row>
    <row r="7" spans="3:11" s="78" customFormat="1" ht="15.75" customHeight="1">
      <c r="C7" s="78" t="s">
        <v>127</v>
      </c>
      <c r="J7" s="5"/>
      <c r="K7" s="221"/>
    </row>
    <row r="8" spans="3:11" s="78" customFormat="1" ht="15.75" customHeight="1">
      <c r="C8" s="186"/>
      <c r="J8" s="5"/>
      <c r="K8" s="5"/>
    </row>
    <row r="9" spans="1:11" s="78" customFormat="1" ht="15.75" customHeight="1">
      <c r="A9" s="185" t="s">
        <v>131</v>
      </c>
      <c r="C9" s="186"/>
      <c r="J9" s="5"/>
      <c r="K9" s="5"/>
    </row>
    <row r="10" spans="1:11" s="78" customFormat="1" ht="15.75" customHeight="1">
      <c r="A10" s="186"/>
      <c r="C10" s="186"/>
      <c r="J10" s="5"/>
      <c r="K10" s="5"/>
    </row>
    <row r="11" spans="1:11" s="78" customFormat="1" ht="15.75" customHeight="1">
      <c r="A11" s="184">
        <v>1</v>
      </c>
      <c r="B11" s="184" t="s">
        <v>61</v>
      </c>
      <c r="J11" s="5"/>
      <c r="K11" s="5"/>
    </row>
    <row r="12" spans="3:11" s="78" customFormat="1" ht="15.75" customHeight="1">
      <c r="C12" s="592"/>
      <c r="D12" s="593"/>
      <c r="E12" s="593"/>
      <c r="F12" s="593"/>
      <c r="G12" s="593"/>
      <c r="H12" s="594"/>
      <c r="J12" s="222"/>
      <c r="K12" s="5"/>
    </row>
    <row r="13" spans="6:11" s="78" customFormat="1" ht="15.75" customHeight="1">
      <c r="F13" s="187"/>
      <c r="G13" s="187"/>
      <c r="H13" s="187"/>
      <c r="I13" s="188"/>
      <c r="J13" s="6"/>
      <c r="K13" s="5"/>
    </row>
    <row r="14" spans="1:11" s="78" customFormat="1" ht="15.75" customHeight="1">
      <c r="A14" s="184">
        <v>2</v>
      </c>
      <c r="B14" s="189" t="s">
        <v>129</v>
      </c>
      <c r="D14" s="190"/>
      <c r="E14" s="190"/>
      <c r="F14" s="190"/>
      <c r="G14" s="190"/>
      <c r="H14" s="190"/>
      <c r="I14" s="190"/>
      <c r="J14" s="5"/>
      <c r="K14" s="5"/>
    </row>
    <row r="15" spans="10:11" s="78" customFormat="1" ht="15.75" customHeight="1">
      <c r="J15" s="5"/>
      <c r="K15" s="5"/>
    </row>
    <row r="16" spans="3:11" s="78" customFormat="1" ht="15.75" customHeight="1">
      <c r="C16" s="191"/>
      <c r="D16" s="192"/>
      <c r="E16" s="193"/>
      <c r="F16" s="193"/>
      <c r="G16" s="193"/>
      <c r="H16" s="194"/>
      <c r="J16" s="5">
        <v>1</v>
      </c>
      <c r="K16" s="5"/>
    </row>
    <row r="17" spans="3:11" s="78" customFormat="1" ht="15.75" customHeight="1">
      <c r="C17" s="195"/>
      <c r="D17" s="196"/>
      <c r="E17" s="197"/>
      <c r="F17" s="197"/>
      <c r="G17" s="197"/>
      <c r="H17" s="198"/>
      <c r="J17" s="5"/>
      <c r="K17" s="5"/>
    </row>
    <row r="18" spans="3:11" s="78" customFormat="1" ht="15.75" customHeight="1">
      <c r="C18" s="199"/>
      <c r="D18" s="200"/>
      <c r="E18" s="200"/>
      <c r="F18" s="200"/>
      <c r="G18" s="200"/>
      <c r="H18" s="201"/>
      <c r="J18" s="5"/>
      <c r="K18" s="5"/>
    </row>
    <row r="19" spans="2:11" s="78" customFormat="1" ht="15.75" customHeight="1">
      <c r="B19" s="188"/>
      <c r="C19" s="202"/>
      <c r="J19" s="5"/>
      <c r="K19" s="5"/>
    </row>
    <row r="20" spans="1:11" s="78" customFormat="1" ht="15.75" customHeight="1">
      <c r="A20" s="204"/>
      <c r="B20" s="204"/>
      <c r="C20" s="204"/>
      <c r="D20" s="204"/>
      <c r="E20" s="79"/>
      <c r="F20" s="79"/>
      <c r="G20" s="79"/>
      <c r="H20" s="79"/>
      <c r="I20" s="79"/>
      <c r="J20" s="5"/>
      <c r="K20" s="5"/>
    </row>
    <row r="21" spans="1:11" s="78" customFormat="1" ht="15.75" customHeight="1">
      <c r="A21" s="204"/>
      <c r="B21" s="204"/>
      <c r="C21" s="582"/>
      <c r="D21" s="583"/>
      <c r="E21" s="583"/>
      <c r="F21" s="582"/>
      <c r="G21" s="583"/>
      <c r="H21" s="583"/>
      <c r="I21" s="79"/>
      <c r="J21" s="5">
        <v>1</v>
      </c>
      <c r="K21" s="5"/>
    </row>
    <row r="22" spans="1:11" s="78" customFormat="1" ht="15.75" customHeight="1">
      <c r="A22" s="204"/>
      <c r="B22" s="204"/>
      <c r="C22" s="582"/>
      <c r="D22" s="583"/>
      <c r="E22" s="583"/>
      <c r="F22" s="582"/>
      <c r="G22" s="583"/>
      <c r="H22" s="583"/>
      <c r="I22" s="79"/>
      <c r="J22" s="5"/>
      <c r="K22" s="5"/>
    </row>
    <row r="23" spans="1:11" s="78" customFormat="1" ht="15.75" customHeight="1">
      <c r="A23" s="204"/>
      <c r="B23" s="204"/>
      <c r="C23" s="582"/>
      <c r="D23" s="583"/>
      <c r="E23" s="583"/>
      <c r="F23" s="582"/>
      <c r="G23" s="583"/>
      <c r="H23" s="583"/>
      <c r="I23" s="79"/>
      <c r="J23" s="5"/>
      <c r="K23" s="5"/>
    </row>
    <row r="24" spans="1:11" s="78" customFormat="1" ht="15.75" customHeight="1">
      <c r="A24" s="204"/>
      <c r="B24" s="204"/>
      <c r="C24" s="582"/>
      <c r="D24" s="583"/>
      <c r="E24" s="583"/>
      <c r="F24" s="582"/>
      <c r="G24" s="583"/>
      <c r="H24" s="583"/>
      <c r="J24" s="5"/>
      <c r="K24" s="5"/>
    </row>
    <row r="25" spans="1:11" s="78" customFormat="1" ht="15.75" customHeight="1">
      <c r="A25" s="204"/>
      <c r="B25" s="204"/>
      <c r="C25" s="584"/>
      <c r="D25" s="585"/>
      <c r="E25" s="585"/>
      <c r="F25" s="584"/>
      <c r="G25" s="585"/>
      <c r="H25" s="585"/>
      <c r="K25" s="5"/>
    </row>
    <row r="26" spans="3:11" s="203" customFormat="1" ht="15.75" customHeight="1">
      <c r="C26" s="586"/>
      <c r="D26" s="587"/>
      <c r="E26" s="587"/>
      <c r="F26" s="587"/>
      <c r="G26" s="587"/>
      <c r="H26" s="587"/>
      <c r="J26" s="5">
        <v>1</v>
      </c>
      <c r="K26" s="419"/>
    </row>
    <row r="27" spans="3:11" s="203" customFormat="1" ht="15.75" customHeight="1">
      <c r="C27" s="588"/>
      <c r="D27" s="589"/>
      <c r="E27" s="589"/>
      <c r="F27" s="589"/>
      <c r="G27" s="589"/>
      <c r="H27" s="589"/>
      <c r="J27" s="419"/>
      <c r="K27" s="419"/>
    </row>
    <row r="28" spans="3:11" s="203" customFormat="1" ht="15.75" customHeight="1">
      <c r="C28" s="590"/>
      <c r="D28" s="591"/>
      <c r="E28" s="591"/>
      <c r="F28" s="591"/>
      <c r="G28" s="591"/>
      <c r="H28" s="591"/>
      <c r="J28" s="419"/>
      <c r="K28" s="419"/>
    </row>
    <row r="29" spans="3:11" s="203" customFormat="1" ht="15.75" customHeight="1">
      <c r="C29" s="420" t="s">
        <v>313</v>
      </c>
      <c r="D29" s="420"/>
      <c r="E29" s="421"/>
      <c r="F29" s="421"/>
      <c r="G29" s="421"/>
      <c r="H29" s="421"/>
      <c r="J29" s="419"/>
      <c r="K29" s="419"/>
    </row>
    <row r="30" spans="3:11" s="203" customFormat="1" ht="15.75" customHeight="1">
      <c r="C30" s="78"/>
      <c r="D30" s="78"/>
      <c r="E30" s="78"/>
      <c r="F30" s="78"/>
      <c r="G30" s="78"/>
      <c r="H30" s="78"/>
      <c r="K30" s="419"/>
    </row>
    <row r="31" spans="3:11" s="203" customFormat="1" ht="15.75" customHeight="1">
      <c r="C31" s="191"/>
      <c r="D31" s="192"/>
      <c r="E31" s="193"/>
      <c r="F31" s="193"/>
      <c r="G31" s="193"/>
      <c r="H31" s="194"/>
      <c r="J31" s="419">
        <v>1</v>
      </c>
      <c r="K31" s="419"/>
    </row>
    <row r="32" spans="3:11" s="203" customFormat="1" ht="15.75" customHeight="1">
      <c r="C32" s="195"/>
      <c r="D32" s="196"/>
      <c r="E32" s="197"/>
      <c r="F32" s="197"/>
      <c r="G32" s="197"/>
      <c r="H32" s="198"/>
      <c r="J32" s="419"/>
      <c r="K32" s="419"/>
    </row>
    <row r="33" spans="3:11" s="203" customFormat="1" ht="15.75" customHeight="1">
      <c r="C33" s="199"/>
      <c r="D33" s="200"/>
      <c r="E33" s="200"/>
      <c r="F33" s="200"/>
      <c r="G33" s="200"/>
      <c r="H33" s="201"/>
      <c r="J33" s="419"/>
      <c r="K33" s="419"/>
    </row>
    <row r="34" spans="4:11" s="78" customFormat="1" ht="15.75" customHeight="1">
      <c r="D34" s="205"/>
      <c r="E34" s="205"/>
      <c r="F34" s="205"/>
      <c r="G34" s="205"/>
      <c r="H34" s="206"/>
      <c r="I34" s="187"/>
      <c r="J34" s="6"/>
      <c r="K34" s="5"/>
    </row>
    <row r="35" spans="4:11" s="78" customFormat="1" ht="15.75" customHeight="1">
      <c r="D35" s="205"/>
      <c r="E35" s="205"/>
      <c r="F35" s="205"/>
      <c r="G35" s="205"/>
      <c r="H35" s="206"/>
      <c r="I35" s="187"/>
      <c r="J35" s="6"/>
      <c r="K35" s="5"/>
    </row>
    <row r="36" spans="1:11" s="81" customFormat="1" ht="15.75" customHeight="1">
      <c r="A36" s="405">
        <v>3</v>
      </c>
      <c r="B36" s="405" t="s">
        <v>314</v>
      </c>
      <c r="E36" s="207"/>
      <c r="J36" s="77"/>
      <c r="K36" s="77"/>
    </row>
    <row r="37" spans="5:11" s="81" customFormat="1" ht="15.75" customHeight="1">
      <c r="E37" s="207"/>
      <c r="J37" s="77"/>
      <c r="K37" s="77"/>
    </row>
    <row r="38" spans="3:11" s="81" customFormat="1" ht="15.75" customHeight="1">
      <c r="C38" s="595" t="s">
        <v>140</v>
      </c>
      <c r="D38" s="596"/>
      <c r="E38" s="573"/>
      <c r="F38" s="574"/>
      <c r="J38" s="77"/>
      <c r="K38" s="77"/>
    </row>
    <row r="39" spans="3:11" s="81" customFormat="1" ht="15.75" customHeight="1">
      <c r="C39" s="595" t="s">
        <v>141</v>
      </c>
      <c r="D39" s="596"/>
      <c r="E39" s="573"/>
      <c r="F39" s="574"/>
      <c r="J39" s="77"/>
      <c r="K39" s="77"/>
    </row>
    <row r="40" spans="3:11" s="81" customFormat="1" ht="15.75" customHeight="1">
      <c r="C40" s="208" t="s">
        <v>142</v>
      </c>
      <c r="D40" s="209"/>
      <c r="E40" s="210"/>
      <c r="J40" s="77"/>
      <c r="K40" s="77"/>
    </row>
    <row r="41" spans="3:11" s="78" customFormat="1" ht="15.75" customHeight="1">
      <c r="C41" s="205"/>
      <c r="D41" s="205"/>
      <c r="E41" s="205"/>
      <c r="F41" s="205"/>
      <c r="G41" s="205"/>
      <c r="H41" s="206"/>
      <c r="I41" s="187"/>
      <c r="J41" s="6"/>
      <c r="K41" s="5"/>
    </row>
    <row r="42" spans="1:11" s="78" customFormat="1" ht="15.75" customHeight="1">
      <c r="A42" s="184">
        <v>4</v>
      </c>
      <c r="B42" s="184" t="s">
        <v>341</v>
      </c>
      <c r="J42" s="5"/>
      <c r="K42" s="5"/>
    </row>
    <row r="43" spans="2:11" s="78" customFormat="1" ht="15.75" customHeight="1">
      <c r="B43" s="78" t="s">
        <v>63</v>
      </c>
      <c r="J43" s="5"/>
      <c r="K43" s="5"/>
    </row>
    <row r="44" spans="2:11" s="78" customFormat="1" ht="15.75" customHeight="1">
      <c r="B44" s="80" t="s">
        <v>111</v>
      </c>
      <c r="C44" s="80"/>
      <c r="E44" s="80"/>
      <c r="J44" s="5"/>
      <c r="K44" s="5"/>
    </row>
    <row r="45" spans="2:11" s="81" customFormat="1" ht="15.75" customHeight="1">
      <c r="B45" s="211"/>
      <c r="C45" s="554" t="s">
        <v>68</v>
      </c>
      <c r="D45" s="555"/>
      <c r="E45" s="555"/>
      <c r="F45" s="553"/>
      <c r="J45" s="77"/>
      <c r="K45" s="77"/>
    </row>
    <row r="46" spans="2:11" s="81" customFormat="1" ht="15.75" customHeight="1">
      <c r="B46" s="211"/>
      <c r="C46" s="556" t="s">
        <v>69</v>
      </c>
      <c r="D46" s="557"/>
      <c r="E46" s="557"/>
      <c r="F46" s="558"/>
      <c r="J46" s="77"/>
      <c r="K46" s="77"/>
    </row>
    <row r="47" spans="2:11" s="81" customFormat="1" ht="15.75" customHeight="1">
      <c r="B47" s="211"/>
      <c r="C47" s="556" t="s">
        <v>106</v>
      </c>
      <c r="D47" s="557"/>
      <c r="E47" s="557"/>
      <c r="F47" s="558"/>
      <c r="J47" s="77"/>
      <c r="K47" s="77"/>
    </row>
    <row r="48" spans="2:11" s="81" customFormat="1" ht="15.75" customHeight="1">
      <c r="B48" s="211"/>
      <c r="C48" s="556" t="s">
        <v>108</v>
      </c>
      <c r="D48" s="557"/>
      <c r="E48" s="557"/>
      <c r="F48" s="558"/>
      <c r="J48" s="77"/>
      <c r="K48" s="77"/>
    </row>
    <row r="49" spans="2:11" s="81" customFormat="1" ht="15.75" customHeight="1">
      <c r="B49" s="211"/>
      <c r="C49" s="556" t="s">
        <v>107</v>
      </c>
      <c r="D49" s="557"/>
      <c r="E49" s="557"/>
      <c r="F49" s="558"/>
      <c r="J49" s="77"/>
      <c r="K49" s="77"/>
    </row>
    <row r="50" spans="2:11" s="81" customFormat="1" ht="15.75" customHeight="1">
      <c r="B50" s="211"/>
      <c r="C50" s="556" t="s">
        <v>125</v>
      </c>
      <c r="D50" s="559"/>
      <c r="E50" s="557"/>
      <c r="F50" s="558"/>
      <c r="J50" s="77"/>
      <c r="K50" s="77"/>
    </row>
    <row r="51" spans="2:11" s="81" customFormat="1" ht="15.75" customHeight="1">
      <c r="B51" s="211"/>
      <c r="C51" s="212" t="s">
        <v>121</v>
      </c>
      <c r="D51" s="213"/>
      <c r="E51" s="214"/>
      <c r="F51" s="215"/>
      <c r="J51" s="77"/>
      <c r="K51" s="77"/>
    </row>
    <row r="52" spans="2:11" s="81" customFormat="1" ht="15.75" customHeight="1">
      <c r="B52" s="211"/>
      <c r="C52" s="212" t="s">
        <v>122</v>
      </c>
      <c r="D52" s="213"/>
      <c r="E52" s="214"/>
      <c r="F52" s="215"/>
      <c r="J52" s="77"/>
      <c r="K52" s="77"/>
    </row>
    <row r="53" spans="2:11" s="81" customFormat="1" ht="15.75" customHeight="1">
      <c r="B53" s="211"/>
      <c r="C53" s="212" t="s">
        <v>123</v>
      </c>
      <c r="D53" s="213"/>
      <c r="E53" s="214"/>
      <c r="F53" s="215"/>
      <c r="J53" s="77"/>
      <c r="K53" s="77"/>
    </row>
    <row r="54" spans="2:11" s="81" customFormat="1" ht="15.75" customHeight="1">
      <c r="B54" s="211"/>
      <c r="C54" s="216" t="s">
        <v>124</v>
      </c>
      <c r="D54" s="217"/>
      <c r="E54" s="218"/>
      <c r="F54" s="219"/>
      <c r="J54" s="77"/>
      <c r="K54" s="77"/>
    </row>
    <row r="55" spans="2:11" s="81" customFormat="1" ht="15.75" customHeight="1">
      <c r="B55" s="209"/>
      <c r="C55" s="209"/>
      <c r="D55" s="209"/>
      <c r="E55" s="210"/>
      <c r="J55" s="77"/>
      <c r="K55" s="77"/>
    </row>
    <row r="56" spans="2:11" s="78" customFormat="1" ht="15.75" customHeight="1">
      <c r="B56" s="78" t="s">
        <v>39</v>
      </c>
      <c r="H56" s="79"/>
      <c r="J56" s="5"/>
      <c r="K56" s="5"/>
    </row>
    <row r="57" spans="2:11" s="78" customFormat="1" ht="15.75" customHeight="1">
      <c r="B57" s="78" t="s">
        <v>60</v>
      </c>
      <c r="J57" s="5"/>
      <c r="K57" s="5"/>
    </row>
    <row r="58" spans="2:11" s="78" customFormat="1" ht="15.75" customHeight="1">
      <c r="B58" s="78" t="s">
        <v>72</v>
      </c>
      <c r="J58" s="5"/>
      <c r="K58" s="5"/>
    </row>
    <row r="59" spans="2:11" s="78" customFormat="1" ht="15.75" customHeight="1">
      <c r="B59" s="78" t="s">
        <v>40</v>
      </c>
      <c r="J59" s="5"/>
      <c r="K59" s="5"/>
    </row>
    <row r="60" spans="2:11" s="78" customFormat="1" ht="15.75" customHeight="1">
      <c r="B60" s="78" t="s">
        <v>130</v>
      </c>
      <c r="J60" s="5"/>
      <c r="K60" s="5"/>
    </row>
    <row r="61" spans="2:11" s="81" customFormat="1" ht="15.75" customHeight="1">
      <c r="B61" s="209"/>
      <c r="C61" s="220"/>
      <c r="D61" s="209"/>
      <c r="E61" s="210"/>
      <c r="J61" s="77"/>
      <c r="K61" s="77"/>
    </row>
    <row r="62" spans="1:10" s="255" customFormat="1" ht="18" customHeight="1">
      <c r="A62" s="184">
        <v>5</v>
      </c>
      <c r="B62" s="389" t="s">
        <v>270</v>
      </c>
      <c r="D62" s="390"/>
      <c r="E62" s="171"/>
      <c r="F62" s="171"/>
      <c r="G62" s="390"/>
      <c r="H62" s="391"/>
      <c r="J62" s="235"/>
    </row>
    <row r="63" spans="2:10" s="2" customFormat="1" ht="18" customHeight="1">
      <c r="B63" s="5" t="s">
        <v>63</v>
      </c>
      <c r="D63" s="390"/>
      <c r="E63" s="171"/>
      <c r="F63" s="171"/>
      <c r="G63" s="390"/>
      <c r="H63" s="391"/>
      <c r="J63" s="235"/>
    </row>
    <row r="64" spans="2:11" s="5" customFormat="1" ht="15" customHeight="1">
      <c r="B64" s="392"/>
      <c r="C64" s="393" t="s">
        <v>271</v>
      </c>
      <c r="D64" s="392"/>
      <c r="E64" s="394"/>
      <c r="F64" s="395"/>
      <c r="K64" s="396"/>
    </row>
    <row r="65" spans="1:5" s="397" customFormat="1" ht="18" customHeight="1">
      <c r="A65" s="399" t="s">
        <v>283</v>
      </c>
      <c r="B65" s="242" t="s">
        <v>253</v>
      </c>
      <c r="C65" s="242"/>
      <c r="D65" s="242"/>
      <c r="E65" s="242"/>
    </row>
    <row r="66" spans="1:2" s="242" customFormat="1" ht="14.25">
      <c r="A66" s="399"/>
      <c r="B66" s="242" t="s">
        <v>272</v>
      </c>
    </row>
    <row r="67" s="242" customFormat="1" ht="14.25">
      <c r="A67" s="399"/>
    </row>
    <row r="68" spans="1:13" s="242" customFormat="1" ht="14.25">
      <c r="A68" s="399" t="s">
        <v>284</v>
      </c>
      <c r="B68" s="242" t="s">
        <v>143</v>
      </c>
      <c r="M68" s="398"/>
    </row>
    <row r="69" spans="2:15" s="242" customFormat="1" ht="15">
      <c r="B69" s="242" t="s">
        <v>273</v>
      </c>
      <c r="K69" s="399"/>
      <c r="L69" s="399"/>
      <c r="M69" s="6"/>
      <c r="N69" s="397"/>
      <c r="O69" s="397"/>
    </row>
    <row r="70" spans="2:12" s="242" customFormat="1" ht="14.25">
      <c r="B70" s="242" t="s">
        <v>274</v>
      </c>
      <c r="K70" s="399"/>
      <c r="L70" s="399"/>
    </row>
    <row r="71" spans="2:12" s="242" customFormat="1" ht="14.25">
      <c r="B71" s="242" t="s">
        <v>275</v>
      </c>
      <c r="K71" s="399"/>
      <c r="L71" s="399"/>
    </row>
    <row r="72" spans="2:13" s="242" customFormat="1" ht="14.25">
      <c r="B72" s="242" t="s">
        <v>276</v>
      </c>
      <c r="K72" s="399"/>
      <c r="L72" s="399"/>
      <c r="M72" s="244"/>
    </row>
    <row r="73" spans="2:12" s="242" customFormat="1" ht="14.25">
      <c r="B73" s="242" t="s">
        <v>277</v>
      </c>
      <c r="K73" s="399"/>
      <c r="L73" s="399"/>
    </row>
    <row r="74" spans="2:13" s="242" customFormat="1" ht="14.25">
      <c r="B74" s="242" t="s">
        <v>278</v>
      </c>
      <c r="K74" s="399"/>
      <c r="L74" s="399"/>
      <c r="M74" s="397"/>
    </row>
    <row r="75" spans="2:12" s="242" customFormat="1" ht="14.25">
      <c r="B75" s="242" t="s">
        <v>279</v>
      </c>
      <c r="K75" s="399"/>
      <c r="L75" s="399"/>
    </row>
    <row r="76" spans="2:13" s="242" customFormat="1" ht="14.25">
      <c r="B76" s="242" t="s">
        <v>287</v>
      </c>
      <c r="K76" s="399"/>
      <c r="L76" s="399"/>
      <c r="M76" s="45"/>
    </row>
    <row r="77" spans="2:12" s="242" customFormat="1" ht="14.25">
      <c r="B77" s="242" t="s">
        <v>286</v>
      </c>
      <c r="K77" s="399"/>
      <c r="L77" s="399"/>
    </row>
    <row r="78" s="242" customFormat="1" ht="14.25">
      <c r="B78" s="242" t="s">
        <v>280</v>
      </c>
    </row>
    <row r="79" s="242" customFormat="1" ht="14.25"/>
    <row r="80" spans="1:2" s="242" customFormat="1" ht="14.25">
      <c r="A80" s="399" t="s">
        <v>285</v>
      </c>
      <c r="B80" s="242" t="s">
        <v>281</v>
      </c>
    </row>
    <row r="81" spans="2:11" s="242" customFormat="1" ht="14.25">
      <c r="B81" s="242" t="s">
        <v>298</v>
      </c>
      <c r="K81" s="400" t="s">
        <v>282</v>
      </c>
    </row>
    <row r="82" s="242" customFormat="1" ht="14.25">
      <c r="B82" s="242" t="s">
        <v>299</v>
      </c>
    </row>
    <row r="83" s="242" customFormat="1" ht="14.25">
      <c r="B83" s="242" t="s">
        <v>300</v>
      </c>
    </row>
  </sheetData>
  <sheetProtection sheet="1" objects="1" scenarios="1"/>
  <mergeCells count="8">
    <mergeCell ref="F21:H25"/>
    <mergeCell ref="C26:H28"/>
    <mergeCell ref="C12:H12"/>
    <mergeCell ref="C39:D39"/>
    <mergeCell ref="C38:D38"/>
    <mergeCell ref="E39:F39"/>
    <mergeCell ref="E38:F38"/>
    <mergeCell ref="C21:E25"/>
  </mergeCells>
  <conditionalFormatting sqref="E38:F38">
    <cfRule type="expression" priority="2" dxfId="0" stopIfTrue="1">
      <formula>OR($E$38="",$E$38=0)</formula>
    </cfRule>
  </conditionalFormatting>
  <conditionalFormatting sqref="E39:F39">
    <cfRule type="expression" priority="1" dxfId="0" stopIfTrue="1">
      <formula>OR($E$39="",$E$39=0)</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 ref="C64"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F12" sqref="F12"/>
    </sheetView>
  </sheetViews>
  <sheetFormatPr defaultColWidth="8.8515625" defaultRowHeight="15"/>
  <cols>
    <col min="1" max="1" width="2.421875" style="25" customWidth="1"/>
    <col min="2" max="2" width="3.140625" style="27" bestFit="1" customWidth="1"/>
    <col min="3" max="3" width="25.140625" style="25" customWidth="1"/>
    <col min="4" max="4" width="2.00390625" style="25" customWidth="1"/>
    <col min="5" max="5" width="3.140625" style="27" bestFit="1" customWidth="1"/>
    <col min="6" max="6" width="18.421875" style="25" bestFit="1" customWidth="1"/>
    <col min="7" max="7" width="15.28125" style="25" bestFit="1" customWidth="1"/>
    <col min="8" max="8" width="12.140625" style="28" bestFit="1" customWidth="1"/>
    <col min="9" max="9" width="12.421875" style="28" bestFit="1" customWidth="1"/>
    <col min="10" max="10" width="1.57421875" style="25" customWidth="1"/>
    <col min="11" max="11" width="3.140625" style="25" bestFit="1" customWidth="1"/>
    <col min="12" max="12" width="14.421875" style="429" bestFit="1" customWidth="1"/>
    <col min="13" max="13" width="13.28125" style="429" customWidth="1"/>
    <col min="14" max="14" width="8.8515625" style="25" customWidth="1"/>
    <col min="15" max="15" width="1.57421875" style="25" customWidth="1"/>
    <col min="16" max="16" width="3.140625" style="25" bestFit="1" customWidth="1"/>
    <col min="17" max="17" width="20.00390625" style="429" bestFit="1" customWidth="1"/>
    <col min="18" max="18" width="13.28125" style="430" customWidth="1"/>
    <col min="19" max="16384" width="8.8515625" style="25" customWidth="1"/>
  </cols>
  <sheetData>
    <row r="2" spans="2:18" ht="13.5">
      <c r="B2" s="26" t="s">
        <v>86</v>
      </c>
      <c r="C2" s="26" t="s">
        <v>85</v>
      </c>
      <c r="E2" s="26" t="s">
        <v>86</v>
      </c>
      <c r="F2" s="597" t="s">
        <v>85</v>
      </c>
      <c r="G2" s="598"/>
      <c r="H2" s="22" t="s">
        <v>315</v>
      </c>
      <c r="I2" s="22" t="s">
        <v>95</v>
      </c>
      <c r="K2" s="26" t="s">
        <v>86</v>
      </c>
      <c r="L2" s="422" t="s">
        <v>316</v>
      </c>
      <c r="M2" s="422" t="s">
        <v>317</v>
      </c>
      <c r="P2" s="26" t="s">
        <v>86</v>
      </c>
      <c r="Q2" s="422" t="s">
        <v>318</v>
      </c>
      <c r="R2" s="423" t="s">
        <v>319</v>
      </c>
    </row>
    <row r="3" spans="2:18" ht="13.5">
      <c r="B3" s="26">
        <v>1</v>
      </c>
      <c r="C3" s="23" t="s">
        <v>93</v>
      </c>
      <c r="E3" s="26">
        <v>1</v>
      </c>
      <c r="F3" s="23" t="s">
        <v>322</v>
      </c>
      <c r="G3" s="23"/>
      <c r="H3" s="24">
        <v>10000000</v>
      </c>
      <c r="I3" s="24">
        <v>1000000</v>
      </c>
      <c r="K3" s="26">
        <v>1</v>
      </c>
      <c r="L3" s="424" t="s">
        <v>320</v>
      </c>
      <c r="M3" s="424"/>
      <c r="P3" s="26">
        <v>1</v>
      </c>
      <c r="Q3" s="425" t="s">
        <v>321</v>
      </c>
      <c r="R3" s="426">
        <f>2/3</f>
        <v>0.6666666666666666</v>
      </c>
    </row>
    <row r="4" spans="2:18" ht="13.5">
      <c r="B4" s="26">
        <v>2</v>
      </c>
      <c r="C4" s="23" t="s">
        <v>94</v>
      </c>
      <c r="E4" s="26">
        <v>2</v>
      </c>
      <c r="F4" s="23" t="s">
        <v>84</v>
      </c>
      <c r="G4" s="23" t="s">
        <v>325</v>
      </c>
      <c r="H4" s="24">
        <v>5000000</v>
      </c>
      <c r="I4" s="24">
        <v>1000000</v>
      </c>
      <c r="K4" s="26">
        <v>2</v>
      </c>
      <c r="L4" s="427" t="s">
        <v>323</v>
      </c>
      <c r="M4" s="427">
        <v>300000</v>
      </c>
      <c r="P4" s="26">
        <v>2</v>
      </c>
      <c r="Q4" s="425" t="s">
        <v>324</v>
      </c>
      <c r="R4" s="428">
        <f>1/2</f>
        <v>0.5</v>
      </c>
    </row>
    <row r="5" spans="5:9" ht="13.5">
      <c r="E5" s="26">
        <v>3</v>
      </c>
      <c r="F5" s="23" t="s">
        <v>84</v>
      </c>
      <c r="G5" s="23" t="s">
        <v>326</v>
      </c>
      <c r="H5" s="24">
        <v>5000000</v>
      </c>
      <c r="I5" s="24">
        <v>1000000</v>
      </c>
    </row>
    <row r="6" spans="5:7" ht="13.5">
      <c r="E6" s="132"/>
      <c r="F6" s="418"/>
      <c r="G6" s="418"/>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A1">
      <selection activeCell="A1" sqref="A1"/>
    </sheetView>
  </sheetViews>
  <sheetFormatPr defaultColWidth="9.140625" defaultRowHeight="30" customHeight="1"/>
  <cols>
    <col min="1" max="3" width="5.421875" style="44" customWidth="1"/>
    <col min="4" max="4" width="4.7109375" style="44" hidden="1" customWidth="1"/>
    <col min="5" max="5" width="28.28125" style="44" customWidth="1"/>
    <col min="6" max="13" width="17.421875" style="44" customWidth="1"/>
    <col min="14" max="14" width="9.8515625" style="44" customWidth="1"/>
    <col min="15" max="15" width="26.8515625" style="44" customWidth="1"/>
    <col min="16" max="16" width="6.421875" style="44" customWidth="1"/>
    <col min="17" max="19" width="26.57421875" style="44" customWidth="1"/>
    <col min="20" max="20" width="29.421875" style="44" customWidth="1"/>
    <col min="21" max="25" width="26.57421875" style="44" customWidth="1"/>
    <col min="26" max="27" width="26.57421875" style="71" customWidth="1"/>
    <col min="28" max="28" width="23.28125" style="44" customWidth="1"/>
    <col min="29" max="32" width="17.421875" style="44" customWidth="1"/>
    <col min="33" max="33" width="16.8515625" style="44" customWidth="1"/>
    <col min="34" max="35" width="21.8515625" style="44" customWidth="1"/>
    <col min="36" max="36" width="35.28125" style="44" customWidth="1"/>
    <col min="37" max="37" width="19.28125" style="44" customWidth="1"/>
    <col min="38" max="38" width="5.7109375" style="44" customWidth="1"/>
    <col min="39" max="39" width="35.28125" style="44" customWidth="1"/>
    <col min="40" max="40" width="19.28125" style="44" customWidth="1"/>
    <col min="41" max="41" width="5.7109375" style="44" customWidth="1"/>
    <col min="42" max="42" width="35.28125" style="44" customWidth="1"/>
    <col min="43" max="43" width="19.28125" style="44" customWidth="1"/>
    <col min="44" max="44" width="5.7109375" style="44" customWidth="1"/>
    <col min="45" max="45" width="35.28125" style="44" customWidth="1"/>
    <col min="46" max="46" width="19.28125" style="44" customWidth="1"/>
    <col min="47" max="47" width="5.7109375" style="44" customWidth="1"/>
    <col min="48" max="48" width="35.28125" style="44" customWidth="1"/>
    <col min="49" max="49" width="19.28125" style="44" customWidth="1"/>
    <col min="50" max="50" width="5.7109375" style="44" customWidth="1"/>
    <col min="51" max="52" width="11.140625" style="44" bestFit="1" customWidth="1"/>
    <col min="53" max="53" width="6.7109375" style="44" bestFit="1" customWidth="1"/>
    <col min="54" max="54" width="45.57421875" style="44" bestFit="1" customWidth="1"/>
    <col min="55" max="55" width="10.28125" style="44" bestFit="1" customWidth="1"/>
    <col min="56" max="56" width="9.421875" style="44" bestFit="1" customWidth="1"/>
    <col min="57" max="57" width="4.57421875" style="44" bestFit="1" customWidth="1"/>
    <col min="58" max="58" width="8.421875" style="44" bestFit="1" customWidth="1"/>
    <col min="59" max="59" width="4.57421875" style="44" bestFit="1" customWidth="1"/>
    <col min="60" max="60" width="15.421875" style="44" bestFit="1" customWidth="1"/>
    <col min="61" max="61" width="4.57421875" style="44" bestFit="1" customWidth="1"/>
    <col min="62" max="62" width="18.28125" style="44" bestFit="1" customWidth="1"/>
    <col min="63" max="63" width="6.8515625" style="44" bestFit="1" customWidth="1"/>
    <col min="64" max="64" width="14.00390625" style="44" customWidth="1"/>
    <col min="65" max="65" width="13.8515625" style="44" customWidth="1"/>
    <col min="66" max="66" width="17.28125" style="44" customWidth="1"/>
    <col min="67" max="16384" width="9.00390625" style="44" customWidth="1"/>
  </cols>
  <sheetData>
    <row r="1" spans="1:21" s="41" customFormat="1" ht="30" customHeight="1">
      <c r="A1" s="171"/>
      <c r="B1" s="171"/>
      <c r="C1" s="171"/>
      <c r="D1" s="171"/>
      <c r="E1" s="171"/>
      <c r="F1" s="171"/>
      <c r="G1" s="171"/>
      <c r="H1" s="171"/>
      <c r="I1" s="171"/>
      <c r="J1" s="171"/>
      <c r="K1" s="171"/>
      <c r="L1" s="171"/>
      <c r="M1" s="171"/>
      <c r="Q1" s="40"/>
      <c r="R1" s="40"/>
      <c r="S1" s="40"/>
      <c r="U1" s="42"/>
    </row>
    <row r="2" spans="1:21" s="41" customFormat="1" ht="30" customHeight="1">
      <c r="A2" s="171"/>
      <c r="B2" s="232"/>
      <c r="C2" s="171"/>
      <c r="D2" s="171"/>
      <c r="E2" s="171"/>
      <c r="F2" s="171"/>
      <c r="G2" s="171"/>
      <c r="H2" s="171"/>
      <c r="I2" s="171"/>
      <c r="J2" s="171"/>
      <c r="K2" s="171"/>
      <c r="L2" s="171"/>
      <c r="M2" s="171"/>
      <c r="Q2" s="40"/>
      <c r="R2" s="40"/>
      <c r="S2" s="40"/>
      <c r="U2" s="42"/>
    </row>
    <row r="3" spans="1:33" s="41" customFormat="1" ht="30" customHeight="1">
      <c r="A3" s="233"/>
      <c r="B3" s="233"/>
      <c r="C3" s="234" t="s">
        <v>291</v>
      </c>
      <c r="D3" s="234" t="s">
        <v>157</v>
      </c>
      <c r="E3" s="235"/>
      <c r="F3" s="235"/>
      <c r="G3" s="235"/>
      <c r="H3" s="235"/>
      <c r="I3" s="235"/>
      <c r="J3" s="235"/>
      <c r="K3" s="235"/>
      <c r="L3" s="235"/>
      <c r="M3" s="235"/>
      <c r="Q3" s="40"/>
      <c r="R3" s="40"/>
      <c r="S3" s="40"/>
      <c r="U3" s="42"/>
      <c r="Y3" s="25"/>
      <c r="Z3" s="25"/>
      <c r="AA3" s="25"/>
      <c r="AB3" s="25"/>
      <c r="AC3" s="25"/>
      <c r="AG3" s="43"/>
    </row>
    <row r="4" spans="1:32" ht="30" customHeight="1">
      <c r="A4" s="233"/>
      <c r="B4" s="233"/>
      <c r="C4" s="236"/>
      <c r="D4" s="236" t="s">
        <v>158</v>
      </c>
      <c r="E4" s="233"/>
      <c r="F4" s="237"/>
      <c r="G4" s="237"/>
      <c r="H4" s="237"/>
      <c r="I4" s="235"/>
      <c r="J4" s="238" t="s">
        <v>159</v>
      </c>
      <c r="K4" s="239" t="s">
        <v>160</v>
      </c>
      <c r="L4" s="240" t="s">
        <v>161</v>
      </c>
      <c r="M4" s="235"/>
      <c r="Y4" s="25"/>
      <c r="Z4" s="25"/>
      <c r="AA4" s="25"/>
      <c r="AB4" s="25"/>
      <c r="AC4" s="25"/>
      <c r="AD4" s="75"/>
      <c r="AE4" s="43"/>
      <c r="AF4" s="43"/>
    </row>
    <row r="5" spans="1:32" ht="30" customHeight="1">
      <c r="A5" s="25"/>
      <c r="B5" s="25"/>
      <c r="C5" s="25"/>
      <c r="D5" s="25"/>
      <c r="E5" s="25"/>
      <c r="F5" s="25"/>
      <c r="G5" s="25"/>
      <c r="H5" s="25"/>
      <c r="I5" s="25"/>
      <c r="Y5" s="25"/>
      <c r="Z5" s="25"/>
      <c r="AA5" s="25"/>
      <c r="AB5" s="25"/>
      <c r="AC5" s="25"/>
      <c r="AE5" s="43"/>
      <c r="AF5" s="43"/>
    </row>
    <row r="6" spans="1:64" s="41" customFormat="1" ht="30" customHeight="1">
      <c r="A6" s="25"/>
      <c r="B6" s="25"/>
      <c r="C6" s="25"/>
      <c r="D6" s="25"/>
      <c r="E6" s="25"/>
      <c r="F6" s="25"/>
      <c r="G6" s="25"/>
      <c r="H6" s="25"/>
      <c r="I6" s="25"/>
      <c r="J6" s="25"/>
      <c r="K6" s="25"/>
      <c r="L6" s="45"/>
      <c r="M6" s="45"/>
      <c r="N6" s="45"/>
      <c r="O6" s="45"/>
      <c r="P6" s="45"/>
      <c r="Q6" s="46"/>
      <c r="R6" s="44"/>
      <c r="S6" s="44"/>
      <c r="Y6" s="25"/>
      <c r="Z6" s="25"/>
      <c r="AA6" s="25"/>
      <c r="AB6" s="25"/>
      <c r="AE6" s="43"/>
      <c r="AF6" s="43"/>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s="41" customFormat="1" ht="30" customHeight="1">
      <c r="A7" s="171"/>
      <c r="B7" s="171"/>
      <c r="C7" s="171"/>
      <c r="D7" s="171"/>
      <c r="E7" s="241" t="s">
        <v>162</v>
      </c>
      <c r="F7" s="171"/>
      <c r="G7" s="242"/>
      <c r="H7" s="615" t="s">
        <v>290</v>
      </c>
      <c r="I7" s="616"/>
      <c r="J7" s="616"/>
      <c r="K7" s="616"/>
      <c r="L7" s="616"/>
      <c r="M7" s="616"/>
      <c r="N7" s="50"/>
      <c r="O7" s="50"/>
      <c r="P7" s="50"/>
      <c r="Q7" s="50"/>
      <c r="R7" s="44"/>
      <c r="S7" s="44"/>
      <c r="Y7" s="242"/>
      <c r="Z7" s="243"/>
      <c r="AA7" s="242"/>
      <c r="AB7" s="242"/>
      <c r="AC7" s="242"/>
      <c r="AE7" s="43"/>
      <c r="AF7" s="43"/>
      <c r="AG7" s="44"/>
      <c r="AH7" s="44"/>
      <c r="AI7" s="44" t="s">
        <v>246</v>
      </c>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51" ht="30" customHeight="1">
      <c r="A8" s="171"/>
      <c r="B8" s="171"/>
      <c r="C8" s="171"/>
      <c r="D8" s="171"/>
      <c r="E8" s="244"/>
      <c r="F8" s="171"/>
      <c r="G8" s="245"/>
      <c r="H8" s="616"/>
      <c r="I8" s="616"/>
      <c r="J8" s="616"/>
      <c r="K8" s="616"/>
      <c r="L8" s="616"/>
      <c r="M8" s="616"/>
      <c r="N8" s="50"/>
      <c r="O8" s="50"/>
      <c r="P8" s="50"/>
      <c r="Q8" s="50"/>
      <c r="AI8" s="697" t="s">
        <v>104</v>
      </c>
      <c r="AJ8" s="659" t="s">
        <v>322</v>
      </c>
      <c r="AK8" s="660"/>
      <c r="AL8" s="661"/>
      <c r="AM8" s="643" t="s">
        <v>328</v>
      </c>
      <c r="AN8" s="643"/>
      <c r="AO8" s="643"/>
      <c r="AP8" s="643" t="s">
        <v>329</v>
      </c>
      <c r="AQ8" s="643"/>
      <c r="AR8" s="644"/>
      <c r="AS8" s="657" t="s">
        <v>90</v>
      </c>
      <c r="AT8" s="657"/>
      <c r="AU8" s="658"/>
      <c r="AV8" s="45"/>
      <c r="AW8" s="45"/>
      <c r="AX8" s="45"/>
      <c r="AY8" s="45"/>
    </row>
    <row r="9" spans="1:47" ht="30" customHeight="1" thickBot="1">
      <c r="A9" s="171"/>
      <c r="B9" s="171"/>
      <c r="C9" s="247"/>
      <c r="D9" s="247"/>
      <c r="E9" s="244"/>
      <c r="F9" s="247"/>
      <c r="G9" s="247"/>
      <c r="H9" s="247"/>
      <c r="I9" s="247"/>
      <c r="J9" s="247"/>
      <c r="K9" s="247"/>
      <c r="L9" s="247"/>
      <c r="M9" s="247"/>
      <c r="N9" s="170"/>
      <c r="O9" s="170"/>
      <c r="P9" s="170"/>
      <c r="Q9" s="170"/>
      <c r="AI9" s="698"/>
      <c r="AJ9" s="57" t="s">
        <v>87</v>
      </c>
      <c r="AK9" s="57" t="s">
        <v>88</v>
      </c>
      <c r="AL9" s="57" t="s">
        <v>89</v>
      </c>
      <c r="AM9" s="57" t="s">
        <v>87</v>
      </c>
      <c r="AN9" s="57" t="s">
        <v>88</v>
      </c>
      <c r="AO9" s="57" t="s">
        <v>89</v>
      </c>
      <c r="AP9" s="57" t="s">
        <v>87</v>
      </c>
      <c r="AQ9" s="57" t="s">
        <v>88</v>
      </c>
      <c r="AR9" s="58" t="s">
        <v>89</v>
      </c>
      <c r="AS9" s="59" t="s">
        <v>87</v>
      </c>
      <c r="AT9" s="57" t="s">
        <v>88</v>
      </c>
      <c r="AU9" s="57" t="s">
        <v>89</v>
      </c>
    </row>
    <row r="10" spans="1:47" ht="30" customHeight="1" thickTop="1">
      <c r="A10" s="171"/>
      <c r="B10" s="171"/>
      <c r="C10" s="248"/>
      <c r="D10" s="248"/>
      <c r="F10" s="248"/>
      <c r="G10" s="248"/>
      <c r="H10" s="248"/>
      <c r="I10" s="248"/>
      <c r="J10" s="171"/>
      <c r="K10" s="171"/>
      <c r="L10" s="171"/>
      <c r="M10" s="171"/>
      <c r="N10" s="170"/>
      <c r="O10" s="170"/>
      <c r="P10" s="170"/>
      <c r="AE10" s="49"/>
      <c r="AF10" s="49"/>
      <c r="AH10" s="565"/>
      <c r="AI10" s="60" t="s">
        <v>35</v>
      </c>
      <c r="AJ10" s="542">
        <f>補助上限額</f>
        <v>10000000</v>
      </c>
      <c r="AK10" s="543">
        <f>$I$29</f>
        <v>0</v>
      </c>
      <c r="AL10" s="544" t="str">
        <f>IF(AJ10-AK10&gt;=0,"○","×")</f>
        <v>○</v>
      </c>
      <c r="AM10" s="542">
        <f>補助上限額</f>
        <v>10000000</v>
      </c>
      <c r="AN10" s="543">
        <f>$I$29</f>
        <v>0</v>
      </c>
      <c r="AO10" s="544" t="str">
        <f>IF(AM10-AN10&gt;=0,"○","×")</f>
        <v>○</v>
      </c>
      <c r="AP10" s="542">
        <f>補助上限額</f>
        <v>10000000</v>
      </c>
      <c r="AQ10" s="543">
        <f>$I$29</f>
        <v>0</v>
      </c>
      <c r="AR10" s="550" t="str">
        <f>IF(AP10-AQ10&gt;=0,"○","×")</f>
        <v>○</v>
      </c>
      <c r="AS10" s="567">
        <f>IF('基本情報入力（使い方）'!$J$21=1,AJ10,IF('基本情報入力（使い方）'!$J$21=2,AM10,AP10))</f>
        <v>10000000</v>
      </c>
      <c r="AT10" s="61">
        <f>IF('基本情報入力（使い方）'!$J$21=1,AK10,IF('基本情報入力（使い方）'!$J$21=2,AN10,AQ10))</f>
        <v>0</v>
      </c>
      <c r="AU10" s="62" t="str">
        <f>IF('基本情報入力（使い方）'!$J$21=1,AL10,IF('基本情報入力（使い方）'!$J$21=2,AO10,AR10))</f>
        <v>○</v>
      </c>
    </row>
    <row r="11" spans="1:47" ht="30" customHeight="1">
      <c r="A11" s="171"/>
      <c r="B11" s="171"/>
      <c r="C11" s="250"/>
      <c r="D11" s="250"/>
      <c r="E11" s="249" t="s">
        <v>163</v>
      </c>
      <c r="K11" s="171"/>
      <c r="L11" s="171"/>
      <c r="M11" s="242"/>
      <c r="N11" s="170"/>
      <c r="O11" s="170"/>
      <c r="P11" s="170"/>
      <c r="AE11" s="29"/>
      <c r="AF11" s="29"/>
      <c r="AH11" s="565"/>
      <c r="AI11" s="64" t="s">
        <v>95</v>
      </c>
      <c r="AJ11" s="65">
        <f>補助下限額</f>
        <v>1000000</v>
      </c>
      <c r="AK11" s="30">
        <f>$I$29</f>
        <v>0</v>
      </c>
      <c r="AL11" s="545" t="str">
        <f>IF(AK11-AJ11&gt;=0,"○","×")</f>
        <v>×</v>
      </c>
      <c r="AM11" s="65">
        <f>補助下限額</f>
        <v>1000000</v>
      </c>
      <c r="AN11" s="30">
        <f>$I$29</f>
        <v>0</v>
      </c>
      <c r="AO11" s="545" t="str">
        <f>IF(AN11-AM11&gt;=0,"○","×")</f>
        <v>×</v>
      </c>
      <c r="AP11" s="65">
        <f>補助下限額</f>
        <v>1000000</v>
      </c>
      <c r="AQ11" s="30">
        <f>$I$29</f>
        <v>0</v>
      </c>
      <c r="AR11" s="549" t="str">
        <f>IF(AQ11-AP11&gt;=0,"○","×")</f>
        <v>×</v>
      </c>
      <c r="AS11" s="568">
        <f>IF('基本情報入力（使い方）'!$J$21=1,AJ11,IF('基本情報入力（使い方）'!$J$21=2,AM11,AP11))</f>
        <v>1000000</v>
      </c>
      <c r="AT11" s="61">
        <f>IF('基本情報入力（使い方）'!$J$21=1,AK11,IF('基本情報入力（使い方）'!$J$21=2,AN11,AQ11))</f>
        <v>0</v>
      </c>
      <c r="AU11" s="62" t="str">
        <f>IF('基本情報入力（使い方）'!$J$21=1,AL11,IF('基本情報入力（使い方）'!$J$21=2,AO11,AR11))</f>
        <v>×</v>
      </c>
    </row>
    <row r="12" spans="1:47" ht="30" customHeight="1">
      <c r="A12" s="251"/>
      <c r="B12" s="252"/>
      <c r="C12" s="253"/>
      <c r="D12" s="253"/>
      <c r="E12" s="617" t="str">
        <f>"事業者名　：　"&amp;'基本情報入力（使い方）'!C12</f>
        <v>事業者名　：　</v>
      </c>
      <c r="F12" s="617"/>
      <c r="G12" s="617"/>
      <c r="H12" s="617"/>
      <c r="I12" s="617"/>
      <c r="J12" s="617"/>
      <c r="K12" s="254"/>
      <c r="L12" s="254"/>
      <c r="M12" s="255"/>
      <c r="N12" s="47"/>
      <c r="O12" s="50"/>
      <c r="P12" s="50"/>
      <c r="AG12" s="29"/>
      <c r="AH12" s="565"/>
      <c r="AI12" s="66" t="s">
        <v>36</v>
      </c>
      <c r="AJ12" s="548" t="s">
        <v>101</v>
      </c>
      <c r="AK12" s="547">
        <f>$H$19</f>
        <v>0</v>
      </c>
      <c r="AL12" s="545" t="str">
        <f>IF(AK12&gt;=500000,"○","×")</f>
        <v>×</v>
      </c>
      <c r="AM12" s="548" t="s">
        <v>101</v>
      </c>
      <c r="AN12" s="547">
        <f>$H$19</f>
        <v>0</v>
      </c>
      <c r="AO12" s="545" t="str">
        <f>IF(AN12&gt;=500000,"○","×")</f>
        <v>×</v>
      </c>
      <c r="AP12" s="67" t="s">
        <v>92</v>
      </c>
      <c r="AQ12" s="76" t="s">
        <v>105</v>
      </c>
      <c r="AR12" s="70" t="s">
        <v>105</v>
      </c>
      <c r="AS12" s="568" t="str">
        <f>IF('基本情報入力（使い方）'!$J$21=1,AJ12,IF('基本情報入力（使い方）'!$J$21=2,AM12,AP12))</f>
        <v>機械装置費で補助対象経費にして単価５０万円以上の設備投資が必要</v>
      </c>
      <c r="AT12" s="61">
        <f>IF('基本情報入力（使い方）'!$J$21=1,AK12,IF('基本情報入力（使い方）'!$J$21=2,AN12,AQ12))</f>
        <v>0</v>
      </c>
      <c r="AU12" s="62" t="str">
        <f>IF('基本情報入力（使い方）'!$J$21=1,AL12,IF('基本情報入力（使い方）'!$J$21=2,AO12,AR12))</f>
        <v>×</v>
      </c>
    </row>
    <row r="13" spans="1:47" ht="30" customHeight="1">
      <c r="A13" s="603" t="s">
        <v>156</v>
      </c>
      <c r="B13" s="604" t="s">
        <v>153</v>
      </c>
      <c r="C13" s="603" t="s">
        <v>154</v>
      </c>
      <c r="D13" s="603" t="s">
        <v>155</v>
      </c>
      <c r="E13" s="613" t="s">
        <v>52</v>
      </c>
      <c r="F13" s="685" t="str">
        <f>事業類型&amp;"　"&amp;AJ46&amp;"  "&amp;AJ47</f>
        <v>革新的サービス　一般型  専門家活用なし</v>
      </c>
      <c r="G13" s="685"/>
      <c r="H13" s="685"/>
      <c r="I13" s="685"/>
      <c r="J13" s="685"/>
      <c r="K13" s="685"/>
      <c r="L13" s="685"/>
      <c r="M13" s="685"/>
      <c r="N13" s="47"/>
      <c r="O13" s="691" t="s">
        <v>257</v>
      </c>
      <c r="P13" s="691"/>
      <c r="Q13" s="691"/>
      <c r="R13" s="691"/>
      <c r="AG13" s="29"/>
      <c r="AH13" s="565"/>
      <c r="AI13" s="66" t="s">
        <v>37</v>
      </c>
      <c r="AJ13" s="548" t="s">
        <v>47</v>
      </c>
      <c r="AK13" s="547">
        <f>$I$29-SUM($I$19:$I$20)</f>
        <v>0</v>
      </c>
      <c r="AL13" s="545" t="str">
        <f>IF(AK13&lt;=5000000,"○","×")</f>
        <v>○</v>
      </c>
      <c r="AM13" s="548" t="s">
        <v>47</v>
      </c>
      <c r="AN13" s="547">
        <f>$I$29-SUM($I$19:$I$20)</f>
        <v>0</v>
      </c>
      <c r="AO13" s="545" t="str">
        <f>IF(AN13&lt;=5000000,"○","×")</f>
        <v>○</v>
      </c>
      <c r="AP13" s="67" t="s">
        <v>92</v>
      </c>
      <c r="AQ13" s="76" t="s">
        <v>105</v>
      </c>
      <c r="AR13" s="70" t="s">
        <v>105</v>
      </c>
      <c r="AS13" s="568" t="str">
        <f>IF('基本情報入力（使い方）'!$J$21=1,AJ13,IF('基本情報入力（使い方）'!$J$21=2,AM13,AP13))</f>
        <v>機械装置費以外の経費の補助金交付申請額は５００万円以下</v>
      </c>
      <c r="AT13" s="61">
        <f>IF('基本情報入力（使い方）'!$J$21=1,AK13,IF('基本情報入力（使い方）'!$J$21=2,AN13,AQ13))</f>
        <v>0</v>
      </c>
      <c r="AU13" s="62" t="str">
        <f>IF('基本情報入力（使い方）'!$J$21=1,AL13,IF('基本情報入力（使い方）'!$J$21=2,AO13,AR13))</f>
        <v>○</v>
      </c>
    </row>
    <row r="14" spans="1:47" ht="30" customHeight="1" thickBot="1">
      <c r="A14" s="603"/>
      <c r="B14" s="604"/>
      <c r="C14" s="603"/>
      <c r="D14" s="603"/>
      <c r="E14" s="614"/>
      <c r="F14" s="685"/>
      <c r="G14" s="685"/>
      <c r="H14" s="685"/>
      <c r="I14" s="685"/>
      <c r="J14" s="686"/>
      <c r="K14" s="686"/>
      <c r="L14" s="686"/>
      <c r="M14" s="686"/>
      <c r="N14" s="48"/>
      <c r="O14" s="691"/>
      <c r="P14" s="691"/>
      <c r="Q14" s="691"/>
      <c r="R14" s="691"/>
      <c r="AE14" s="29"/>
      <c r="AF14" s="29"/>
      <c r="AH14" s="566"/>
      <c r="AI14" s="66" t="s">
        <v>23</v>
      </c>
      <c r="AJ14" s="546" t="s">
        <v>330</v>
      </c>
      <c r="AK14" s="547">
        <f>$H$21</f>
        <v>0</v>
      </c>
      <c r="AL14" s="545" t="str">
        <f>IF($H$29/3-$H$21&gt;=0,"○","×")</f>
        <v>○</v>
      </c>
      <c r="AM14" s="546" t="s">
        <v>330</v>
      </c>
      <c r="AN14" s="547">
        <f>$H$21</f>
        <v>0</v>
      </c>
      <c r="AO14" s="545" t="str">
        <f>IF($H$29/3-$H$21&gt;=0,"○","×")</f>
        <v>○</v>
      </c>
      <c r="AP14" s="546" t="s">
        <v>330</v>
      </c>
      <c r="AQ14" s="547">
        <f>$H$21</f>
        <v>0</v>
      </c>
      <c r="AR14" s="549" t="str">
        <f>IF($H$29/3-$H$21&gt;=0,"○","×")</f>
        <v>○</v>
      </c>
      <c r="AS14" s="568" t="str">
        <f>IF('基本情報入力（使い方）'!$J$21=1,AJ14,IF('基本情報入力（使い方）'!$J$21=2,AM14,AP14))</f>
        <v>技術導入費が補助対象経費の1/3を超えていないか</v>
      </c>
      <c r="AT14" s="61">
        <f>IF('基本情報入力（使い方）'!$J$21=1,AK14,IF('基本情報入力（使い方）'!$J$21=2,AN14,AQ14))</f>
        <v>0</v>
      </c>
      <c r="AU14" s="62" t="str">
        <f>IF('基本情報入力（使い方）'!$J$21=1,AL14,IF('基本情報入力（使い方）'!$J$21=2,AO14,AR14))</f>
        <v>○</v>
      </c>
    </row>
    <row r="15" spans="1:47" ht="30" customHeight="1">
      <c r="A15" s="603"/>
      <c r="B15" s="604"/>
      <c r="C15" s="603"/>
      <c r="D15" s="605"/>
      <c r="E15" s="606" t="s">
        <v>133</v>
      </c>
      <c r="F15" s="623" t="s">
        <v>152</v>
      </c>
      <c r="G15" s="624"/>
      <c r="H15" s="624"/>
      <c r="I15" s="625"/>
      <c r="J15" s="618" t="s">
        <v>143</v>
      </c>
      <c r="K15" s="619"/>
      <c r="L15" s="619"/>
      <c r="M15" s="620"/>
      <c r="N15" s="50"/>
      <c r="O15" s="47"/>
      <c r="P15" s="47"/>
      <c r="Q15" s="51" t="s">
        <v>55</v>
      </c>
      <c r="R15" s="52"/>
      <c r="S15" s="52"/>
      <c r="T15" s="53"/>
      <c r="U15" s="54"/>
      <c r="Y15" s="706"/>
      <c r="Z15" s="379"/>
      <c r="AA15" s="378"/>
      <c r="AB15" s="378"/>
      <c r="AC15" s="353" t="str">
        <f>E12</f>
        <v>事業者名　：　</v>
      </c>
      <c r="AE15" s="29"/>
      <c r="AF15" s="29"/>
      <c r="AH15" s="566"/>
      <c r="AI15" s="66" t="s">
        <v>66</v>
      </c>
      <c r="AJ15" s="548" t="s">
        <v>331</v>
      </c>
      <c r="AK15" s="547">
        <f>$H$22</f>
        <v>0</v>
      </c>
      <c r="AL15" s="545" t="str">
        <f>IF(AND('基本情報入力（使い方）'!$J$31=2,AK15=0),"×","〇")</f>
        <v>〇</v>
      </c>
      <c r="AM15" s="548" t="s">
        <v>331</v>
      </c>
      <c r="AN15" s="547">
        <f>$H$22</f>
        <v>0</v>
      </c>
      <c r="AO15" s="545" t="str">
        <f>IF(AND('基本情報入力（使い方）'!$J$31=2,AN15=0),"×","〇")</f>
        <v>〇</v>
      </c>
      <c r="AP15" s="548" t="s">
        <v>331</v>
      </c>
      <c r="AQ15" s="547">
        <f>$H$22</f>
        <v>0</v>
      </c>
      <c r="AR15" s="549" t="str">
        <f>IF(AND('基本情報入力（使い方）'!$J$31=2,AQ15=0),"×","〇")</f>
        <v>〇</v>
      </c>
      <c r="AS15" s="568" t="str">
        <f>IF('基本情報入力（使い方）'!$J$21=1,AJ15,IF('基本情報入力（使い方）'!$J$21=2,AM15,AP15))</f>
        <v>専門家の活用ありで専門家経費を使用しているか</v>
      </c>
      <c r="AT15" s="61">
        <f>IF('基本情報入力（使い方）'!$J$21=1,AK15,IF('基本情報入力（使い方）'!$J$21=2,AN15,AQ15))</f>
        <v>0</v>
      </c>
      <c r="AU15" s="62" t="str">
        <f>IF('基本情報入力（使い方）'!$J$21=1,AL15,IF('基本情報入力（使い方）'!$J$21=2,AO15,AR15))</f>
        <v>〇</v>
      </c>
    </row>
    <row r="16" spans="1:47" ht="30" customHeight="1">
      <c r="A16" s="603"/>
      <c r="B16" s="604"/>
      <c r="C16" s="603"/>
      <c r="D16" s="605"/>
      <c r="E16" s="607"/>
      <c r="F16" s="611" t="s">
        <v>137</v>
      </c>
      <c r="G16" s="612"/>
      <c r="H16" s="228" t="s">
        <v>145</v>
      </c>
      <c r="I16" s="449" t="str">
        <f>"B×"&amp;補助名&amp;"以内"</f>
        <v>B×２／３以内</v>
      </c>
      <c r="J16" s="626" t="s">
        <v>148</v>
      </c>
      <c r="K16" s="627"/>
      <c r="L16" s="228" t="s">
        <v>144</v>
      </c>
      <c r="M16" s="450" t="str">
        <f>"B×"&amp;補助名&amp;"以内"</f>
        <v>B×２／３以内</v>
      </c>
      <c r="N16" s="50"/>
      <c r="O16" s="42"/>
      <c r="P16" s="42"/>
      <c r="Q16" s="457" t="str">
        <f>"B×"&amp;補助名&amp;"以内"</f>
        <v>B×２／３以内</v>
      </c>
      <c r="R16" s="667" t="s">
        <v>32</v>
      </c>
      <c r="S16" s="457" t="str">
        <f>"B×"&amp;補助名&amp;"以内"</f>
        <v>B×２／３以内</v>
      </c>
      <c r="T16" s="457" t="str">
        <f>"B×"&amp;補助名&amp;"以内"</f>
        <v>B×２／３以内</v>
      </c>
      <c r="U16" s="664" t="s">
        <v>44</v>
      </c>
      <c r="V16" s="670" t="s">
        <v>14</v>
      </c>
      <c r="W16" s="371"/>
      <c r="Y16" s="706"/>
      <c r="Z16" s="379"/>
      <c r="AA16" s="378"/>
      <c r="AB16" s="378"/>
      <c r="AC16" s="378"/>
      <c r="AE16" s="29"/>
      <c r="AF16" s="29"/>
      <c r="AH16" s="566"/>
      <c r="AI16" s="66" t="s">
        <v>20</v>
      </c>
      <c r="AJ16" s="548" t="s">
        <v>248</v>
      </c>
      <c r="AK16" s="547">
        <f>$H$25</f>
        <v>0</v>
      </c>
      <c r="AL16" s="545" t="str">
        <f>IF(OR(AK16=0,AK16=""),"○","×")</f>
        <v>○</v>
      </c>
      <c r="AM16" s="548" t="s">
        <v>248</v>
      </c>
      <c r="AN16" s="547">
        <f>$H$25</f>
        <v>0</v>
      </c>
      <c r="AO16" s="545" t="str">
        <f>IF(OR(AN16=0,AN16=""),"○","×")</f>
        <v>○</v>
      </c>
      <c r="AP16" s="69" t="s">
        <v>92</v>
      </c>
      <c r="AQ16" s="76" t="s">
        <v>105</v>
      </c>
      <c r="AR16" s="70" t="s">
        <v>105</v>
      </c>
      <c r="AS16" s="568" t="str">
        <f>IF('基本情報入力（使い方）'!$J$21=1,AJ16,IF('基本情報入力（使い方）'!$J$21=2,AM16,AP16))</f>
        <v>事業対象外の経費を使用していないか</v>
      </c>
      <c r="AT16" s="61">
        <f>IF('基本情報入力（使い方）'!$J$21=1,AK16,IF('基本情報入力（使い方）'!$J$21=2,AN16,AQ16))</f>
        <v>0</v>
      </c>
      <c r="AU16" s="62" t="str">
        <f>IF('基本情報入力（使い方）'!$J$21=1,AL16,IF('基本情報入力（使い方）'!$J$21=2,AO16,AR16))</f>
        <v>○</v>
      </c>
    </row>
    <row r="17" spans="1:47" ht="30" customHeight="1" thickBot="1">
      <c r="A17" s="603"/>
      <c r="B17" s="604"/>
      <c r="C17" s="603"/>
      <c r="D17" s="605"/>
      <c r="E17" s="607"/>
      <c r="F17" s="621" t="s">
        <v>134</v>
      </c>
      <c r="G17" s="622"/>
      <c r="H17" s="229" t="s">
        <v>146</v>
      </c>
      <c r="I17" s="230" t="s">
        <v>147</v>
      </c>
      <c r="J17" s="621" t="s">
        <v>149</v>
      </c>
      <c r="K17" s="622"/>
      <c r="L17" s="229" t="s">
        <v>146</v>
      </c>
      <c r="M17" s="387" t="s">
        <v>138</v>
      </c>
      <c r="N17" s="50"/>
      <c r="O17" s="42"/>
      <c r="P17" s="42"/>
      <c r="Q17" s="458" t="s">
        <v>45</v>
      </c>
      <c r="R17" s="668"/>
      <c r="S17" s="458" t="s">
        <v>46</v>
      </c>
      <c r="T17" s="458" t="s">
        <v>18</v>
      </c>
      <c r="U17" s="665"/>
      <c r="V17" s="671"/>
      <c r="W17" s="371"/>
      <c r="Y17" s="242"/>
      <c r="Z17" s="354" t="s">
        <v>236</v>
      </c>
      <c r="AA17" s="242"/>
      <c r="AB17" s="242"/>
      <c r="AC17" s="242"/>
      <c r="AH17" s="566"/>
      <c r="AI17" s="68" t="s">
        <v>25</v>
      </c>
      <c r="AJ17" s="548" t="s">
        <v>248</v>
      </c>
      <c r="AK17" s="547">
        <f>$H$26</f>
        <v>0</v>
      </c>
      <c r="AL17" s="545" t="str">
        <f>IF(OR(AK17=0,AK17=""),"○","×")</f>
        <v>○</v>
      </c>
      <c r="AM17" s="548" t="s">
        <v>248</v>
      </c>
      <c r="AN17" s="547">
        <f>$H$26</f>
        <v>0</v>
      </c>
      <c r="AO17" s="545" t="str">
        <f>IF(OR(AN17=0,AN17=""),"○","×")</f>
        <v>○</v>
      </c>
      <c r="AP17" s="546" t="s">
        <v>112</v>
      </c>
      <c r="AQ17" s="547">
        <f>$H$26</f>
        <v>0</v>
      </c>
      <c r="AR17" s="549" t="str">
        <f>IF('基本情報入力（使い方）'!$J$21=3,IF($G$29/2-$G$26&gt;=0,"○","×"),IF(AQ17=0,"○","×"))</f>
        <v>○</v>
      </c>
      <c r="AS17" s="568" t="str">
        <f>IF('基本情報入力（使い方）'!$J$21=1,AJ17,IF('基本情報入力（使い方）'!$J$21=2,AM17,AP17))</f>
        <v>事業対象外の経費を使用していないか</v>
      </c>
      <c r="AT17" s="61">
        <f>IF('基本情報入力（使い方）'!$J$21=1,AK17,IF('基本情報入力（使い方）'!$J$21=2,AN17,AQ17))</f>
        <v>0</v>
      </c>
      <c r="AU17" s="62" t="str">
        <f>IF('基本情報入力（使い方）'!$J$21=1,AL17,IF('基本情報入力（使い方）'!$J$21=2,AO17,AR17))</f>
        <v>○</v>
      </c>
    </row>
    <row r="18" spans="1:47" ht="30" customHeight="1">
      <c r="A18" s="603"/>
      <c r="B18" s="604"/>
      <c r="C18" s="603"/>
      <c r="D18" s="605"/>
      <c r="E18" s="607"/>
      <c r="F18" s="380" t="s">
        <v>136</v>
      </c>
      <c r="G18" s="381" t="s">
        <v>19</v>
      </c>
      <c r="H18" s="381" t="s">
        <v>19</v>
      </c>
      <c r="I18" s="382" t="s">
        <v>19</v>
      </c>
      <c r="J18" s="380" t="s">
        <v>12</v>
      </c>
      <c r="K18" s="381" t="s">
        <v>19</v>
      </c>
      <c r="L18" s="381" t="s">
        <v>19</v>
      </c>
      <c r="M18" s="383" t="s">
        <v>19</v>
      </c>
      <c r="N18" s="50"/>
      <c r="O18" s="42"/>
      <c r="P18" s="42"/>
      <c r="Q18" s="460" t="s">
        <v>19</v>
      </c>
      <c r="R18" s="669"/>
      <c r="S18" s="459" t="s">
        <v>19</v>
      </c>
      <c r="T18" s="459" t="s">
        <v>19</v>
      </c>
      <c r="U18" s="666"/>
      <c r="V18" s="671"/>
      <c r="W18" s="371"/>
      <c r="Y18" s="683" t="s">
        <v>237</v>
      </c>
      <c r="Z18" s="692" t="str">
        <f>IF(M29-I29&lt;=0,"○","×")</f>
        <v>○</v>
      </c>
      <c r="AA18" s="693" t="s">
        <v>238</v>
      </c>
      <c r="AB18" s="693"/>
      <c r="AC18" s="694"/>
      <c r="AH18" s="566"/>
      <c r="AI18" s="68" t="s">
        <v>91</v>
      </c>
      <c r="AJ18" s="548" t="s">
        <v>248</v>
      </c>
      <c r="AK18" s="547">
        <f>$H$27</f>
        <v>0</v>
      </c>
      <c r="AL18" s="545" t="str">
        <f>IF(OR(AK18=0,AK18=""),"○","×")</f>
        <v>○</v>
      </c>
      <c r="AM18" s="548" t="s">
        <v>248</v>
      </c>
      <c r="AN18" s="547">
        <f>$H$27</f>
        <v>0</v>
      </c>
      <c r="AO18" s="545" t="str">
        <f>IF(OR(AN18=0,AN18=""),"○","×")</f>
        <v>○</v>
      </c>
      <c r="AP18" s="546" t="s">
        <v>113</v>
      </c>
      <c r="AQ18" s="547">
        <f>$H$27</f>
        <v>0</v>
      </c>
      <c r="AR18" s="549" t="str">
        <f>IF('基本情報入力（使い方）'!$J$21=3,IF($G$29/2-$G$27&gt;=0,"○","×"),IF(AQ18=0,"○","×"))</f>
        <v>○</v>
      </c>
      <c r="AS18" s="568" t="str">
        <f>IF('基本情報入力（使い方）'!$J$21=1,AJ18,IF('基本情報入力（使い方）'!$J$21=2,AM18,AP18))</f>
        <v>事業対象外の経費を使用していないか</v>
      </c>
      <c r="AT18" s="61">
        <f>IF('基本情報入力（使い方）'!$J$21=1,AK18,IF('基本情報入力（使い方）'!$J$21=2,AN18,AQ18))</f>
        <v>0</v>
      </c>
      <c r="AU18" s="62" t="str">
        <f>IF('基本情報入力（使い方）'!$J$21=1,AL18,IF('基本情報入力（使い方）'!$J$21=2,AO18,AR18))</f>
        <v>○</v>
      </c>
    </row>
    <row r="19" spans="1:47" ht="30" customHeight="1">
      <c r="A19" s="434">
        <f aca="true" t="shared" si="0" ref="A19:A28">IF(AND(F19=0,J19&gt;0),"×","")</f>
      </c>
      <c r="B19" s="434">
        <f>IF(AND(J19&gt;=K19,K19&gt;=L19),"","×")</f>
      </c>
      <c r="C19" s="435"/>
      <c r="D19" s="356"/>
      <c r="E19" s="436" t="s">
        <v>150</v>
      </c>
      <c r="F19" s="175">
        <v>0</v>
      </c>
      <c r="G19" s="176">
        <v>0</v>
      </c>
      <c r="H19" s="176">
        <v>0</v>
      </c>
      <c r="I19" s="256">
        <v>0</v>
      </c>
      <c r="J19" s="443">
        <f>'機械装置費（50万円以上）'!K23</f>
        <v>0</v>
      </c>
      <c r="K19" s="444">
        <f>'機械装置費（50万円以上）'!L23</f>
        <v>0</v>
      </c>
      <c r="L19" s="444">
        <f>'機械装置費（50万円以上）'!M23</f>
        <v>0</v>
      </c>
      <c r="M19" s="384">
        <f aca="true" t="shared" si="1" ref="M19:M28">S60</f>
        <v>0</v>
      </c>
      <c r="N19" s="50"/>
      <c r="O19" s="674" t="s">
        <v>64</v>
      </c>
      <c r="P19" s="674"/>
      <c r="Q19" s="461">
        <f aca="true" t="shared" si="2" ref="Q19:Q28">IF(H19="",0,ROUNDDOWN(H19*補助率,0))</f>
        <v>0</v>
      </c>
      <c r="R19" s="462">
        <f>IF($S$19&gt;0,1,"")</f>
      </c>
      <c r="S19" s="463">
        <f>MIN(Q19,Q31)</f>
        <v>0</v>
      </c>
      <c r="T19" s="463">
        <f>IF(I19=0,0,MIN(I19,$Q$31))</f>
        <v>0</v>
      </c>
      <c r="U19" s="478">
        <f aca="true" t="shared" si="3" ref="U19:U28">I19-Q19</f>
        <v>0</v>
      </c>
      <c r="V19" s="479" t="s">
        <v>165</v>
      </c>
      <c r="W19" s="371"/>
      <c r="Y19" s="683"/>
      <c r="Z19" s="654"/>
      <c r="AA19" s="695"/>
      <c r="AB19" s="695"/>
      <c r="AC19" s="696"/>
      <c r="AH19" s="566"/>
      <c r="AI19" s="68" t="s">
        <v>38</v>
      </c>
      <c r="AJ19" s="69" t="s">
        <v>92</v>
      </c>
      <c r="AK19" s="76" t="s">
        <v>105</v>
      </c>
      <c r="AL19" s="67" t="s">
        <v>105</v>
      </c>
      <c r="AM19" s="69" t="s">
        <v>92</v>
      </c>
      <c r="AN19" s="76" t="s">
        <v>105</v>
      </c>
      <c r="AO19" s="67" t="s">
        <v>105</v>
      </c>
      <c r="AP19" s="546" t="s">
        <v>115</v>
      </c>
      <c r="AQ19" s="547">
        <f>$H$26+$H$27</f>
        <v>0</v>
      </c>
      <c r="AR19" s="549" t="str">
        <f>IF('基本情報入力（使い方）'!$J$21=3,IF($G$29/2-($G$26+$G$27)&gt;=0,"○","×"),IF(AQ19=0,"○","×"))</f>
        <v>○</v>
      </c>
      <c r="AS19" s="568" t="str">
        <f>IF('基本情報入力（使い方）'!$J$21=1,AJ19,IF('基本情報入力（使い方）'!$J$21=2,AM19,AP19))</f>
        <v>判定対象外</v>
      </c>
      <c r="AT19" s="61" t="str">
        <f>IF('基本情報入力（使い方）'!$J$21=1,AK19,IF('基本情報入力（使い方）'!$J$21=2,AN19,AQ19))</f>
        <v> </v>
      </c>
      <c r="AU19" s="62" t="str">
        <f>IF('基本情報入力（使い方）'!$J$21=1,AL19,IF('基本情報入力（使い方）'!$J$21=2,AO19,AR19))</f>
        <v> </v>
      </c>
    </row>
    <row r="20" spans="1:47" ht="30" customHeight="1">
      <c r="A20" s="437">
        <f t="shared" si="0"/>
      </c>
      <c r="B20" s="437">
        <f>IF(AND(J20&gt;=K20,K20&gt;=L20),"","×")</f>
      </c>
      <c r="C20" s="438"/>
      <c r="D20" s="357"/>
      <c r="E20" s="439" t="s">
        <v>151</v>
      </c>
      <c r="F20" s="177">
        <v>0</v>
      </c>
      <c r="G20" s="178">
        <v>0</v>
      </c>
      <c r="H20" s="178">
        <v>0</v>
      </c>
      <c r="I20" s="257">
        <v>0</v>
      </c>
      <c r="J20" s="445">
        <f>'機械装置費（50万円未満）'!K23</f>
        <v>0</v>
      </c>
      <c r="K20" s="446">
        <f>'機械装置費（50万円未満）'!L23</f>
        <v>0</v>
      </c>
      <c r="L20" s="446">
        <f>'機械装置費（50万円未満）'!M23</f>
        <v>0</v>
      </c>
      <c r="M20" s="385">
        <f t="shared" si="1"/>
        <v>0</v>
      </c>
      <c r="N20" s="50"/>
      <c r="O20" s="642" t="s">
        <v>65</v>
      </c>
      <c r="P20" s="642"/>
      <c r="Q20" s="464">
        <f t="shared" si="2"/>
        <v>0</v>
      </c>
      <c r="R20" s="465">
        <f>IF($S$20&gt;0,1,"")</f>
      </c>
      <c r="S20" s="466">
        <f>MIN(Q20,Q31)</f>
        <v>0</v>
      </c>
      <c r="T20" s="466">
        <f aca="true" t="shared" si="4" ref="T20:T28">IF(I20=0,0,MIN(I20,$Q$31))</f>
        <v>0</v>
      </c>
      <c r="U20" s="480">
        <f t="shared" si="3"/>
        <v>0</v>
      </c>
      <c r="V20" s="481" t="s">
        <v>166</v>
      </c>
      <c r="W20" s="371"/>
      <c r="Y20" s="683" t="s">
        <v>239</v>
      </c>
      <c r="Z20" s="654" t="str">
        <f>IF(L29-H29&lt;=0,"○","×")</f>
        <v>○</v>
      </c>
      <c r="AA20" s="655" t="s">
        <v>240</v>
      </c>
      <c r="AB20" s="655"/>
      <c r="AC20" s="656"/>
      <c r="AH20" s="566"/>
      <c r="AI20" s="68" t="s">
        <v>103</v>
      </c>
      <c r="AJ20" s="548" t="s">
        <v>248</v>
      </c>
      <c r="AK20" s="547">
        <f>$H$28</f>
        <v>0</v>
      </c>
      <c r="AL20" s="545" t="str">
        <f>IF(OR(AK20=0,AK20=""),"○","×")</f>
        <v>○</v>
      </c>
      <c r="AM20" s="548" t="s">
        <v>248</v>
      </c>
      <c r="AN20" s="547">
        <f>$H$28</f>
        <v>0</v>
      </c>
      <c r="AO20" s="545" t="str">
        <f>IF(OR(AN20=0,AN20=""),"○","×")</f>
        <v>○</v>
      </c>
      <c r="AP20" s="546" t="s">
        <v>114</v>
      </c>
      <c r="AQ20" s="547">
        <f>$H$28</f>
        <v>0</v>
      </c>
      <c r="AR20" s="549" t="str">
        <f>IF('基本情報入力（使い方）'!$J$21=3,IF($G$29/3-$G$28&gt;=0,"○","×"),IF(OR(AQ20=0,AQ20=""),"○","×"))</f>
        <v>○</v>
      </c>
      <c r="AS20" s="568" t="str">
        <f>IF('基本情報入力（使い方）'!$J$21=1,AJ20,IF('基本情報入力（使い方）'!$J$21=2,AM20,AP20))</f>
        <v>事業対象外の経費を使用していないか</v>
      </c>
      <c r="AT20" s="61">
        <f>IF('基本情報入力（使い方）'!$J$21=1,AK20,IF('基本情報入力（使い方）'!$J$21=2,AN20,AQ20))</f>
        <v>0</v>
      </c>
      <c r="AU20" s="62" t="str">
        <f>IF('基本情報入力（使い方）'!$J$21=1,AL20,IF('基本情報入力（使い方）'!$J$21=2,AO20,AR20))</f>
        <v>○</v>
      </c>
    </row>
    <row r="21" spans="1:47" ht="30" customHeight="1">
      <c r="A21" s="437">
        <f t="shared" si="0"/>
      </c>
      <c r="B21" s="437">
        <f>IF(AND(J21&gt;=K21,K21&gt;=L21),"","×")</f>
      </c>
      <c r="C21" s="438"/>
      <c r="D21" s="357"/>
      <c r="E21" s="439" t="s">
        <v>23</v>
      </c>
      <c r="F21" s="177">
        <v>0</v>
      </c>
      <c r="G21" s="178">
        <v>0</v>
      </c>
      <c r="H21" s="178">
        <v>0</v>
      </c>
      <c r="I21" s="257">
        <v>0</v>
      </c>
      <c r="J21" s="445">
        <f>'技術導入費'!K23</f>
        <v>0</v>
      </c>
      <c r="K21" s="446">
        <f>'技術導入費'!L23</f>
        <v>0</v>
      </c>
      <c r="L21" s="446">
        <f>'技術導入費'!M23</f>
        <v>0</v>
      </c>
      <c r="M21" s="385">
        <f t="shared" si="1"/>
        <v>0</v>
      </c>
      <c r="O21" s="642" t="s">
        <v>23</v>
      </c>
      <c r="P21" s="642"/>
      <c r="Q21" s="464">
        <f t="shared" si="2"/>
        <v>0</v>
      </c>
      <c r="R21" s="465">
        <f aca="true" t="shared" si="5" ref="R21:R28">IF(Q21=0,"",IF(SUM($Q$19:$Q$20)&gt;0,RANK(S21,$S$21:$S$28)+1,RANK(S21,$S$21:$S$28)))</f>
      </c>
      <c r="S21" s="466">
        <f aca="true" t="shared" si="6" ref="S21:S28">IF(SUM($S$19:$S$20)-$Q$31&gt;=0,0,ROUNDDOWN(Q21/$Q$30*$Q$34,0))</f>
        <v>0</v>
      </c>
      <c r="T21" s="466">
        <f t="shared" si="4"/>
        <v>0</v>
      </c>
      <c r="U21" s="480">
        <f t="shared" si="3"/>
        <v>0</v>
      </c>
      <c r="V21" s="481" t="s">
        <v>168</v>
      </c>
      <c r="W21" s="371"/>
      <c r="Y21" s="683"/>
      <c r="Z21" s="654"/>
      <c r="AA21" s="655"/>
      <c r="AB21" s="655"/>
      <c r="AC21" s="656"/>
      <c r="AI21" s="66" t="s">
        <v>292</v>
      </c>
      <c r="AJ21" s="65">
        <f>'基本情報入力（使い方）'!$E$38</f>
        <v>0</v>
      </c>
      <c r="AK21" s="30">
        <f>$H$29</f>
        <v>0</v>
      </c>
      <c r="AL21" s="545" t="str">
        <f>IF(AJ21-AK21&gt;=0,"○","×")</f>
        <v>○</v>
      </c>
      <c r="AM21" s="65">
        <f>'基本情報入力（使い方）'!$E$38</f>
        <v>0</v>
      </c>
      <c r="AN21" s="30">
        <f>$H$29</f>
        <v>0</v>
      </c>
      <c r="AO21" s="545" t="str">
        <f>IF(AM21-AN21&gt;=0,"○","×")</f>
        <v>○</v>
      </c>
      <c r="AP21" s="65">
        <f>'基本情報入力（使い方）'!$E$38</f>
        <v>0</v>
      </c>
      <c r="AQ21" s="30">
        <f>$H$29</f>
        <v>0</v>
      </c>
      <c r="AR21" s="549" t="str">
        <f>IF(AP21-AQ21&gt;=0,"○","×")</f>
        <v>○</v>
      </c>
      <c r="AS21" s="569">
        <f>IF('基本情報入力（使い方）'!$J$21=1,AJ21,IF('基本情報入力（使い方）'!$J$21=2,AM21,AP21))</f>
        <v>0</v>
      </c>
      <c r="AT21" s="30">
        <f>IF('基本情報入力（使い方）'!$J$21=1,AK21,IF('基本情報入力（使い方）'!$J$21=2,AN21,AQ21))</f>
        <v>0</v>
      </c>
      <c r="AU21" s="62" t="str">
        <f>IF('基本情報入力（使い方）'!$J$21=1,AL21,IF('基本情報入力（使い方）'!$J$21=2,AO21,AR21))</f>
        <v>○</v>
      </c>
    </row>
    <row r="22" spans="1:47" ht="30" customHeight="1">
      <c r="A22" s="437">
        <f t="shared" si="0"/>
      </c>
      <c r="B22" s="437">
        <f aca="true" t="shared" si="7" ref="B22:B28">IF(AND(J22&gt;=K22,K22&gt;=L22),"","×")</f>
      </c>
      <c r="C22" s="438"/>
      <c r="D22" s="357"/>
      <c r="E22" s="439" t="s">
        <v>66</v>
      </c>
      <c r="F22" s="177">
        <v>0</v>
      </c>
      <c r="G22" s="178">
        <v>0</v>
      </c>
      <c r="H22" s="178">
        <v>0</v>
      </c>
      <c r="I22" s="257">
        <v>0</v>
      </c>
      <c r="J22" s="445">
        <f>'専門家経費'!K23</f>
        <v>0</v>
      </c>
      <c r="K22" s="446">
        <f>'専門家経費'!L23</f>
        <v>0</v>
      </c>
      <c r="L22" s="446">
        <f>'専門家経費'!M23</f>
        <v>0</v>
      </c>
      <c r="M22" s="385">
        <f t="shared" si="1"/>
        <v>0</v>
      </c>
      <c r="N22" s="170"/>
      <c r="O22" s="642" t="s">
        <v>66</v>
      </c>
      <c r="P22" s="642"/>
      <c r="Q22" s="464">
        <f t="shared" si="2"/>
        <v>0</v>
      </c>
      <c r="R22" s="465">
        <f t="shared" si="5"/>
      </c>
      <c r="S22" s="466">
        <f t="shared" si="6"/>
        <v>0</v>
      </c>
      <c r="T22" s="466">
        <f t="shared" si="4"/>
        <v>0</v>
      </c>
      <c r="U22" s="480">
        <f t="shared" si="3"/>
        <v>0</v>
      </c>
      <c r="V22" s="481" t="s">
        <v>173</v>
      </c>
      <c r="W22" s="371"/>
      <c r="Y22" s="683" t="s">
        <v>241</v>
      </c>
      <c r="Z22" s="654" t="str">
        <f>IF(S51-ABS(R51)&gt;=0,"○","×")</f>
        <v>○</v>
      </c>
      <c r="AA22" s="687" t="s">
        <v>242</v>
      </c>
      <c r="AB22" s="687"/>
      <c r="AC22" s="688"/>
      <c r="AI22" s="64" t="s">
        <v>293</v>
      </c>
      <c r="AJ22" s="65">
        <f>'基本情報入力（使い方）'!$E$39</f>
        <v>0</v>
      </c>
      <c r="AK22" s="30">
        <f>$I$29</f>
        <v>0</v>
      </c>
      <c r="AL22" s="545" t="str">
        <f>IF(AJ22-AK22&gt;=0,"○","×")</f>
        <v>○</v>
      </c>
      <c r="AM22" s="65">
        <f>'基本情報入力（使い方）'!$E$39</f>
        <v>0</v>
      </c>
      <c r="AN22" s="30">
        <f>$I$29</f>
        <v>0</v>
      </c>
      <c r="AO22" s="545" t="str">
        <f>IF(AM22-AN22&gt;=0,"○","×")</f>
        <v>○</v>
      </c>
      <c r="AP22" s="65">
        <f>'基本情報入力（使い方）'!$E$39</f>
        <v>0</v>
      </c>
      <c r="AQ22" s="30">
        <f>$I$29</f>
        <v>0</v>
      </c>
      <c r="AR22" s="549" t="str">
        <f>IF(AP22-AQ22&gt;=0,"○","×")</f>
        <v>○</v>
      </c>
      <c r="AS22" s="568">
        <f>IF('基本情報入力（使い方）'!$J$21=1,AJ22,IF('基本情報入力（使い方）'!$J$21=2,AM22,AP22))</f>
        <v>0</v>
      </c>
      <c r="AT22" s="61">
        <f>IF('基本情報入力（使い方）'!$J$21=1,AK22,IF('基本情報入力（使い方）'!$J$21=2,AN22,AQ22))</f>
        <v>0</v>
      </c>
      <c r="AU22" s="62" t="str">
        <f>IF('基本情報入力（使い方）'!$J$21=1,AL22,IF('基本情報入力（使い方）'!$J$21=2,AO22,AR22))</f>
        <v>○</v>
      </c>
    </row>
    <row r="23" spans="1:29" ht="30" customHeight="1" thickBot="1">
      <c r="A23" s="437">
        <f t="shared" si="0"/>
      </c>
      <c r="B23" s="437">
        <f t="shared" si="7"/>
      </c>
      <c r="C23" s="438"/>
      <c r="D23" s="357"/>
      <c r="E23" s="439" t="s">
        <v>26</v>
      </c>
      <c r="F23" s="177">
        <v>0</v>
      </c>
      <c r="G23" s="178">
        <v>0</v>
      </c>
      <c r="H23" s="178">
        <v>0</v>
      </c>
      <c r="I23" s="257">
        <v>0</v>
      </c>
      <c r="J23" s="445">
        <f>'運搬費'!K23</f>
        <v>0</v>
      </c>
      <c r="K23" s="446">
        <f>'運搬費'!L23</f>
        <v>0</v>
      </c>
      <c r="L23" s="446">
        <f>'運搬費'!M23</f>
        <v>0</v>
      </c>
      <c r="M23" s="385">
        <f t="shared" si="1"/>
        <v>0</v>
      </c>
      <c r="N23" s="31"/>
      <c r="O23" s="642" t="s">
        <v>26</v>
      </c>
      <c r="P23" s="642"/>
      <c r="Q23" s="464">
        <f t="shared" si="2"/>
        <v>0</v>
      </c>
      <c r="R23" s="465">
        <f t="shared" si="5"/>
      </c>
      <c r="S23" s="466">
        <f t="shared" si="6"/>
        <v>0</v>
      </c>
      <c r="T23" s="466">
        <f t="shared" si="4"/>
        <v>0</v>
      </c>
      <c r="U23" s="480">
        <f t="shared" si="3"/>
        <v>0</v>
      </c>
      <c r="V23" s="481" t="s">
        <v>172</v>
      </c>
      <c r="W23" s="371"/>
      <c r="Y23" s="683"/>
      <c r="Z23" s="684"/>
      <c r="AA23" s="689"/>
      <c r="AB23" s="689"/>
      <c r="AC23" s="690"/>
    </row>
    <row r="24" spans="1:54" ht="30" customHeight="1">
      <c r="A24" s="437">
        <f>IF(AND(F24=0,J24&gt;0),"×","")</f>
      </c>
      <c r="B24" s="437">
        <f>IF(AND(J24&gt;=K24,K24&gt;=L24),"","×")</f>
      </c>
      <c r="C24" s="438"/>
      <c r="D24" s="358" t="str">
        <f>AU20</f>
        <v>○</v>
      </c>
      <c r="E24" s="439" t="s">
        <v>264</v>
      </c>
      <c r="F24" s="177">
        <v>0</v>
      </c>
      <c r="G24" s="178">
        <v>0</v>
      </c>
      <c r="H24" s="178">
        <v>0</v>
      </c>
      <c r="I24" s="257">
        <v>0</v>
      </c>
      <c r="J24" s="445">
        <f>'クラウド利用費'!K23</f>
        <v>0</v>
      </c>
      <c r="K24" s="446">
        <f>'クラウド利用費'!L23</f>
        <v>0</v>
      </c>
      <c r="L24" s="446">
        <f>'クラウド利用費'!M23</f>
        <v>0</v>
      </c>
      <c r="M24" s="385">
        <f t="shared" si="1"/>
        <v>0</v>
      </c>
      <c r="O24" s="642" t="s">
        <v>264</v>
      </c>
      <c r="P24" s="642"/>
      <c r="Q24" s="464">
        <f t="shared" si="2"/>
        <v>0</v>
      </c>
      <c r="R24" s="465">
        <f t="shared" si="5"/>
      </c>
      <c r="S24" s="466">
        <f t="shared" si="6"/>
        <v>0</v>
      </c>
      <c r="T24" s="466">
        <f t="shared" si="4"/>
        <v>0</v>
      </c>
      <c r="U24" s="480">
        <f t="shared" si="3"/>
        <v>0</v>
      </c>
      <c r="V24" s="481" t="s">
        <v>174</v>
      </c>
      <c r="W24" s="371"/>
      <c r="Y24" s="242"/>
      <c r="AH24" s="55"/>
      <c r="AZ24" s="45"/>
      <c r="BA24" s="45"/>
      <c r="BB24" s="45"/>
    </row>
    <row r="25" spans="1:57" s="45" customFormat="1" ht="30" customHeight="1">
      <c r="A25" s="437">
        <f t="shared" si="0"/>
      </c>
      <c r="B25" s="437">
        <f t="shared" si="7"/>
      </c>
      <c r="C25" s="438">
        <f>IF('基本情報入力（使い方）'!J21&lt;&gt;3,IF(AU34="○","",AU34),"")</f>
      </c>
      <c r="D25" s="358" t="str">
        <f>AU16</f>
        <v>○</v>
      </c>
      <c r="E25" s="439" t="s">
        <v>97</v>
      </c>
      <c r="F25" s="177">
        <v>0</v>
      </c>
      <c r="G25" s="178">
        <v>0</v>
      </c>
      <c r="H25" s="178">
        <v>0</v>
      </c>
      <c r="I25" s="257">
        <v>0</v>
      </c>
      <c r="J25" s="445">
        <f>'原材料費'!K23</f>
        <v>0</v>
      </c>
      <c r="K25" s="446">
        <f>'原材料費'!L23</f>
        <v>0</v>
      </c>
      <c r="L25" s="446">
        <f>'原材料費'!M23</f>
        <v>0</v>
      </c>
      <c r="M25" s="385">
        <f t="shared" si="1"/>
        <v>0</v>
      </c>
      <c r="N25" s="44"/>
      <c r="O25" s="642" t="s">
        <v>260</v>
      </c>
      <c r="P25" s="642"/>
      <c r="Q25" s="464">
        <f t="shared" si="2"/>
        <v>0</v>
      </c>
      <c r="R25" s="465">
        <f t="shared" si="5"/>
      </c>
      <c r="S25" s="466">
        <f t="shared" si="6"/>
        <v>0</v>
      </c>
      <c r="T25" s="466">
        <f t="shared" si="4"/>
        <v>0</v>
      </c>
      <c r="U25" s="480">
        <f t="shared" si="3"/>
        <v>0</v>
      </c>
      <c r="V25" s="481" t="s">
        <v>167</v>
      </c>
      <c r="W25" s="372"/>
      <c r="Y25" s="172"/>
      <c r="Z25" s="355" t="str">
        <f>IF(AND($Z$26="○",OR(事業類型="一般型",事業類型="成長分野型")),"判定6（仮）","判定6")</f>
        <v>判定6</v>
      </c>
      <c r="AA25" s="707" t="s">
        <v>243</v>
      </c>
      <c r="AB25" s="708"/>
      <c r="AC25" s="709"/>
      <c r="AH25" s="56"/>
      <c r="AI25" s="44" t="s">
        <v>247</v>
      </c>
      <c r="AJ25" s="44"/>
      <c r="AK25" s="44"/>
      <c r="AL25" s="44"/>
      <c r="AM25" s="44"/>
      <c r="AN25" s="44"/>
      <c r="AO25" s="44"/>
      <c r="AP25" s="44"/>
      <c r="AQ25" s="44"/>
      <c r="AR25" s="44"/>
      <c r="AS25" s="44"/>
      <c r="AT25" s="44"/>
      <c r="AU25" s="44"/>
      <c r="AV25" s="44"/>
      <c r="AW25" s="44"/>
      <c r="AX25" s="44"/>
      <c r="AZ25" s="44"/>
      <c r="BA25" s="44"/>
      <c r="BB25" s="44"/>
      <c r="BC25" s="44"/>
      <c r="BD25" s="44"/>
      <c r="BE25" s="44"/>
    </row>
    <row r="26" spans="1:47" ht="30" customHeight="1">
      <c r="A26" s="437">
        <f t="shared" si="0"/>
      </c>
      <c r="B26" s="437">
        <f t="shared" si="7"/>
      </c>
      <c r="C26" s="438">
        <f>IF('基本情報入力（使い方）'!J21&lt;&gt;3,IF(AU35="○","",AU35),"")</f>
      </c>
      <c r="D26" s="358" t="str">
        <f>AU17</f>
        <v>○</v>
      </c>
      <c r="E26" s="439" t="s">
        <v>98</v>
      </c>
      <c r="F26" s="177">
        <v>0</v>
      </c>
      <c r="G26" s="178">
        <v>0</v>
      </c>
      <c r="H26" s="178">
        <v>0</v>
      </c>
      <c r="I26" s="257">
        <v>0</v>
      </c>
      <c r="J26" s="445">
        <f>'外注加工費'!K23</f>
        <v>0</v>
      </c>
      <c r="K26" s="446">
        <f>'外注加工費'!L23</f>
        <v>0</v>
      </c>
      <c r="L26" s="446">
        <f>'外注加工費'!M23</f>
        <v>0</v>
      </c>
      <c r="M26" s="385">
        <f t="shared" si="1"/>
        <v>0</v>
      </c>
      <c r="O26" s="642" t="s">
        <v>261</v>
      </c>
      <c r="P26" s="642"/>
      <c r="Q26" s="464">
        <f t="shared" si="2"/>
        <v>0</v>
      </c>
      <c r="R26" s="465">
        <f t="shared" si="5"/>
      </c>
      <c r="S26" s="466">
        <f t="shared" si="6"/>
        <v>0</v>
      </c>
      <c r="T26" s="466">
        <f t="shared" si="4"/>
        <v>0</v>
      </c>
      <c r="U26" s="480">
        <f t="shared" si="3"/>
        <v>0</v>
      </c>
      <c r="V26" s="481" t="s">
        <v>169</v>
      </c>
      <c r="W26" s="371"/>
      <c r="Y26" s="255"/>
      <c r="Z26" s="632" t="str">
        <f>AU30</f>
        <v>×</v>
      </c>
      <c r="AA26" s="634" t="str">
        <f>AS30</f>
        <v>機械装置費で補助対象経費にして単価５０万円以上の設備投資が必要</v>
      </c>
      <c r="AB26" s="634"/>
      <c r="AC26" s="635"/>
      <c r="AH26" s="56"/>
      <c r="AI26" s="697" t="s">
        <v>104</v>
      </c>
      <c r="AJ26" s="659" t="s">
        <v>322</v>
      </c>
      <c r="AK26" s="660"/>
      <c r="AL26" s="661"/>
      <c r="AM26" s="643" t="s">
        <v>328</v>
      </c>
      <c r="AN26" s="643"/>
      <c r="AO26" s="643"/>
      <c r="AP26" s="643" t="s">
        <v>329</v>
      </c>
      <c r="AQ26" s="643"/>
      <c r="AR26" s="644"/>
      <c r="AS26" s="657" t="s">
        <v>90</v>
      </c>
      <c r="AT26" s="657"/>
      <c r="AU26" s="658"/>
    </row>
    <row r="27" spans="1:47" ht="30" customHeight="1" thickBot="1">
      <c r="A27" s="437">
        <f t="shared" si="0"/>
      </c>
      <c r="B27" s="437">
        <f t="shared" si="7"/>
      </c>
      <c r="C27" s="438">
        <f>IF('基本情報入力（使い方）'!J21&lt;&gt;3,IF(AU36="○","",AU36),"")</f>
      </c>
      <c r="D27" s="358" t="str">
        <f>AU18</f>
        <v>○</v>
      </c>
      <c r="E27" s="439" t="s">
        <v>99</v>
      </c>
      <c r="F27" s="177">
        <v>0</v>
      </c>
      <c r="G27" s="178">
        <v>0</v>
      </c>
      <c r="H27" s="178">
        <v>0</v>
      </c>
      <c r="I27" s="257">
        <v>0</v>
      </c>
      <c r="J27" s="445">
        <f>'委託費'!K23</f>
        <v>0</v>
      </c>
      <c r="K27" s="446">
        <f>'委託費'!L23</f>
        <v>0</v>
      </c>
      <c r="L27" s="446">
        <f>'委託費'!M23</f>
        <v>0</v>
      </c>
      <c r="M27" s="385">
        <f t="shared" si="1"/>
        <v>0</v>
      </c>
      <c r="O27" s="642" t="s">
        <v>262</v>
      </c>
      <c r="P27" s="642"/>
      <c r="Q27" s="464">
        <f t="shared" si="2"/>
        <v>0</v>
      </c>
      <c r="R27" s="465">
        <f t="shared" si="5"/>
      </c>
      <c r="S27" s="466">
        <f t="shared" si="6"/>
        <v>0</v>
      </c>
      <c r="T27" s="466">
        <f t="shared" si="4"/>
        <v>0</v>
      </c>
      <c r="U27" s="480">
        <f t="shared" si="3"/>
        <v>0</v>
      </c>
      <c r="V27" s="481" t="s">
        <v>170</v>
      </c>
      <c r="W27" s="371"/>
      <c r="Z27" s="633"/>
      <c r="AA27" s="650">
        <f>AT30</f>
        <v>0</v>
      </c>
      <c r="AB27" s="650"/>
      <c r="AC27" s="651"/>
      <c r="AH27" s="56"/>
      <c r="AI27" s="698"/>
      <c r="AJ27" s="57" t="s">
        <v>87</v>
      </c>
      <c r="AK27" s="57" t="s">
        <v>88</v>
      </c>
      <c r="AL27" s="57" t="s">
        <v>89</v>
      </c>
      <c r="AM27" s="57" t="s">
        <v>87</v>
      </c>
      <c r="AN27" s="57" t="s">
        <v>88</v>
      </c>
      <c r="AO27" s="57" t="s">
        <v>89</v>
      </c>
      <c r="AP27" s="57" t="s">
        <v>87</v>
      </c>
      <c r="AQ27" s="57" t="s">
        <v>88</v>
      </c>
      <c r="AR27" s="58" t="s">
        <v>89</v>
      </c>
      <c r="AS27" s="59" t="s">
        <v>87</v>
      </c>
      <c r="AT27" s="57" t="s">
        <v>88</v>
      </c>
      <c r="AU27" s="57" t="s">
        <v>89</v>
      </c>
    </row>
    <row r="28" spans="1:47" ht="30" customHeight="1" thickTop="1">
      <c r="A28" s="440">
        <f t="shared" si="0"/>
      </c>
      <c r="B28" s="440">
        <f t="shared" si="7"/>
      </c>
      <c r="C28" s="441">
        <f>IF('基本情報入力（使い方）'!J21&lt;&gt;3,IF(AU38="○","",AU38),"")</f>
      </c>
      <c r="D28" s="359" t="str">
        <f>AU19</f>
        <v> </v>
      </c>
      <c r="E28" s="442" t="s">
        <v>100</v>
      </c>
      <c r="F28" s="179">
        <v>0</v>
      </c>
      <c r="G28" s="180">
        <v>0</v>
      </c>
      <c r="H28" s="180">
        <v>0</v>
      </c>
      <c r="I28" s="258">
        <v>0</v>
      </c>
      <c r="J28" s="447">
        <f>'知的財産権等関連経費'!K23</f>
        <v>0</v>
      </c>
      <c r="K28" s="448">
        <f>'知的財産権等関連経費'!L23</f>
        <v>0</v>
      </c>
      <c r="L28" s="448">
        <f>'知的財産権等関連経費'!M23</f>
        <v>0</v>
      </c>
      <c r="M28" s="386">
        <f t="shared" si="1"/>
        <v>0</v>
      </c>
      <c r="O28" s="718" t="s">
        <v>263</v>
      </c>
      <c r="P28" s="718"/>
      <c r="Q28" s="467">
        <f t="shared" si="2"/>
        <v>0</v>
      </c>
      <c r="R28" s="468">
        <f t="shared" si="5"/>
      </c>
      <c r="S28" s="469">
        <f t="shared" si="6"/>
        <v>0</v>
      </c>
      <c r="T28" s="469">
        <f t="shared" si="4"/>
        <v>0</v>
      </c>
      <c r="U28" s="482">
        <f t="shared" si="3"/>
        <v>0</v>
      </c>
      <c r="V28" s="483" t="s">
        <v>171</v>
      </c>
      <c r="W28" s="371"/>
      <c r="Z28" s="45"/>
      <c r="AA28" s="45"/>
      <c r="AB28" s="45"/>
      <c r="AC28" s="45"/>
      <c r="AH28" s="565"/>
      <c r="AI28" s="60" t="s">
        <v>35</v>
      </c>
      <c r="AJ28" s="542">
        <f>補助上限額</f>
        <v>10000000</v>
      </c>
      <c r="AK28" s="543">
        <f>$M$29</f>
        <v>0</v>
      </c>
      <c r="AL28" s="544" t="str">
        <f>IF(AJ28-AK28&gt;=0,"○","×")</f>
        <v>○</v>
      </c>
      <c r="AM28" s="542">
        <f>補助上限額</f>
        <v>10000000</v>
      </c>
      <c r="AN28" s="543">
        <f>$M$29</f>
        <v>0</v>
      </c>
      <c r="AO28" s="544" t="str">
        <f>IF(AM28-AN28&gt;=0,"○","×")</f>
        <v>○</v>
      </c>
      <c r="AP28" s="542">
        <f>補助上限額</f>
        <v>10000000</v>
      </c>
      <c r="AQ28" s="543">
        <f>$M$29</f>
        <v>0</v>
      </c>
      <c r="AR28" s="550" t="str">
        <f>IF(AP28-AQ28&gt;=0,"○","×")</f>
        <v>○</v>
      </c>
      <c r="AS28" s="404">
        <f>IF('基本情報入力（使い方）'!$J$21=1,AJ28,IF('基本情報入力（使い方）'!$J$21=2,AM28,AP28))</f>
        <v>10000000</v>
      </c>
      <c r="AT28" s="61">
        <f>IF('基本情報入力（使い方）'!$J$21=1,AK28,IF('基本情報入力（使い方）'!$J$21=2,AN28,AQ28))</f>
        <v>0</v>
      </c>
      <c r="AU28" s="62" t="str">
        <f>IF('基本情報入力（使い方）'!$J$21=1,AL28,IF('基本情報入力（使い方）'!$J$21=2,AO28,AR28))</f>
        <v>○</v>
      </c>
    </row>
    <row r="29" spans="5:47" ht="30" customHeight="1" thickBot="1">
      <c r="E29" s="431" t="s">
        <v>54</v>
      </c>
      <c r="F29" s="451">
        <f aca="true" t="shared" si="8" ref="F29:M29">SUM(F19:F28)</f>
        <v>0</v>
      </c>
      <c r="G29" s="452">
        <f t="shared" si="8"/>
        <v>0</v>
      </c>
      <c r="H29" s="452">
        <f t="shared" si="8"/>
        <v>0</v>
      </c>
      <c r="I29" s="453">
        <f t="shared" si="8"/>
        <v>0</v>
      </c>
      <c r="J29" s="454">
        <f t="shared" si="8"/>
        <v>0</v>
      </c>
      <c r="K29" s="455">
        <f t="shared" si="8"/>
        <v>0</v>
      </c>
      <c r="L29" s="455">
        <f t="shared" si="8"/>
        <v>0</v>
      </c>
      <c r="M29" s="456">
        <f t="shared" si="8"/>
        <v>0</v>
      </c>
      <c r="O29" s="640" t="s">
        <v>22</v>
      </c>
      <c r="P29" s="641"/>
      <c r="Q29" s="452">
        <f>SUM(Q19:Q28)</f>
        <v>0</v>
      </c>
      <c r="R29" s="470"/>
      <c r="S29" s="453">
        <f>SUM(S19:S28)</f>
        <v>0</v>
      </c>
      <c r="T29" s="452">
        <f>SUM(T19:T28)</f>
        <v>0</v>
      </c>
      <c r="U29" s="432"/>
      <c r="W29" s="371"/>
      <c r="Z29" s="355" t="s">
        <v>244</v>
      </c>
      <c r="AA29" s="652" t="s">
        <v>245</v>
      </c>
      <c r="AB29" s="652"/>
      <c r="AC29" s="653"/>
      <c r="AH29" s="565"/>
      <c r="AI29" s="64" t="s">
        <v>95</v>
      </c>
      <c r="AJ29" s="65">
        <f>補助下限額</f>
        <v>1000000</v>
      </c>
      <c r="AK29" s="30">
        <f>$M$29</f>
        <v>0</v>
      </c>
      <c r="AL29" s="545" t="str">
        <f>IF(AK29-AJ29&gt;=0,"○","×")</f>
        <v>×</v>
      </c>
      <c r="AM29" s="65">
        <f>補助下限額</f>
        <v>1000000</v>
      </c>
      <c r="AN29" s="30">
        <f>$M$29</f>
        <v>0</v>
      </c>
      <c r="AO29" s="545" t="str">
        <f>IF(AN29-AM29&gt;=0,"○","×")</f>
        <v>×</v>
      </c>
      <c r="AP29" s="65">
        <f>補助下限額</f>
        <v>1000000</v>
      </c>
      <c r="AQ29" s="30">
        <f>$M$29</f>
        <v>0</v>
      </c>
      <c r="AR29" s="549" t="str">
        <f>IF(AQ29-AP29&gt;=0,"○","×")</f>
        <v>×</v>
      </c>
      <c r="AS29" s="404">
        <f>IF('基本情報入力（使い方）'!$J$21=1,AJ29,IF('基本情報入力（使い方）'!$J$21=2,AM29,AP29))</f>
        <v>1000000</v>
      </c>
      <c r="AT29" s="61">
        <f>IF('基本情報入力（使い方）'!$J$21=1,AK29,IF('基本情報入力（使い方）'!$J$21=2,AN29,AQ29))</f>
        <v>0</v>
      </c>
      <c r="AU29" s="62" t="str">
        <f>IF('基本情報入力（使い方）'!$J$21=1,AL29,IF('基本情報入力（使い方）'!$J$21=2,AO29,AR29))</f>
        <v>×</v>
      </c>
    </row>
    <row r="30" spans="2:47" ht="30" customHeight="1">
      <c r="B30" s="242" t="s">
        <v>259</v>
      </c>
      <c r="C30" s="259"/>
      <c r="D30" s="259"/>
      <c r="E30" s="260"/>
      <c r="F30" s="259"/>
      <c r="G30" s="259"/>
      <c r="H30" s="259"/>
      <c r="I30" s="259"/>
      <c r="J30" s="259"/>
      <c r="K30" s="259"/>
      <c r="L30" s="610">
        <f>'基本情報入力（使い方）'!E39</f>
        <v>0</v>
      </c>
      <c r="M30" s="610"/>
      <c r="O30" s="638" t="s">
        <v>56</v>
      </c>
      <c r="P30" s="639"/>
      <c r="Q30" s="471">
        <f>Q29-SUM(Q19:Q20)</f>
        <v>0</v>
      </c>
      <c r="R30" s="472" t="s">
        <v>57</v>
      </c>
      <c r="S30" s="473">
        <f>IF(ISERROR(VLOOKUP(2,$R$19:$S$28,2,FALSE)),0,VLOOKUP(2,$R$19:$S$28,2,FALSE))</f>
        <v>0</v>
      </c>
      <c r="T30" s="47" t="s">
        <v>304</v>
      </c>
      <c r="U30" s="50"/>
      <c r="W30" s="371"/>
      <c r="Z30" s="646" t="str">
        <f>AU31</f>
        <v>○</v>
      </c>
      <c r="AA30" s="735" t="str">
        <f>AS31</f>
        <v>機械装置費以外の経費の補助金交付申請額は５００万円以下</v>
      </c>
      <c r="AB30" s="736"/>
      <c r="AC30" s="737"/>
      <c r="AH30" s="565"/>
      <c r="AI30" s="66" t="s">
        <v>36</v>
      </c>
      <c r="AJ30" s="548" t="s">
        <v>101</v>
      </c>
      <c r="AK30" s="547">
        <f>$L$19</f>
        <v>0</v>
      </c>
      <c r="AL30" s="545" t="str">
        <f>IF(AK30&gt;=500000,"○","×")</f>
        <v>×</v>
      </c>
      <c r="AM30" s="548" t="s">
        <v>101</v>
      </c>
      <c r="AN30" s="547">
        <f>$L$19</f>
        <v>0</v>
      </c>
      <c r="AO30" s="545" t="str">
        <f>IF(AN30&gt;=500000,"○","×")</f>
        <v>×</v>
      </c>
      <c r="AP30" s="67" t="s">
        <v>92</v>
      </c>
      <c r="AQ30" s="76" t="s">
        <v>105</v>
      </c>
      <c r="AR30" s="70" t="s">
        <v>105</v>
      </c>
      <c r="AS30" s="404" t="str">
        <f>IF('基本情報入力（使い方）'!$J$21=1,AJ30,IF('基本情報入力（使い方）'!$J$21=2,AM30,AP30))</f>
        <v>機械装置費で補助対象経費にして単価５０万円以上の設備投資が必要</v>
      </c>
      <c r="AT30" s="61">
        <f>IF('基本情報入力（使い方）'!$J$21=1,AK30,IF('基本情報入力（使い方）'!$J$21=2,AN30,AQ30))</f>
        <v>0</v>
      </c>
      <c r="AU30" s="62" t="str">
        <f>IF('基本情報入力（使い方）'!$J$21=1,AL30,IF('基本情報入力（使い方）'!$J$21=2,AO30,AR30))</f>
        <v>×</v>
      </c>
    </row>
    <row r="31" spans="2:47" ht="30" customHeight="1">
      <c r="B31" s="242" t="s">
        <v>289</v>
      </c>
      <c r="C31" s="259"/>
      <c r="D31" s="259"/>
      <c r="E31" s="260"/>
      <c r="F31" s="259"/>
      <c r="G31" s="259"/>
      <c r="H31" s="259"/>
      <c r="I31" s="259"/>
      <c r="J31" s="259"/>
      <c r="K31" s="261"/>
      <c r="L31" s="262"/>
      <c r="M31" s="263"/>
      <c r="O31" s="638" t="s">
        <v>58</v>
      </c>
      <c r="P31" s="639"/>
      <c r="Q31" s="471">
        <f>MIN(Q29,補助上限額,'基本情報入力（使い方）'!E39)</f>
        <v>0</v>
      </c>
      <c r="R31" s="472" t="s">
        <v>59</v>
      </c>
      <c r="S31" s="473">
        <f>SUMIF(R19:R28,2,S19:S28)</f>
        <v>0</v>
      </c>
      <c r="T31" s="47" t="s">
        <v>303</v>
      </c>
      <c r="U31" s="50"/>
      <c r="W31" s="371"/>
      <c r="Z31" s="647"/>
      <c r="AA31" s="650">
        <f>AT31</f>
        <v>0</v>
      </c>
      <c r="AB31" s="650"/>
      <c r="AC31" s="651"/>
      <c r="AH31" s="565"/>
      <c r="AI31" s="66" t="s">
        <v>37</v>
      </c>
      <c r="AJ31" s="548" t="s">
        <v>47</v>
      </c>
      <c r="AK31" s="547">
        <f>$M$29-SUM($M$19:$M$20)</f>
        <v>0</v>
      </c>
      <c r="AL31" s="545" t="str">
        <f>IF(AK31&lt;=5000000,"○","×")</f>
        <v>○</v>
      </c>
      <c r="AM31" s="548" t="s">
        <v>47</v>
      </c>
      <c r="AN31" s="547">
        <f>$M$29-SUM($M$19:$M$20)</f>
        <v>0</v>
      </c>
      <c r="AO31" s="545" t="str">
        <f>IF(AN31&lt;=5000000,"○","×")</f>
        <v>○</v>
      </c>
      <c r="AP31" s="67" t="s">
        <v>92</v>
      </c>
      <c r="AQ31" s="76" t="s">
        <v>105</v>
      </c>
      <c r="AR31" s="70" t="s">
        <v>105</v>
      </c>
      <c r="AS31" s="404" t="str">
        <f>IF('基本情報入力（使い方）'!$J$21=1,AJ31,IF('基本情報入力（使い方）'!$J$21=2,AM31,AP31))</f>
        <v>機械装置費以外の経費の補助金交付申請額は５００万円以下</v>
      </c>
      <c r="AT31" s="61">
        <f>IF('基本情報入力（使い方）'!$J$21=1,AK31,IF('基本情報入力（使い方）'!$J$21=2,AN31,AQ31))</f>
        <v>0</v>
      </c>
      <c r="AU31" s="62" t="str">
        <f>IF('基本情報入力（使い方）'!$J$21=1,AL31,IF('基本情報入力（使い方）'!$J$21=2,AO31,AR31))</f>
        <v>○</v>
      </c>
    </row>
    <row r="32" spans="2:47" ht="30" customHeight="1">
      <c r="B32" s="242" t="s">
        <v>164</v>
      </c>
      <c r="C32" s="171"/>
      <c r="D32" s="171"/>
      <c r="E32" s="171"/>
      <c r="F32" s="171"/>
      <c r="G32" s="171"/>
      <c r="H32" s="171"/>
      <c r="I32" s="171"/>
      <c r="J32" s="171"/>
      <c r="K32" s="171"/>
      <c r="L32" s="171"/>
      <c r="M32" s="171"/>
      <c r="O32" s="638" t="s">
        <v>70</v>
      </c>
      <c r="P32" s="639"/>
      <c r="Q32" s="471">
        <f>MAX(Q31-SUM(Q19:Q20),0)</f>
        <v>0</v>
      </c>
      <c r="R32" s="474" t="s">
        <v>81</v>
      </c>
      <c r="S32" s="475">
        <f>MIN(Q33-(S29-SUM(S19:S20)),Q31-S29)</f>
        <v>0</v>
      </c>
      <c r="T32" s="50"/>
      <c r="U32" s="50"/>
      <c r="W32" s="371"/>
      <c r="AH32" s="566"/>
      <c r="AI32" s="66" t="s">
        <v>23</v>
      </c>
      <c r="AJ32" s="546" t="s">
        <v>330</v>
      </c>
      <c r="AK32" s="547">
        <f>$L$21</f>
        <v>0</v>
      </c>
      <c r="AL32" s="545" t="str">
        <f>IF($L$29/3-$L$21&gt;=0,"○","×")</f>
        <v>○</v>
      </c>
      <c r="AM32" s="546" t="s">
        <v>330</v>
      </c>
      <c r="AN32" s="547">
        <f>$L$21</f>
        <v>0</v>
      </c>
      <c r="AO32" s="545" t="str">
        <f>IF($L$29/3-$L$21&gt;=0,"○","×")</f>
        <v>○</v>
      </c>
      <c r="AP32" s="546" t="s">
        <v>330</v>
      </c>
      <c r="AQ32" s="547">
        <f>$L$21</f>
        <v>0</v>
      </c>
      <c r="AR32" s="549" t="str">
        <f>IF($L$29/3-$L$21&gt;=0,"○","×")</f>
        <v>○</v>
      </c>
      <c r="AS32" s="404" t="str">
        <f>IF('基本情報入力（使い方）'!$J$21=1,AJ32,IF('基本情報入力（使い方）'!$J$21=2,AM32,AP32))</f>
        <v>技術導入費が補助対象経費の1/3を超えていないか</v>
      </c>
      <c r="AT32" s="61">
        <f>IF('基本情報入力（使い方）'!$J$21=1,AK32,IF('基本情報入力（使い方）'!$J$21=2,AN32,AQ32))</f>
        <v>0</v>
      </c>
      <c r="AU32" s="62" t="str">
        <f>IF('基本情報入力（使い方）'!$J$21=1,AL32,IF('基本情報入力（使い方）'!$J$21=2,AO32,AR32))</f>
        <v>○</v>
      </c>
    </row>
    <row r="33" spans="2:47" ht="30" customHeight="1">
      <c r="B33" s="242" t="s">
        <v>339</v>
      </c>
      <c r="C33" s="171"/>
      <c r="D33" s="171"/>
      <c r="E33" s="171"/>
      <c r="F33" s="171"/>
      <c r="G33" s="171"/>
      <c r="H33" s="171"/>
      <c r="I33" s="171"/>
      <c r="J33" s="171"/>
      <c r="K33" s="171"/>
      <c r="L33" s="171"/>
      <c r="M33" s="171"/>
      <c r="O33" s="638" t="s">
        <v>71</v>
      </c>
      <c r="P33" s="639"/>
      <c r="Q33" s="471">
        <f>IF(NOT(AJ46="小規模型（試作開発等）"),5000000,Q31)</f>
        <v>5000000</v>
      </c>
      <c r="R33" s="472" t="s">
        <v>82</v>
      </c>
      <c r="S33" s="476">
        <f>IF(S30=0,0,S31/S30)</f>
        <v>0</v>
      </c>
      <c r="T33" s="373"/>
      <c r="U33" s="374"/>
      <c r="W33" s="371"/>
      <c r="Z33" s="355" t="s">
        <v>333</v>
      </c>
      <c r="AA33" s="652" t="s">
        <v>335</v>
      </c>
      <c r="AB33" s="652"/>
      <c r="AC33" s="653"/>
      <c r="AH33" s="566"/>
      <c r="AI33" s="66" t="s">
        <v>66</v>
      </c>
      <c r="AJ33" s="548" t="s">
        <v>331</v>
      </c>
      <c r="AK33" s="547">
        <f>$L$22</f>
        <v>0</v>
      </c>
      <c r="AL33" s="545" t="str">
        <f>IF(AND('基本情報入力（使い方）'!$J$31=2,AK33=0),"×","〇")</f>
        <v>〇</v>
      </c>
      <c r="AM33" s="548" t="s">
        <v>331</v>
      </c>
      <c r="AN33" s="547">
        <f>$L$22</f>
        <v>0</v>
      </c>
      <c r="AO33" s="545" t="str">
        <f>IF(AND('基本情報入力（使い方）'!$J$31=2,AN33=0),"×","〇")</f>
        <v>〇</v>
      </c>
      <c r="AP33" s="548" t="s">
        <v>331</v>
      </c>
      <c r="AQ33" s="547">
        <f>$L$22</f>
        <v>0</v>
      </c>
      <c r="AR33" s="549" t="str">
        <f>IF(AND('基本情報入力（使い方）'!$J$31=2,AQ33=0),"×","〇")</f>
        <v>〇</v>
      </c>
      <c r="AS33" s="404" t="str">
        <f>IF('基本情報入力（使い方）'!$J$21=1,AJ33,IF('基本情報入力（使い方）'!$J$21=2,AM33,AP33))</f>
        <v>専門家の活用ありで専門家経費を使用しているか</v>
      </c>
      <c r="AT33" s="61">
        <f>IF('基本情報入力（使い方）'!$J$21=1,AK33,IF('基本情報入力（使い方）'!$J$21=2,AN33,AQ33))</f>
        <v>0</v>
      </c>
      <c r="AU33" s="62" t="str">
        <f>IF('基本情報入力（使い方）'!$J$21=1,AL33,IF('基本情報入力（使い方）'!$J$21=2,AO33,AR33))</f>
        <v>〇</v>
      </c>
    </row>
    <row r="34" spans="2:47" ht="40.5" customHeight="1">
      <c r="B34" s="171"/>
      <c r="C34" s="264"/>
      <c r="D34" s="264"/>
      <c r="F34" s="264"/>
      <c r="G34" s="264"/>
      <c r="H34" s="264"/>
      <c r="I34" s="264"/>
      <c r="J34" s="264"/>
      <c r="K34" s="245"/>
      <c r="L34" s="171"/>
      <c r="M34" s="246"/>
      <c r="O34" s="714" t="s">
        <v>302</v>
      </c>
      <c r="P34" s="715"/>
      <c r="Q34" s="471">
        <f>MIN(Q31,Q32,Q33)</f>
        <v>0</v>
      </c>
      <c r="R34" s="477" t="s">
        <v>301</v>
      </c>
      <c r="S34" s="475">
        <f>IF(S33=0,0,ROUNDDOWN(S32/S33,0))</f>
        <v>0</v>
      </c>
      <c r="T34" s="373"/>
      <c r="U34" s="374"/>
      <c r="W34" s="371"/>
      <c r="Z34" s="646" t="str">
        <f>AU33</f>
        <v>〇</v>
      </c>
      <c r="AA34" s="677" t="s">
        <v>334</v>
      </c>
      <c r="AB34" s="678"/>
      <c r="AC34" s="679"/>
      <c r="AH34" s="566"/>
      <c r="AI34" s="66" t="s">
        <v>20</v>
      </c>
      <c r="AJ34" s="548" t="s">
        <v>248</v>
      </c>
      <c r="AK34" s="547">
        <f>$L$25</f>
        <v>0</v>
      </c>
      <c r="AL34" s="545" t="str">
        <f>IF(OR(AK34=0,AK34=""),"○","×")</f>
        <v>○</v>
      </c>
      <c r="AM34" s="548" t="s">
        <v>248</v>
      </c>
      <c r="AN34" s="547">
        <f>$L$25</f>
        <v>0</v>
      </c>
      <c r="AO34" s="545" t="str">
        <f>IF(OR(AN34=0,AN34=""),"○","×")</f>
        <v>○</v>
      </c>
      <c r="AP34" s="69" t="s">
        <v>92</v>
      </c>
      <c r="AQ34" s="76" t="s">
        <v>105</v>
      </c>
      <c r="AR34" s="70" t="s">
        <v>105</v>
      </c>
      <c r="AS34" s="404" t="str">
        <f>IF('基本情報入力（使い方）'!$J$21=1,AJ34,IF('基本情報入力（使い方）'!$J$21=2,AM34,AP34))</f>
        <v>事業対象外の経費を使用していないか</v>
      </c>
      <c r="AT34" s="61">
        <f>IF('基本情報入力（使い方）'!$J$21=1,AK34,IF('基本情報入力（使い方）'!$J$21=2,AN34,AQ34))</f>
        <v>0</v>
      </c>
      <c r="AU34" s="62" t="str">
        <f>IF('基本情報入力（使い方）'!$J$21=1,AL34,IF('基本情報入力（使い方）'!$J$21=2,AO34,AR34))</f>
        <v>○</v>
      </c>
    </row>
    <row r="35" spans="15:47" ht="30" customHeight="1">
      <c r="O35" s="375"/>
      <c r="P35" s="375"/>
      <c r="Q35" s="375"/>
      <c r="R35" s="376"/>
      <c r="S35" s="375"/>
      <c r="T35" s="375"/>
      <c r="U35" s="375"/>
      <c r="V35" s="375"/>
      <c r="W35" s="377"/>
      <c r="Z35" s="647"/>
      <c r="AA35" s="680"/>
      <c r="AB35" s="681"/>
      <c r="AC35" s="682"/>
      <c r="AH35" s="566"/>
      <c r="AI35" s="68" t="s">
        <v>25</v>
      </c>
      <c r="AJ35" s="548" t="s">
        <v>248</v>
      </c>
      <c r="AK35" s="547">
        <f>$L$26</f>
        <v>0</v>
      </c>
      <c r="AL35" s="545" t="str">
        <f>IF(OR(AK35=0,AK35=""),"○","×")</f>
        <v>○</v>
      </c>
      <c r="AM35" s="548" t="s">
        <v>248</v>
      </c>
      <c r="AN35" s="547">
        <f>$L$26</f>
        <v>0</v>
      </c>
      <c r="AO35" s="545" t="str">
        <f>IF(OR(AN35=0,AN35=""),"○","×")</f>
        <v>○</v>
      </c>
      <c r="AP35" s="546" t="s">
        <v>112</v>
      </c>
      <c r="AQ35" s="547">
        <f>$L$26</f>
        <v>0</v>
      </c>
      <c r="AR35" s="549" t="str">
        <f>IF('基本情報入力（使い方）'!$J$21=3,IF($G$29/2-$G$26&gt;=0,"○","×"),IF(AQ35=0,"○","×"))</f>
        <v>○</v>
      </c>
      <c r="AS35" s="404" t="str">
        <f>IF('基本情報入力（使い方）'!$J$21=1,AJ35,IF('基本情報入力（使い方）'!$J$21=2,AM35,AP35))</f>
        <v>事業対象外の経費を使用していないか</v>
      </c>
      <c r="AT35" s="61">
        <f>IF('基本情報入力（使い方）'!$J$21=1,AK35,IF('基本情報入力（使い方）'!$J$21=2,AN35,AQ35))</f>
        <v>0</v>
      </c>
      <c r="AU35" s="62" t="str">
        <f>IF('基本情報入力（使い方）'!$J$21=1,AL35,IF('基本情報入力（使い方）'!$J$21=2,AO35,AR35))</f>
        <v>○</v>
      </c>
    </row>
    <row r="36" spans="18:47" ht="30" customHeight="1">
      <c r="R36" s="63"/>
      <c r="AH36" s="566"/>
      <c r="AI36" s="68" t="s">
        <v>91</v>
      </c>
      <c r="AJ36" s="548" t="s">
        <v>248</v>
      </c>
      <c r="AK36" s="547">
        <f>$L$27</f>
        <v>0</v>
      </c>
      <c r="AL36" s="545" t="str">
        <f>IF(OR(AK36=0,AK36=""),"○","×")</f>
        <v>○</v>
      </c>
      <c r="AM36" s="548" t="s">
        <v>248</v>
      </c>
      <c r="AN36" s="547">
        <f>$L$27</f>
        <v>0</v>
      </c>
      <c r="AO36" s="545" t="str">
        <f>IF(OR(AN36=0,AN36=""),"○","×")</f>
        <v>○</v>
      </c>
      <c r="AP36" s="546" t="s">
        <v>113</v>
      </c>
      <c r="AQ36" s="547">
        <f>$L$27</f>
        <v>0</v>
      </c>
      <c r="AR36" s="549" t="str">
        <f>IF('基本情報入力（使い方）'!$J$21=3,IF($G$29/2-$G$27&gt;=0,"○","×"),IF(AQ36=0,"○","×"))</f>
        <v>○</v>
      </c>
      <c r="AS36" s="404" t="str">
        <f>IF('基本情報入力（使い方）'!$J$21=1,AJ36,IF('基本情報入力（使い方）'!$J$21=2,AM36,AP36))</f>
        <v>事業対象外の経費を使用していないか</v>
      </c>
      <c r="AT36" s="61">
        <f>IF('基本情報入力（使い方）'!$J$21=1,AK36,IF('基本情報入力（使い方）'!$J$21=2,AN36,AQ36))</f>
        <v>0</v>
      </c>
      <c r="AU36" s="62" t="str">
        <f>IF('基本情報入力（使い方）'!$J$21=1,AL36,IF('基本情報入力（使い方）'!$J$21=2,AO36,AR36))</f>
        <v>○</v>
      </c>
    </row>
    <row r="37" spans="15:47" ht="30" customHeight="1" thickBot="1">
      <c r="O37" s="266"/>
      <c r="P37" s="172"/>
      <c r="Q37" s="267" t="s">
        <v>175</v>
      </c>
      <c r="R37" s="172"/>
      <c r="S37" s="172"/>
      <c r="T37" s="172"/>
      <c r="U37" s="172"/>
      <c r="V37" s="172"/>
      <c r="W37" s="268"/>
      <c r="X37" s="268"/>
      <c r="Y37" s="172"/>
      <c r="Z37" s="231" t="s">
        <v>176</v>
      </c>
      <c r="AA37" s="231" t="s">
        <v>176</v>
      </c>
      <c r="AB37" s="231" t="s">
        <v>176</v>
      </c>
      <c r="AC37" s="172"/>
      <c r="AD37" s="172"/>
      <c r="AH37" s="566"/>
      <c r="AI37" s="68" t="s">
        <v>38</v>
      </c>
      <c r="AJ37" s="69" t="s">
        <v>92</v>
      </c>
      <c r="AK37" s="76" t="s">
        <v>105</v>
      </c>
      <c r="AL37" s="67" t="s">
        <v>105</v>
      </c>
      <c r="AM37" s="69" t="s">
        <v>92</v>
      </c>
      <c r="AN37" s="76" t="s">
        <v>105</v>
      </c>
      <c r="AO37" s="67" t="s">
        <v>105</v>
      </c>
      <c r="AP37" s="546" t="s">
        <v>115</v>
      </c>
      <c r="AQ37" s="547">
        <f>$L$26+$L$27</f>
        <v>0</v>
      </c>
      <c r="AR37" s="549" t="str">
        <f>IF('基本情報入力（使い方）'!$J$21=3,IF($G$29/2-($G$26+$G$27)&gt;=0,"○","×"),IF(AQ37=0,"○","×"))</f>
        <v>○</v>
      </c>
      <c r="AS37" s="404" t="str">
        <f>IF('基本情報入力（使い方）'!$J$21=1,AJ37,IF('基本情報入力（使い方）'!$J$21=2,AM37,AP37))</f>
        <v>判定対象外</v>
      </c>
      <c r="AT37" s="61" t="str">
        <f>IF('基本情報入力（使い方）'!$J$21=1,AK37,IF('基本情報入力（使い方）'!$J$21=2,AN37,AQ37))</f>
        <v> </v>
      </c>
      <c r="AU37" s="62" t="str">
        <f>IF('基本情報入力（使い方）'!$J$21=1,AL37,IF('基本情報入力（使い方）'!$J$21=2,AO37,AR37))</f>
        <v> </v>
      </c>
    </row>
    <row r="38" spans="15:47" ht="30" customHeight="1">
      <c r="O38" s="266"/>
      <c r="P38" s="672" t="s">
        <v>33</v>
      </c>
      <c r="Q38" s="703" t="s">
        <v>177</v>
      </c>
      <c r="R38" s="703" t="s">
        <v>178</v>
      </c>
      <c r="S38" s="703" t="s">
        <v>179</v>
      </c>
      <c r="T38" s="716" t="s">
        <v>180</v>
      </c>
      <c r="U38" s="269" t="s">
        <v>75</v>
      </c>
      <c r="V38" s="270" t="s">
        <v>76</v>
      </c>
      <c r="W38" s="269" t="s">
        <v>77</v>
      </c>
      <c r="X38" s="269" t="s">
        <v>181</v>
      </c>
      <c r="Y38" s="269" t="s">
        <v>182</v>
      </c>
      <c r="Z38" s="269" t="s">
        <v>183</v>
      </c>
      <c r="AA38" s="269" t="s">
        <v>116</v>
      </c>
      <c r="AB38" s="269" t="s">
        <v>327</v>
      </c>
      <c r="AC38" s="764" t="s">
        <v>184</v>
      </c>
      <c r="AD38" s="725" t="s">
        <v>48</v>
      </c>
      <c r="AH38" s="566"/>
      <c r="AI38" s="68" t="s">
        <v>103</v>
      </c>
      <c r="AJ38" s="548" t="s">
        <v>248</v>
      </c>
      <c r="AK38" s="547">
        <f>$L$28</f>
        <v>0</v>
      </c>
      <c r="AL38" s="545" t="str">
        <f>IF(OR(AK38=0,AK38=""),"○","×")</f>
        <v>○</v>
      </c>
      <c r="AM38" s="548" t="s">
        <v>248</v>
      </c>
      <c r="AN38" s="547">
        <f>$L$28</f>
        <v>0</v>
      </c>
      <c r="AO38" s="545" t="str">
        <f>IF(OR(AN38=0,AN38=""),"○","×")</f>
        <v>○</v>
      </c>
      <c r="AP38" s="546" t="s">
        <v>114</v>
      </c>
      <c r="AQ38" s="547">
        <f>$L$28</f>
        <v>0</v>
      </c>
      <c r="AR38" s="549" t="str">
        <f>IF('基本情報入力（使い方）'!$J$21=3,IF($G$29/3-$G$28&gt;=0,"○","×"),IF(OR(AQ38=0,AQ38=""),"○","×"))</f>
        <v>○</v>
      </c>
      <c r="AS38" s="404" t="str">
        <f>IF('基本情報入力（使い方）'!$J$21=1,AJ38,IF('基本情報入力（使い方）'!$J$21=2,AM38,AP38))</f>
        <v>事業対象外の経費を使用していないか</v>
      </c>
      <c r="AT38" s="61">
        <f>IF('基本情報入力（使い方）'!$J$21=1,AK38,IF('基本情報入力（使い方）'!$J$21=2,AN38,AQ38))</f>
        <v>0</v>
      </c>
      <c r="AU38" s="62" t="str">
        <f>IF('基本情報入力（使い方）'!$J$21=1,AL38,IF('基本情報入力（使い方）'!$J$21=2,AO38,AR38))</f>
        <v>○</v>
      </c>
    </row>
    <row r="39" spans="15:47" ht="30" customHeight="1">
      <c r="O39" s="266"/>
      <c r="P39" s="673"/>
      <c r="Q39" s="704"/>
      <c r="R39" s="704"/>
      <c r="S39" s="704"/>
      <c r="T39" s="717"/>
      <c r="U39" s="700" t="s">
        <v>185</v>
      </c>
      <c r="V39" s="699" t="s">
        <v>186</v>
      </c>
      <c r="W39" s="700" t="str">
        <f>"実績額の補助金の額は補助対象経費の"&amp;補助名&amp;"以下か"</f>
        <v>実績額の補助金の額は補助対象経費の２／３以下か</v>
      </c>
      <c r="X39" s="663" t="s">
        <v>332</v>
      </c>
      <c r="Y39" s="701" t="s">
        <v>187</v>
      </c>
      <c r="Z39" s="663" t="s">
        <v>188</v>
      </c>
      <c r="AA39" s="663" t="s">
        <v>189</v>
      </c>
      <c r="AB39" s="663" t="s">
        <v>336</v>
      </c>
      <c r="AC39" s="764"/>
      <c r="AD39" s="726"/>
      <c r="AI39" s="66" t="s">
        <v>292</v>
      </c>
      <c r="AJ39" s="65">
        <f>'基本情報入力（使い方）'!$E$38</f>
        <v>0</v>
      </c>
      <c r="AK39" s="30">
        <f>$L$29</f>
        <v>0</v>
      </c>
      <c r="AL39" s="545" t="str">
        <f>IF(AJ39-AK39&gt;=0,"○","×")</f>
        <v>○</v>
      </c>
      <c r="AM39" s="65">
        <f>'基本情報入力（使い方）'!$E$38</f>
        <v>0</v>
      </c>
      <c r="AN39" s="30">
        <f>$L$29</f>
        <v>0</v>
      </c>
      <c r="AO39" s="545" t="str">
        <f>IF(AM39-AN39&gt;=0,"○","×")</f>
        <v>○</v>
      </c>
      <c r="AP39" s="65">
        <f>'基本情報入力（使い方）'!$E$38</f>
        <v>0</v>
      </c>
      <c r="AQ39" s="30">
        <f>$L$29</f>
        <v>0</v>
      </c>
      <c r="AR39" s="549" t="str">
        <f>IF(AP39-AQ39&gt;=0,"○","×")</f>
        <v>○</v>
      </c>
      <c r="AS39" s="65">
        <f>IF('基本情報入力（使い方）'!$J$21=1,AJ39,IF('基本情報入力（使い方）'!$J$21=2,AM39,AP39))</f>
        <v>0</v>
      </c>
      <c r="AT39" s="30">
        <f>IF('基本情報入力（使い方）'!$J$21=1,AK39,IF('基本情報入力（使い方）'!$J$21=2,AN39,AQ39))</f>
        <v>0</v>
      </c>
      <c r="AU39" s="62" t="str">
        <f>IF('基本情報入力（使い方）'!$J$21=1,AL39,IF('基本情報入力（使い方）'!$J$21=2,AO39,AR39))</f>
        <v>○</v>
      </c>
    </row>
    <row r="40" spans="15:47" ht="30" customHeight="1" thickBot="1">
      <c r="O40" s="266"/>
      <c r="P40" s="673"/>
      <c r="Q40" s="705"/>
      <c r="R40" s="705"/>
      <c r="S40" s="705"/>
      <c r="T40" s="717"/>
      <c r="U40" s="700"/>
      <c r="V40" s="699"/>
      <c r="W40" s="700"/>
      <c r="X40" s="663"/>
      <c r="Y40" s="702"/>
      <c r="Z40" s="663"/>
      <c r="AA40" s="663"/>
      <c r="AB40" s="663"/>
      <c r="AC40" s="764"/>
      <c r="AD40" s="727"/>
      <c r="AI40" s="64" t="s">
        <v>293</v>
      </c>
      <c r="AJ40" s="65">
        <f>'基本情報入力（使い方）'!$E$39</f>
        <v>0</v>
      </c>
      <c r="AK40" s="30">
        <f>$M$29</f>
        <v>0</v>
      </c>
      <c r="AL40" s="545" t="str">
        <f>IF(AJ40-AK40&gt;=0,"○","×")</f>
        <v>○</v>
      </c>
      <c r="AM40" s="65">
        <f>'基本情報入力（使い方）'!$E$39</f>
        <v>0</v>
      </c>
      <c r="AN40" s="30">
        <f>$M$29</f>
        <v>0</v>
      </c>
      <c r="AO40" s="545" t="str">
        <f>IF(AM40-AN40&gt;=0,"○","×")</f>
        <v>○</v>
      </c>
      <c r="AP40" s="65">
        <f>'基本情報入力（使い方）'!$E$39</f>
        <v>0</v>
      </c>
      <c r="AQ40" s="30">
        <f>$M$29</f>
        <v>0</v>
      </c>
      <c r="AR40" s="549" t="str">
        <f>IF(AP40-AQ40&gt;=0,"○","×")</f>
        <v>○</v>
      </c>
      <c r="AS40" s="404">
        <f>IF('基本情報入力（使い方）'!$J$21=1,AJ40,IF('基本情報入力（使い方）'!$J$21=2,AM40,AP40))</f>
        <v>0</v>
      </c>
      <c r="AT40" s="61">
        <f>IF('基本情報入力（使い方）'!$J$21=1,AK40,IF('基本情報入力（使い方）'!$J$21=2,AN40,AQ40))</f>
        <v>0</v>
      </c>
      <c r="AU40" s="62" t="str">
        <f>IF('基本情報入力（使い方）'!$J$21=1,AL40,IF('基本情報入力（使い方）'!$J$21=2,AO40,AR40))</f>
        <v>○</v>
      </c>
    </row>
    <row r="41" spans="14:37" ht="30" customHeight="1" thickTop="1">
      <c r="N41" s="265"/>
      <c r="O41" s="484" t="s">
        <v>64</v>
      </c>
      <c r="P41" s="485" t="str">
        <f aca="true" t="shared" si="9" ref="P41:P49">IF(AND(U41&lt;&gt;"×",V41&lt;&gt;"×",W41&lt;&gt;"×",X41&lt;&gt;"×",Y41&lt;&gt;"×",Z41&lt;&gt;"×",AA41&lt;&gt;"×",AB41&lt;&gt;"×"),"○","×")</f>
        <v>×</v>
      </c>
      <c r="Q41" s="675">
        <f>(I19-M19)+(I20-M20)</f>
        <v>0</v>
      </c>
      <c r="R41" s="771">
        <f>IF(Q41&gt;=0,0,Q41)</f>
        <v>0</v>
      </c>
      <c r="S41" s="675">
        <f>IF(Q41&lt;0,0,IF(Q41-T41&gt;=0,T41,Q41))</f>
        <v>0</v>
      </c>
      <c r="T41" s="675">
        <f>ROUNDDOWN($I19*0.2,0)+ROUNDDOWN($I20*0.2,0)</f>
        <v>0</v>
      </c>
      <c r="U41" s="485" t="str">
        <f>IF(OR(A19="×",C19="×"),"×","○")</f>
        <v>○</v>
      </c>
      <c r="V41" s="773" t="str">
        <f>IF(AND(IF(ABS(Q41)-T41&lt;=0,"○","×")="×",R41&lt;0),"×","○")</f>
        <v>○</v>
      </c>
      <c r="W41" s="485" t="str">
        <f>IF(M19-Q60&lt;=0,"○","×")</f>
        <v>○</v>
      </c>
      <c r="X41" s="485"/>
      <c r="Y41" s="485" t="str">
        <f aca="true" t="shared" si="10" ref="Y41:Y50">IF(B19="×","×","○")</f>
        <v>○</v>
      </c>
      <c r="Z41" s="485" t="str">
        <f>$Z$26</f>
        <v>×</v>
      </c>
      <c r="AA41" s="490"/>
      <c r="AB41" s="490"/>
      <c r="AC41" s="491">
        <f aca="true" t="shared" si="11" ref="AC41:AC51">M19</f>
        <v>0</v>
      </c>
      <c r="AD41" s="761" t="str">
        <f>IF(AND(P41="○",P42="○",P43="○",P44="○",P45="○",P46="○",P47="○",P48="○",P49="○",P50="○",Z18="○",Z20="○",Z22="○"),"○","×")</f>
        <v>×</v>
      </c>
      <c r="AK41" s="403"/>
    </row>
    <row r="42" spans="14:38" ht="30" customHeight="1" thickBot="1">
      <c r="N42" s="265"/>
      <c r="O42" s="484" t="s">
        <v>65</v>
      </c>
      <c r="P42" s="485" t="str">
        <f>IF(AND(U42&lt;&gt;"×",V41&lt;&gt;"×",W42&lt;&gt;"×",X42&lt;&gt;"×",Y42&lt;&gt;"×",Z42&lt;&gt;"×",AA42&lt;&gt;"×",AB42&lt;&gt;"×"),"○","×")</f>
        <v>○</v>
      </c>
      <c r="Q42" s="676"/>
      <c r="R42" s="772"/>
      <c r="S42" s="676"/>
      <c r="T42" s="676"/>
      <c r="U42" s="485" t="str">
        <f aca="true" t="shared" si="12" ref="U42:U50">IF(OR(A20="×",C20="×"),"×","○")</f>
        <v>○</v>
      </c>
      <c r="V42" s="774"/>
      <c r="W42" s="485" t="str">
        <f aca="true" t="shared" si="13" ref="W42:W50">IF(M20-Q61&lt;=0,"○","×")</f>
        <v>○</v>
      </c>
      <c r="X42" s="485"/>
      <c r="Y42" s="485" t="str">
        <f t="shared" si="10"/>
        <v>○</v>
      </c>
      <c r="Z42" s="485"/>
      <c r="AA42" s="490"/>
      <c r="AB42" s="490"/>
      <c r="AC42" s="491">
        <f t="shared" si="11"/>
        <v>0</v>
      </c>
      <c r="AD42" s="762"/>
      <c r="AI42" s="32" t="s">
        <v>49</v>
      </c>
      <c r="AJ42" s="33"/>
      <c r="AK42" s="33"/>
      <c r="AL42" s="72"/>
    </row>
    <row r="43" spans="14:38" ht="30" customHeight="1" thickTop="1">
      <c r="N43" s="265"/>
      <c r="O43" s="484" t="s">
        <v>23</v>
      </c>
      <c r="P43" s="485" t="str">
        <f t="shared" si="9"/>
        <v>○</v>
      </c>
      <c r="Q43" s="486">
        <f aca="true" t="shared" si="14" ref="Q43:Q50">(I21-M21)</f>
        <v>0</v>
      </c>
      <c r="R43" s="487">
        <f aca="true" t="shared" si="15" ref="R43:R50">IF(Q43&gt;=0,0,Q43)</f>
        <v>0</v>
      </c>
      <c r="S43" s="473">
        <f aca="true" t="shared" si="16" ref="S43:S50">IF(Q43&lt;0,0,IF(Q43-T43&gt;=0,T43,Q43))</f>
        <v>0</v>
      </c>
      <c r="T43" s="463">
        <f aca="true" t="shared" si="17" ref="T43:T50">ROUNDDOWN($I21*0.2,0)</f>
        <v>0</v>
      </c>
      <c r="U43" s="485" t="str">
        <f t="shared" si="12"/>
        <v>○</v>
      </c>
      <c r="V43" s="489" t="str">
        <f>IF(AND(IF(ABS(Q43)-T43&lt;=0,"○","×")="×",R43&lt;0),"×","○")</f>
        <v>○</v>
      </c>
      <c r="W43" s="485" t="str">
        <f t="shared" si="13"/>
        <v>○</v>
      </c>
      <c r="X43" s="485" t="str">
        <f>AU32</f>
        <v>○</v>
      </c>
      <c r="Y43" s="485" t="str">
        <f t="shared" si="10"/>
        <v>○</v>
      </c>
      <c r="Z43" s="485"/>
      <c r="AA43" s="490">
        <f aca="true" t="shared" si="18" ref="AA43:AA50">IF(AND(OR(F21="",F21=0),OR(J21="",J21=0)),"",$Z$30)</f>
      </c>
      <c r="AB43" s="490"/>
      <c r="AC43" s="491">
        <f t="shared" si="11"/>
        <v>0</v>
      </c>
      <c r="AD43" s="762"/>
      <c r="AH43" s="45"/>
      <c r="AI43" s="36" t="s">
        <v>50</v>
      </c>
      <c r="AJ43" s="758" t="s">
        <v>43</v>
      </c>
      <c r="AK43" s="759"/>
      <c r="AL43" s="760"/>
    </row>
    <row r="44" spans="14:54" ht="30" customHeight="1">
      <c r="N44" s="265"/>
      <c r="O44" s="484" t="s">
        <v>66</v>
      </c>
      <c r="P44" s="485" t="str">
        <f t="shared" si="9"/>
        <v>○</v>
      </c>
      <c r="Q44" s="486">
        <f t="shared" si="14"/>
        <v>0</v>
      </c>
      <c r="R44" s="487">
        <f t="shared" si="15"/>
        <v>0</v>
      </c>
      <c r="S44" s="473">
        <f t="shared" si="16"/>
        <v>0</v>
      </c>
      <c r="T44" s="473">
        <f t="shared" si="17"/>
        <v>0</v>
      </c>
      <c r="U44" s="485" t="str">
        <f t="shared" si="12"/>
        <v>○</v>
      </c>
      <c r="V44" s="489" t="str">
        <f aca="true" t="shared" si="19" ref="V44:V50">IF(AND(IF(ABS(Q44)-T44&lt;=0,"○","×")="×",R44&lt;0),"×","○")</f>
        <v>○</v>
      </c>
      <c r="W44" s="485" t="str">
        <f t="shared" si="13"/>
        <v>○</v>
      </c>
      <c r="X44" s="485"/>
      <c r="Y44" s="485" t="str">
        <f t="shared" si="10"/>
        <v>○</v>
      </c>
      <c r="Z44" s="485"/>
      <c r="AA44" s="490">
        <f t="shared" si="18"/>
      </c>
      <c r="AB44" s="490" t="str">
        <f>Z34</f>
        <v>〇</v>
      </c>
      <c r="AC44" s="491">
        <f t="shared" si="11"/>
        <v>0</v>
      </c>
      <c r="AD44" s="762"/>
      <c r="AI44" s="37" t="s">
        <v>51</v>
      </c>
      <c r="AJ44" s="755">
        <v>0.08</v>
      </c>
      <c r="AK44" s="756"/>
      <c r="AL44" s="757"/>
      <c r="BB44" s="41"/>
    </row>
    <row r="45" spans="14:54" ht="30" customHeight="1">
      <c r="N45" s="265"/>
      <c r="O45" s="484" t="s">
        <v>26</v>
      </c>
      <c r="P45" s="485" t="str">
        <f t="shared" si="9"/>
        <v>○</v>
      </c>
      <c r="Q45" s="486">
        <f t="shared" si="14"/>
        <v>0</v>
      </c>
      <c r="R45" s="487">
        <f t="shared" si="15"/>
        <v>0</v>
      </c>
      <c r="S45" s="473">
        <f t="shared" si="16"/>
        <v>0</v>
      </c>
      <c r="T45" s="473">
        <f t="shared" si="17"/>
        <v>0</v>
      </c>
      <c r="U45" s="485" t="str">
        <f t="shared" si="12"/>
        <v>○</v>
      </c>
      <c r="V45" s="489" t="str">
        <f t="shared" si="19"/>
        <v>○</v>
      </c>
      <c r="W45" s="485" t="str">
        <f t="shared" si="13"/>
        <v>○</v>
      </c>
      <c r="X45" s="485"/>
      <c r="Y45" s="485" t="str">
        <f t="shared" si="10"/>
        <v>○</v>
      </c>
      <c r="Z45" s="485"/>
      <c r="AA45" s="490">
        <f t="shared" si="18"/>
      </c>
      <c r="AB45" s="490"/>
      <c r="AC45" s="491">
        <f t="shared" si="11"/>
        <v>0</v>
      </c>
      <c r="AD45" s="762"/>
      <c r="AI45" s="38" t="s">
        <v>52</v>
      </c>
      <c r="AJ45" s="730" t="str">
        <f>VLOOKUP('基本情報入力（使い方）'!J16,'設定'!B:C,2)</f>
        <v>革新的サービス</v>
      </c>
      <c r="AK45" s="731"/>
      <c r="AL45" s="732"/>
      <c r="BB45" s="41"/>
    </row>
    <row r="46" spans="14:38" ht="30" customHeight="1">
      <c r="N46" s="265"/>
      <c r="O46" s="484" t="s">
        <v>267</v>
      </c>
      <c r="P46" s="485" t="str">
        <f t="shared" si="9"/>
        <v>○</v>
      </c>
      <c r="Q46" s="486">
        <f t="shared" si="14"/>
        <v>0</v>
      </c>
      <c r="R46" s="487">
        <f>IF(Q46&gt;=0,0,Q46)</f>
        <v>0</v>
      </c>
      <c r="S46" s="473">
        <f>IF(Q46&lt;0,0,IF(Q46-T46&gt;=0,T46,Q46))</f>
        <v>0</v>
      </c>
      <c r="T46" s="473">
        <f t="shared" si="17"/>
        <v>0</v>
      </c>
      <c r="U46" s="485" t="str">
        <f t="shared" si="12"/>
        <v>○</v>
      </c>
      <c r="V46" s="489" t="str">
        <f>IF(AND(IF(ABS(Q46)-T46&lt;=0,"○","×")="×",R46&lt;0),"×","○")</f>
        <v>○</v>
      </c>
      <c r="W46" s="485" t="str">
        <f t="shared" si="13"/>
        <v>○</v>
      </c>
      <c r="X46" s="485"/>
      <c r="Y46" s="485" t="str">
        <f t="shared" si="10"/>
        <v>○</v>
      </c>
      <c r="Z46" s="485"/>
      <c r="AA46" s="490">
        <f t="shared" si="18"/>
      </c>
      <c r="AB46" s="490"/>
      <c r="AC46" s="491">
        <f t="shared" si="11"/>
        <v>0</v>
      </c>
      <c r="AD46" s="762"/>
      <c r="AI46" s="38"/>
      <c r="AJ46" s="730" t="str">
        <f>VLOOKUP('基本情報入力（使い方）'!J21,'設定'!E:H,2)&amp;VLOOKUP('基本情報入力（使い方）'!J21,'設定'!E:H,3)</f>
        <v>一般型</v>
      </c>
      <c r="AK46" s="731"/>
      <c r="AL46" s="732"/>
    </row>
    <row r="47" spans="14:38" ht="30" customHeight="1">
      <c r="N47" s="265"/>
      <c r="O47" s="484" t="s">
        <v>265</v>
      </c>
      <c r="P47" s="485" t="str">
        <f t="shared" si="9"/>
        <v>○</v>
      </c>
      <c r="Q47" s="486">
        <f t="shared" si="14"/>
        <v>0</v>
      </c>
      <c r="R47" s="487">
        <f t="shared" si="15"/>
        <v>0</v>
      </c>
      <c r="S47" s="473">
        <f t="shared" si="16"/>
        <v>0</v>
      </c>
      <c r="T47" s="473">
        <f t="shared" si="17"/>
        <v>0</v>
      </c>
      <c r="U47" s="485" t="str">
        <f t="shared" si="12"/>
        <v>○</v>
      </c>
      <c r="V47" s="489" t="str">
        <f t="shared" si="19"/>
        <v>○</v>
      </c>
      <c r="W47" s="485" t="str">
        <f t="shared" si="13"/>
        <v>○</v>
      </c>
      <c r="X47" s="485"/>
      <c r="Y47" s="485" t="str">
        <f t="shared" si="10"/>
        <v>○</v>
      </c>
      <c r="Z47" s="485"/>
      <c r="AA47" s="490">
        <f t="shared" si="18"/>
      </c>
      <c r="AB47" s="490"/>
      <c r="AC47" s="491">
        <f t="shared" si="11"/>
        <v>0</v>
      </c>
      <c r="AD47" s="762"/>
      <c r="AI47" s="38"/>
      <c r="AJ47" s="730" t="str">
        <f>VLOOKUP('基本情報入力（使い方）'!J31,'設定'!K:M,2)</f>
        <v>専門家活用なし</v>
      </c>
      <c r="AK47" s="731"/>
      <c r="AL47" s="732"/>
    </row>
    <row r="48" spans="14:38" ht="30" customHeight="1">
      <c r="N48" s="265"/>
      <c r="O48" s="484" t="s">
        <v>261</v>
      </c>
      <c r="P48" s="485" t="str">
        <f t="shared" si="9"/>
        <v>○</v>
      </c>
      <c r="Q48" s="486">
        <f t="shared" si="14"/>
        <v>0</v>
      </c>
      <c r="R48" s="487">
        <f t="shared" si="15"/>
        <v>0</v>
      </c>
      <c r="S48" s="473">
        <f t="shared" si="16"/>
        <v>0</v>
      </c>
      <c r="T48" s="473">
        <f t="shared" si="17"/>
        <v>0</v>
      </c>
      <c r="U48" s="485" t="str">
        <f t="shared" si="12"/>
        <v>○</v>
      </c>
      <c r="V48" s="489" t="str">
        <f t="shared" si="19"/>
        <v>○</v>
      </c>
      <c r="W48" s="485" t="str">
        <f t="shared" si="13"/>
        <v>○</v>
      </c>
      <c r="X48" s="485">
        <f>IF('基本情報入力（使い方）'!J21=3,IF(OR(AU35="×",AU37="×"),"×","○"),"")</f>
      </c>
      <c r="Y48" s="485" t="str">
        <f t="shared" si="10"/>
        <v>○</v>
      </c>
      <c r="Z48" s="485"/>
      <c r="AA48" s="490">
        <f t="shared" si="18"/>
      </c>
      <c r="AB48" s="490"/>
      <c r="AC48" s="491">
        <f t="shared" si="11"/>
        <v>0</v>
      </c>
      <c r="AD48" s="762"/>
      <c r="AI48" s="38" t="s">
        <v>318</v>
      </c>
      <c r="AJ48" s="551" t="str">
        <f>VLOOKUP('基本情報入力（使い方）'!J26,'設定'!P:R,2)</f>
        <v>２／３</v>
      </c>
      <c r="AK48" s="731">
        <f>VLOOKUP('基本情報入力（使い方）'!J26,'設定'!P:R,3)</f>
        <v>0.6666666666666666</v>
      </c>
      <c r="AL48" s="732"/>
    </row>
    <row r="49" spans="14:38" ht="30" customHeight="1">
      <c r="N49" s="265"/>
      <c r="O49" s="484" t="s">
        <v>266</v>
      </c>
      <c r="P49" s="485" t="str">
        <f t="shared" si="9"/>
        <v>○</v>
      </c>
      <c r="Q49" s="486">
        <f t="shared" si="14"/>
        <v>0</v>
      </c>
      <c r="R49" s="487">
        <f t="shared" si="15"/>
        <v>0</v>
      </c>
      <c r="S49" s="473">
        <f t="shared" si="16"/>
        <v>0</v>
      </c>
      <c r="T49" s="473">
        <f t="shared" si="17"/>
        <v>0</v>
      </c>
      <c r="U49" s="485" t="str">
        <f t="shared" si="12"/>
        <v>○</v>
      </c>
      <c r="V49" s="489" t="str">
        <f t="shared" si="19"/>
        <v>○</v>
      </c>
      <c r="W49" s="485" t="str">
        <f t="shared" si="13"/>
        <v>○</v>
      </c>
      <c r="X49" s="485">
        <f>IF('基本情報入力（使い方）'!J21=3,IF(OR(AU36="×",AU37="×"),"×","○"),"")</f>
      </c>
      <c r="Y49" s="485" t="str">
        <f t="shared" si="10"/>
        <v>○</v>
      </c>
      <c r="Z49" s="485"/>
      <c r="AA49" s="490">
        <f t="shared" si="18"/>
      </c>
      <c r="AB49" s="490"/>
      <c r="AC49" s="491">
        <f t="shared" si="11"/>
        <v>0</v>
      </c>
      <c r="AD49" s="762"/>
      <c r="AI49" s="38" t="s">
        <v>53</v>
      </c>
      <c r="AJ49" s="225">
        <f>VLOOKUP('基本情報入力（使い方）'!J21,'設定'!E:H,4)+VLOOKUP('基本情報入力（使い方）'!J31,'設定'!K:M,3)</f>
        <v>10000000</v>
      </c>
      <c r="AK49" s="226"/>
      <c r="AL49" s="134" t="s">
        <v>109</v>
      </c>
    </row>
    <row r="50" spans="14:38" ht="30" customHeight="1" thickBot="1">
      <c r="N50" s="265"/>
      <c r="O50" s="484" t="s">
        <v>263</v>
      </c>
      <c r="P50" s="485" t="str">
        <f>IF(AND(U50&lt;&gt;"×",V50&lt;&gt;"×",W50&lt;&gt;"×",X50&lt;&gt;"×",Y50&lt;&gt;"×",Z50&lt;&gt;"×",AA50&lt;&gt;"×",AB50&lt;&gt;"×"),"○","×")</f>
        <v>○</v>
      </c>
      <c r="Q50" s="486">
        <f t="shared" si="14"/>
        <v>0</v>
      </c>
      <c r="R50" s="487">
        <f t="shared" si="15"/>
        <v>0</v>
      </c>
      <c r="S50" s="473">
        <f t="shared" si="16"/>
        <v>0</v>
      </c>
      <c r="T50" s="473">
        <f t="shared" si="17"/>
        <v>0</v>
      </c>
      <c r="U50" s="485" t="str">
        <f t="shared" si="12"/>
        <v>○</v>
      </c>
      <c r="V50" s="489" t="str">
        <f t="shared" si="19"/>
        <v>○</v>
      </c>
      <c r="W50" s="485" t="str">
        <f t="shared" si="13"/>
        <v>○</v>
      </c>
      <c r="X50" s="485">
        <f>IF('基本情報入力（使い方）'!J21=3,AU38,"")</f>
      </c>
      <c r="Y50" s="485" t="str">
        <f t="shared" si="10"/>
        <v>○</v>
      </c>
      <c r="Z50" s="485"/>
      <c r="AA50" s="490">
        <f t="shared" si="18"/>
      </c>
      <c r="AB50" s="490"/>
      <c r="AC50" s="491">
        <f t="shared" si="11"/>
        <v>0</v>
      </c>
      <c r="AD50" s="763"/>
      <c r="AI50" s="39" t="s">
        <v>95</v>
      </c>
      <c r="AJ50" s="552">
        <f>VLOOKUP('基本情報入力（使い方）'!J21,'設定'!E:I,5)</f>
        <v>1000000</v>
      </c>
      <c r="AK50" s="224"/>
      <c r="AL50" s="74" t="s">
        <v>109</v>
      </c>
    </row>
    <row r="51" spans="15:30" ht="30" customHeight="1">
      <c r="O51" s="266"/>
      <c r="P51" s="273" t="s">
        <v>176</v>
      </c>
      <c r="Q51" s="223" t="s">
        <v>190</v>
      </c>
      <c r="R51" s="488">
        <f>SUM(R41:R50)</f>
        <v>0</v>
      </c>
      <c r="S51" s="473">
        <f>SUM(S41:S50)</f>
        <v>0</v>
      </c>
      <c r="T51" s="274"/>
      <c r="U51" s="275"/>
      <c r="V51" s="276"/>
      <c r="W51" s="277"/>
      <c r="X51" s="277"/>
      <c r="Y51" s="277"/>
      <c r="Z51" s="276"/>
      <c r="AA51" s="275"/>
      <c r="AC51" s="278">
        <f t="shared" si="11"/>
        <v>0</v>
      </c>
      <c r="AD51" s="279"/>
    </row>
    <row r="52" spans="15:30" ht="30" customHeight="1">
      <c r="O52" s="266"/>
      <c r="P52" s="280" t="s">
        <v>337</v>
      </c>
      <c r="Q52" s="25"/>
      <c r="R52" s="281"/>
      <c r="S52" s="282"/>
      <c r="T52" s="25"/>
      <c r="U52" s="283"/>
      <c r="V52" s="283"/>
      <c r="W52" s="284"/>
      <c r="X52" s="284"/>
      <c r="Y52" s="171"/>
      <c r="Z52" s="171"/>
      <c r="AA52" s="285"/>
      <c r="AC52" s="278"/>
      <c r="AD52" s="279"/>
    </row>
    <row r="53" spans="25:27" ht="30" customHeight="1">
      <c r="Y53" s="662"/>
      <c r="Z53" s="44"/>
      <c r="AA53" s="44"/>
    </row>
    <row r="54" spans="25:54" ht="30" customHeight="1">
      <c r="Y54" s="662"/>
      <c r="Z54" s="44"/>
      <c r="AA54" s="44"/>
      <c r="AZ54" s="71"/>
      <c r="BA54" s="35"/>
      <c r="BB54" s="35"/>
    </row>
    <row r="55" spans="15:54" ht="30" customHeight="1">
      <c r="O55" s="286" t="s">
        <v>191</v>
      </c>
      <c r="P55" s="286"/>
      <c r="Q55" s="287"/>
      <c r="R55" s="287"/>
      <c r="S55" s="287"/>
      <c r="T55" s="287"/>
      <c r="U55" s="287"/>
      <c r="V55" s="287"/>
      <c r="W55" s="287"/>
      <c r="X55" s="287"/>
      <c r="Y55" s="171"/>
      <c r="Z55" s="171"/>
      <c r="AA55" s="288"/>
      <c r="AB55" s="243" t="str">
        <f>E12</f>
        <v>事業者名　：　</v>
      </c>
      <c r="AZ55" s="34"/>
      <c r="BA55" s="34"/>
      <c r="BB55" s="35"/>
    </row>
    <row r="56" spans="17:54" ht="30" customHeight="1" thickBot="1">
      <c r="Q56" s="290" t="s">
        <v>338</v>
      </c>
      <c r="R56" s="289"/>
      <c r="S56" s="289"/>
      <c r="T56" s="289"/>
      <c r="U56" s="289"/>
      <c r="V56" s="289"/>
      <c r="W56" s="289"/>
      <c r="X56" s="289"/>
      <c r="Y56" s="171"/>
      <c r="Z56" s="291"/>
      <c r="AA56" s="171"/>
      <c r="AB56" s="171"/>
      <c r="AZ56" s="34"/>
      <c r="BA56" s="34"/>
      <c r="BB56" s="35"/>
    </row>
    <row r="57" spans="17:54" ht="30" customHeight="1">
      <c r="Q57" s="292" t="s">
        <v>192</v>
      </c>
      <c r="R57" s="293" t="s">
        <v>193</v>
      </c>
      <c r="S57" s="294" t="s">
        <v>194</v>
      </c>
      <c r="T57" s="295" t="s">
        <v>195</v>
      </c>
      <c r="U57" s="296" t="s">
        <v>196</v>
      </c>
      <c r="V57" s="297" t="s">
        <v>197</v>
      </c>
      <c r="W57" s="293" t="s">
        <v>198</v>
      </c>
      <c r="X57" s="298" t="s">
        <v>199</v>
      </c>
      <c r="Y57" s="297" t="s">
        <v>200</v>
      </c>
      <c r="Z57" s="299" t="s">
        <v>201</v>
      </c>
      <c r="AA57" s="300" t="s">
        <v>228</v>
      </c>
      <c r="AB57" s="670" t="s">
        <v>14</v>
      </c>
      <c r="AY57" s="71"/>
      <c r="AZ57" s="34"/>
      <c r="BA57" s="34"/>
      <c r="BB57" s="35"/>
    </row>
    <row r="58" spans="17:54" ht="30" customHeight="1">
      <c r="Q58" s="301" t="str">
        <f>"実績額の補助対象経費×"&amp;CHAR(10)&amp;補助名</f>
        <v>実績額の補助対象経費×
２／３</v>
      </c>
      <c r="R58" s="302" t="s">
        <v>135</v>
      </c>
      <c r="S58" s="303" t="s">
        <v>202</v>
      </c>
      <c r="T58" s="778" t="s">
        <v>203</v>
      </c>
      <c r="U58" s="304" t="s">
        <v>204</v>
      </c>
      <c r="V58" s="738" t="s">
        <v>205</v>
      </c>
      <c r="W58" s="305" t="s">
        <v>206</v>
      </c>
      <c r="X58" s="630" t="s">
        <v>207</v>
      </c>
      <c r="Y58" s="306" t="s">
        <v>208</v>
      </c>
      <c r="Z58" s="307" t="s">
        <v>209</v>
      </c>
      <c r="AA58" s="308" t="s">
        <v>210</v>
      </c>
      <c r="AB58" s="671"/>
      <c r="AY58" s="73"/>
      <c r="AZ58" s="35"/>
      <c r="BA58" s="34"/>
      <c r="BB58" s="35"/>
    </row>
    <row r="59" spans="17:51" ht="30" customHeight="1">
      <c r="Q59" s="309"/>
      <c r="R59" s="310"/>
      <c r="S59" s="311"/>
      <c r="T59" s="779"/>
      <c r="U59" s="312"/>
      <c r="V59" s="739"/>
      <c r="W59" s="313"/>
      <c r="X59" s="631"/>
      <c r="Y59" s="314"/>
      <c r="Z59" s="315"/>
      <c r="AA59" s="316"/>
      <c r="AB59" s="733"/>
      <c r="AY59" s="73"/>
    </row>
    <row r="60" spans="14:54" ht="30" customHeight="1">
      <c r="N60" s="272"/>
      <c r="O60" s="648" t="s">
        <v>64</v>
      </c>
      <c r="P60" s="649"/>
      <c r="Q60" s="461">
        <f>'機械装置費（50万円以上）'!P23</f>
        <v>0</v>
      </c>
      <c r="R60" s="500">
        <f>I19</f>
        <v>0</v>
      </c>
      <c r="S60" s="501">
        <f>MIN(Q60,R60)</f>
        <v>0</v>
      </c>
      <c r="T60" s="775">
        <f>MIN(R60-S60,U60)+MIN(R61-S61,U61)</f>
        <v>0</v>
      </c>
      <c r="U60" s="675">
        <f>ROUNDDOWN(I19*20%,0)+ROUNDDOWN(I20*20%,0)</f>
        <v>0</v>
      </c>
      <c r="V60" s="744">
        <f>IF(AND(Q60=0,Q61=0),"",IF(SUM(Q60:Q61)-SUM(S60:S61)&gt;0,"○","-"))</f>
      </c>
      <c r="W60" s="765">
        <f>(Q60-S60)+(Q61-S61)</f>
        <v>0</v>
      </c>
      <c r="X60" s="767">
        <f>MIN(U60,W60)</f>
        <v>0</v>
      </c>
      <c r="Y60" s="769">
        <f>IF(X60&gt;0,1,"")</f>
      </c>
      <c r="Z60" s="317"/>
      <c r="AA60" s="492">
        <f>S60+Z60</f>
        <v>0</v>
      </c>
      <c r="AB60" s="493" t="s">
        <v>165</v>
      </c>
      <c r="AY60" s="73"/>
      <c r="AZ60" s="35"/>
      <c r="BA60" s="71"/>
      <c r="BB60" s="35"/>
    </row>
    <row r="61" spans="14:58" ht="30" customHeight="1">
      <c r="N61" s="272"/>
      <c r="O61" s="608" t="s">
        <v>65</v>
      </c>
      <c r="P61" s="609"/>
      <c r="Q61" s="464">
        <f>'機械装置費（50万円未満）'!P23</f>
        <v>0</v>
      </c>
      <c r="R61" s="502">
        <f aca="true" t="shared" si="20" ref="R61:R69">I20</f>
        <v>0</v>
      </c>
      <c r="S61" s="503">
        <f aca="true" t="shared" si="21" ref="S61:S69">MIN(R61,Q61)</f>
        <v>0</v>
      </c>
      <c r="T61" s="776"/>
      <c r="U61" s="777"/>
      <c r="V61" s="745"/>
      <c r="W61" s="766"/>
      <c r="X61" s="768"/>
      <c r="Y61" s="770"/>
      <c r="Z61" s="318"/>
      <c r="AA61" s="494">
        <f>S61+Z61</f>
        <v>0</v>
      </c>
      <c r="AB61" s="495" t="s">
        <v>166</v>
      </c>
      <c r="AY61" s="73"/>
      <c r="AZ61" s="41"/>
      <c r="BA61" s="41"/>
      <c r="BB61" s="41"/>
      <c r="BC61" s="41"/>
      <c r="BD61" s="41"/>
      <c r="BE61" s="41"/>
      <c r="BF61" s="41"/>
    </row>
    <row r="62" spans="14:58" ht="30" customHeight="1">
      <c r="N62" s="272"/>
      <c r="O62" s="608" t="s">
        <v>23</v>
      </c>
      <c r="P62" s="609"/>
      <c r="Q62" s="464">
        <f aca="true" t="shared" si="22" ref="Q62:Q69">IF(L21="",0,ROUNDDOWN(L21*補助率,0))</f>
        <v>0</v>
      </c>
      <c r="R62" s="502">
        <f t="shared" si="20"/>
        <v>0</v>
      </c>
      <c r="S62" s="503">
        <f t="shared" si="21"/>
        <v>0</v>
      </c>
      <c r="T62" s="504">
        <f aca="true" t="shared" si="23" ref="T62:T69">MIN(R62-S62,U62)</f>
        <v>0</v>
      </c>
      <c r="U62" s="505">
        <f aca="true" t="shared" si="24" ref="U62:U69">ROUNDDOWN(I21*20%,0)</f>
        <v>0</v>
      </c>
      <c r="V62" s="506">
        <f>IF(Q62=0,"",IF(Q62-S62&gt;0,"○","-"))</f>
      </c>
      <c r="W62" s="507">
        <f aca="true" t="shared" si="25" ref="W62:W69">Q62-S62</f>
        <v>0</v>
      </c>
      <c r="X62" s="508">
        <f aca="true" t="shared" si="26" ref="X62:X69">MIN(U62,W62)</f>
        <v>0</v>
      </c>
      <c r="Y62" s="509">
        <f aca="true" t="shared" si="27" ref="Y62:Y69">IF(X62=0,"",RANK(X62,($X$62:$X$69))+1)</f>
      </c>
      <c r="Z62" s="318"/>
      <c r="AA62" s="494">
        <f aca="true" t="shared" si="28" ref="AA62:AA69">S62+Z62</f>
        <v>0</v>
      </c>
      <c r="AB62" s="495" t="s">
        <v>168</v>
      </c>
      <c r="BC62" s="41"/>
      <c r="BD62" s="41"/>
      <c r="BE62" s="41"/>
      <c r="BF62" s="41"/>
    </row>
    <row r="63" spans="14:51" ht="30" customHeight="1">
      <c r="N63" s="272"/>
      <c r="O63" s="608" t="s">
        <v>66</v>
      </c>
      <c r="P63" s="609"/>
      <c r="Q63" s="464">
        <f t="shared" si="22"/>
        <v>0</v>
      </c>
      <c r="R63" s="502">
        <f t="shared" si="20"/>
        <v>0</v>
      </c>
      <c r="S63" s="503">
        <f t="shared" si="21"/>
        <v>0</v>
      </c>
      <c r="T63" s="504">
        <f t="shared" si="23"/>
        <v>0</v>
      </c>
      <c r="U63" s="505">
        <f t="shared" si="24"/>
        <v>0</v>
      </c>
      <c r="V63" s="506">
        <f aca="true" t="shared" si="29" ref="V63:V69">IF(Q63=0,"",IF(Q63-S63&gt;0,"○","-"))</f>
      </c>
      <c r="W63" s="507">
        <f t="shared" si="25"/>
        <v>0</v>
      </c>
      <c r="X63" s="508">
        <f t="shared" si="26"/>
        <v>0</v>
      </c>
      <c r="Y63" s="509">
        <f t="shared" si="27"/>
      </c>
      <c r="Z63" s="318"/>
      <c r="AA63" s="494">
        <f t="shared" si="28"/>
        <v>0</v>
      </c>
      <c r="AB63" s="495" t="s">
        <v>173</v>
      </c>
      <c r="AC63" s="41"/>
      <c r="AD63" s="41"/>
      <c r="AE63" s="41"/>
      <c r="AF63" s="41"/>
      <c r="AG63" s="41"/>
      <c r="AY63" s="71"/>
    </row>
    <row r="64" spans="14:51" ht="30" customHeight="1">
      <c r="N64" s="272"/>
      <c r="O64" s="608" t="s">
        <v>26</v>
      </c>
      <c r="P64" s="609"/>
      <c r="Q64" s="464">
        <f t="shared" si="22"/>
        <v>0</v>
      </c>
      <c r="R64" s="502">
        <f t="shared" si="20"/>
        <v>0</v>
      </c>
      <c r="S64" s="503">
        <f t="shared" si="21"/>
        <v>0</v>
      </c>
      <c r="T64" s="504">
        <f t="shared" si="23"/>
        <v>0</v>
      </c>
      <c r="U64" s="505">
        <f t="shared" si="24"/>
        <v>0</v>
      </c>
      <c r="V64" s="506">
        <f t="shared" si="29"/>
      </c>
      <c r="W64" s="507">
        <f t="shared" si="25"/>
        <v>0</v>
      </c>
      <c r="X64" s="508">
        <f t="shared" si="26"/>
        <v>0</v>
      </c>
      <c r="Y64" s="509">
        <f t="shared" si="27"/>
      </c>
      <c r="Z64" s="318"/>
      <c r="AA64" s="494">
        <f t="shared" si="28"/>
        <v>0</v>
      </c>
      <c r="AB64" s="495" t="s">
        <v>172</v>
      </c>
      <c r="AC64" s="41"/>
      <c r="AD64" s="41"/>
      <c r="AE64" s="41"/>
      <c r="AF64" s="41"/>
      <c r="AG64" s="41"/>
      <c r="AY64" s="41"/>
    </row>
    <row r="65" spans="14:54" ht="30" customHeight="1">
      <c r="N65" s="272"/>
      <c r="O65" s="608" t="s">
        <v>264</v>
      </c>
      <c r="P65" s="609"/>
      <c r="Q65" s="464">
        <f t="shared" si="22"/>
        <v>0</v>
      </c>
      <c r="R65" s="502">
        <f t="shared" si="20"/>
        <v>0</v>
      </c>
      <c r="S65" s="503">
        <f>MIN(R65,Q65)</f>
        <v>0</v>
      </c>
      <c r="T65" s="504">
        <f>MIN(R65-S65,U65)</f>
        <v>0</v>
      </c>
      <c r="U65" s="505">
        <f t="shared" si="24"/>
        <v>0</v>
      </c>
      <c r="V65" s="506">
        <f>IF(Q65=0,"",IF(Q65-S65&gt;0,"○","-"))</f>
      </c>
      <c r="W65" s="507">
        <f t="shared" si="25"/>
        <v>0</v>
      </c>
      <c r="X65" s="508">
        <f t="shared" si="26"/>
        <v>0</v>
      </c>
      <c r="Y65" s="510">
        <f t="shared" si="27"/>
      </c>
      <c r="Z65" s="318"/>
      <c r="AA65" s="494">
        <f t="shared" si="28"/>
        <v>0</v>
      </c>
      <c r="AB65" s="495" t="s">
        <v>256</v>
      </c>
      <c r="AG65" s="41"/>
      <c r="AZ65" s="41"/>
      <c r="BA65" s="41"/>
      <c r="BB65" s="41"/>
    </row>
    <row r="66" spans="14:54" ht="30" customHeight="1">
      <c r="N66" s="271"/>
      <c r="O66" s="608" t="s">
        <v>97</v>
      </c>
      <c r="P66" s="609"/>
      <c r="Q66" s="464">
        <f t="shared" si="22"/>
        <v>0</v>
      </c>
      <c r="R66" s="502">
        <f t="shared" si="20"/>
        <v>0</v>
      </c>
      <c r="S66" s="503">
        <f t="shared" si="21"/>
        <v>0</v>
      </c>
      <c r="T66" s="504">
        <f t="shared" si="23"/>
        <v>0</v>
      </c>
      <c r="U66" s="505">
        <f t="shared" si="24"/>
        <v>0</v>
      </c>
      <c r="V66" s="506">
        <f t="shared" si="29"/>
      </c>
      <c r="W66" s="507">
        <f t="shared" si="25"/>
        <v>0</v>
      </c>
      <c r="X66" s="508">
        <f t="shared" si="26"/>
        <v>0</v>
      </c>
      <c r="Y66" s="509">
        <f t="shared" si="27"/>
      </c>
      <c r="Z66" s="318"/>
      <c r="AA66" s="494">
        <f t="shared" si="28"/>
        <v>0</v>
      </c>
      <c r="AB66" s="495" t="s">
        <v>167</v>
      </c>
      <c r="AG66" s="41"/>
      <c r="AZ66" s="41"/>
      <c r="BA66" s="41"/>
      <c r="BB66" s="41"/>
    </row>
    <row r="67" spans="14:54" ht="30" customHeight="1">
      <c r="N67" s="272"/>
      <c r="O67" s="608" t="s">
        <v>98</v>
      </c>
      <c r="P67" s="609"/>
      <c r="Q67" s="464">
        <f t="shared" si="22"/>
        <v>0</v>
      </c>
      <c r="R67" s="502">
        <f t="shared" si="20"/>
        <v>0</v>
      </c>
      <c r="S67" s="503">
        <f t="shared" si="21"/>
        <v>0</v>
      </c>
      <c r="T67" s="504">
        <f t="shared" si="23"/>
        <v>0</v>
      </c>
      <c r="U67" s="505">
        <f t="shared" si="24"/>
        <v>0</v>
      </c>
      <c r="V67" s="506">
        <f t="shared" si="29"/>
      </c>
      <c r="W67" s="507">
        <f t="shared" si="25"/>
        <v>0</v>
      </c>
      <c r="X67" s="508">
        <f t="shared" si="26"/>
        <v>0</v>
      </c>
      <c r="Y67" s="509">
        <f t="shared" si="27"/>
      </c>
      <c r="Z67" s="318"/>
      <c r="AA67" s="494">
        <f t="shared" si="28"/>
        <v>0</v>
      </c>
      <c r="AB67" s="495" t="s">
        <v>169</v>
      </c>
      <c r="AG67" s="42"/>
      <c r="AZ67" s="41"/>
      <c r="BA67" s="41"/>
      <c r="BB67" s="41"/>
    </row>
    <row r="68" spans="14:54" ht="30" customHeight="1">
      <c r="N68" s="272"/>
      <c r="O68" s="608" t="s">
        <v>99</v>
      </c>
      <c r="P68" s="609"/>
      <c r="Q68" s="464">
        <f t="shared" si="22"/>
        <v>0</v>
      </c>
      <c r="R68" s="502">
        <f t="shared" si="20"/>
        <v>0</v>
      </c>
      <c r="S68" s="503">
        <f t="shared" si="21"/>
        <v>0</v>
      </c>
      <c r="T68" s="504">
        <f t="shared" si="23"/>
        <v>0</v>
      </c>
      <c r="U68" s="505">
        <f t="shared" si="24"/>
        <v>0</v>
      </c>
      <c r="V68" s="506">
        <f t="shared" si="29"/>
      </c>
      <c r="W68" s="507">
        <f t="shared" si="25"/>
        <v>0</v>
      </c>
      <c r="X68" s="508">
        <f t="shared" si="26"/>
        <v>0</v>
      </c>
      <c r="Y68" s="509">
        <f t="shared" si="27"/>
      </c>
      <c r="Z68" s="318"/>
      <c r="AA68" s="494">
        <f t="shared" si="28"/>
        <v>0</v>
      </c>
      <c r="AB68" s="495" t="s">
        <v>170</v>
      </c>
      <c r="AG68" s="42"/>
      <c r="AY68" s="41"/>
      <c r="AZ68" s="41"/>
      <c r="BA68" s="41"/>
      <c r="BB68" s="41"/>
    </row>
    <row r="69" spans="14:54" ht="30" customHeight="1">
      <c r="N69" s="272"/>
      <c r="O69" s="712" t="s">
        <v>100</v>
      </c>
      <c r="P69" s="713"/>
      <c r="Q69" s="467">
        <f t="shared" si="22"/>
        <v>0</v>
      </c>
      <c r="R69" s="511">
        <f t="shared" si="20"/>
        <v>0</v>
      </c>
      <c r="S69" s="512">
        <f t="shared" si="21"/>
        <v>0</v>
      </c>
      <c r="T69" s="513">
        <f t="shared" si="23"/>
        <v>0</v>
      </c>
      <c r="U69" s="514">
        <f t="shared" si="24"/>
        <v>0</v>
      </c>
      <c r="V69" s="515">
        <f t="shared" si="29"/>
      </c>
      <c r="W69" s="516">
        <f t="shared" si="25"/>
        <v>0</v>
      </c>
      <c r="X69" s="517">
        <f t="shared" si="26"/>
        <v>0</v>
      </c>
      <c r="Y69" s="518">
        <f t="shared" si="27"/>
      </c>
      <c r="Z69" s="319"/>
      <c r="AA69" s="496">
        <f t="shared" si="28"/>
        <v>0</v>
      </c>
      <c r="AB69" s="497" t="s">
        <v>171</v>
      </c>
      <c r="AY69" s="41"/>
      <c r="AZ69" s="41"/>
      <c r="BA69" s="41"/>
      <c r="BB69" s="41"/>
    </row>
    <row r="70" spans="14:54" ht="30" customHeight="1" thickBot="1">
      <c r="N70" s="171"/>
      <c r="O70" s="640" t="s">
        <v>22</v>
      </c>
      <c r="P70" s="641"/>
      <c r="Q70" s="453">
        <f>SUM(Q60:Q69)</f>
        <v>0</v>
      </c>
      <c r="R70" s="453">
        <f>SUM(R60:R69)</f>
        <v>0</v>
      </c>
      <c r="S70" s="519">
        <f>SUM(S60:S69)</f>
        <v>0</v>
      </c>
      <c r="T70" s="520">
        <f>SUM(T60:T69)</f>
        <v>0</v>
      </c>
      <c r="U70" s="320"/>
      <c r="V70" s="521"/>
      <c r="W70" s="522"/>
      <c r="X70" s="523">
        <f>SUM(X60:X69)</f>
        <v>0</v>
      </c>
      <c r="Y70" s="524"/>
      <c r="Z70" s="321">
        <f>SUM(Z60:Z69)</f>
        <v>0</v>
      </c>
      <c r="AA70" s="498">
        <f>SUM(AA60:AA69)</f>
        <v>0</v>
      </c>
      <c r="AB70" s="499"/>
      <c r="AY70" s="41"/>
      <c r="AZ70" s="41"/>
      <c r="BA70" s="41"/>
      <c r="BB70" s="41"/>
    </row>
    <row r="71" spans="17:63" ht="30" customHeight="1">
      <c r="Q71" s="4">
        <f>MIN(Q70,補助上限額,'基本情報入力（使い方）'!E39)</f>
        <v>0</v>
      </c>
      <c r="R71" s="636" t="s">
        <v>211</v>
      </c>
      <c r="S71" s="628" t="s">
        <v>212</v>
      </c>
      <c r="T71" s="323"/>
      <c r="U71" s="324"/>
      <c r="V71" s="324"/>
      <c r="W71" s="324"/>
      <c r="X71" s="324"/>
      <c r="Y71" s="636" t="s">
        <v>211</v>
      </c>
      <c r="Z71" s="628" t="s">
        <v>212</v>
      </c>
      <c r="AA71" s="628" t="s">
        <v>212</v>
      </c>
      <c r="AB71" s="322"/>
      <c r="AY71" s="41"/>
      <c r="AZ71" s="41"/>
      <c r="BA71" s="41"/>
      <c r="BB71" s="41"/>
      <c r="BC71" s="35"/>
      <c r="BD71" s="35"/>
      <c r="BE71" s="35"/>
      <c r="BF71" s="35"/>
      <c r="BG71" s="35"/>
      <c r="BH71" s="35"/>
      <c r="BI71" s="35"/>
      <c r="BJ71" s="35"/>
      <c r="BK71" s="35"/>
    </row>
    <row r="72" spans="17:63" ht="30" customHeight="1" thickBot="1">
      <c r="Q72" s="325"/>
      <c r="R72" s="637"/>
      <c r="S72" s="628"/>
      <c r="T72" s="326"/>
      <c r="U72" s="327"/>
      <c r="V72" s="328"/>
      <c r="W72" s="329"/>
      <c r="X72" s="329"/>
      <c r="Y72" s="645"/>
      <c r="Z72" s="629"/>
      <c r="AA72" s="629"/>
      <c r="AB72" s="324"/>
      <c r="AY72" s="41"/>
      <c r="AZ72" s="41"/>
      <c r="BA72" s="41"/>
      <c r="BB72" s="41"/>
      <c r="BC72" s="34"/>
      <c r="BD72" s="35"/>
      <c r="BE72" s="34"/>
      <c r="BF72" s="35"/>
      <c r="BG72" s="34"/>
      <c r="BH72" s="35"/>
      <c r="BI72" s="34"/>
      <c r="BJ72" s="34"/>
      <c r="BK72" s="34"/>
    </row>
    <row r="73" spans="17:63" ht="37.5" customHeight="1" thickTop="1">
      <c r="Q73" s="721"/>
      <c r="R73" s="722"/>
      <c r="S73" s="531" t="s">
        <v>229</v>
      </c>
      <c r="T73" s="532" t="s">
        <v>213</v>
      </c>
      <c r="U73" s="533">
        <f>T70</f>
        <v>0</v>
      </c>
      <c r="V73" s="330" t="s">
        <v>230</v>
      </c>
      <c r="W73" s="329"/>
      <c r="X73" s="329"/>
      <c r="Y73" s="331"/>
      <c r="Z73" s="332" t="s">
        <v>214</v>
      </c>
      <c r="AA73" s="333" t="s">
        <v>231</v>
      </c>
      <c r="AB73" s="334"/>
      <c r="AY73" s="41"/>
      <c r="AZ73" s="41"/>
      <c r="BA73" s="41"/>
      <c r="BB73" s="41"/>
      <c r="BC73" s="34"/>
      <c r="BD73" s="35"/>
      <c r="BE73" s="34"/>
      <c r="BF73" s="35"/>
      <c r="BG73" s="34"/>
      <c r="BH73" s="35"/>
      <c r="BI73" s="34"/>
      <c r="BJ73" s="34"/>
      <c r="BK73" s="34"/>
    </row>
    <row r="74" spans="17:63" ht="30" customHeight="1">
      <c r="Q74" s="723" t="s">
        <v>215</v>
      </c>
      <c r="R74" s="724"/>
      <c r="S74" s="534">
        <f>S60</f>
        <v>0</v>
      </c>
      <c r="T74" s="535" t="s">
        <v>216</v>
      </c>
      <c r="U74" s="327">
        <f>SUMIF($V$60:$V$69,"○",$U$60:$U$69)</f>
        <v>0</v>
      </c>
      <c r="V74" s="328" t="s">
        <v>232</v>
      </c>
      <c r="W74" s="329" t="s">
        <v>217</v>
      </c>
      <c r="X74" s="329"/>
      <c r="Y74" s="525" t="s">
        <v>218</v>
      </c>
      <c r="Z74" s="526">
        <f>SUM(Z60:Z61)</f>
        <v>0</v>
      </c>
      <c r="AA74" s="527">
        <f>SUM(AA60:AA61)</f>
        <v>0</v>
      </c>
      <c r="AB74" s="335"/>
      <c r="AY74" s="41"/>
      <c r="AZ74" s="41"/>
      <c r="BA74" s="41"/>
      <c r="BB74" s="41"/>
      <c r="BC74" s="34"/>
      <c r="BD74" s="35"/>
      <c r="BE74" s="34"/>
      <c r="BF74" s="35"/>
      <c r="BG74" s="34"/>
      <c r="BH74" s="35"/>
      <c r="BI74" s="34"/>
      <c r="BJ74" s="34"/>
      <c r="BK74" s="34"/>
    </row>
    <row r="75" spans="17:63" ht="30" customHeight="1">
      <c r="Q75" s="723" t="s">
        <v>219</v>
      </c>
      <c r="R75" s="724"/>
      <c r="S75" s="534">
        <f>S61</f>
        <v>0</v>
      </c>
      <c r="T75" s="536" t="s">
        <v>220</v>
      </c>
      <c r="U75" s="327">
        <f>MIN(U73,U74)</f>
        <v>0</v>
      </c>
      <c r="V75" s="328" t="s">
        <v>221</v>
      </c>
      <c r="W75" s="329"/>
      <c r="X75" s="329"/>
      <c r="Y75" s="525" t="s">
        <v>222</v>
      </c>
      <c r="Z75" s="526">
        <f>Z70-Z74</f>
        <v>0</v>
      </c>
      <c r="AA75" s="527">
        <f>AA70-AA74</f>
        <v>0</v>
      </c>
      <c r="AB75" s="599">
        <f>IF(AU31="×","←機械装置費以外の補助金の合計が500万円を超えています。修正して下さい。","")</f>
      </c>
      <c r="AC75" s="600"/>
      <c r="AY75" s="41"/>
      <c r="AZ75" s="41"/>
      <c r="BA75" s="41"/>
      <c r="BB75" s="41"/>
      <c r="BC75" s="34"/>
      <c r="BD75" s="35"/>
      <c r="BE75" s="34"/>
      <c r="BF75" s="35"/>
      <c r="BG75" s="34"/>
      <c r="BH75" s="35"/>
      <c r="BI75" s="34"/>
      <c r="BJ75" s="34"/>
      <c r="BK75" s="34"/>
    </row>
    <row r="76" spans="17:54" ht="30" customHeight="1" thickBot="1">
      <c r="Q76" s="723" t="s">
        <v>222</v>
      </c>
      <c r="R76" s="724"/>
      <c r="S76" s="534">
        <f>S70-(S74+S75)</f>
        <v>0</v>
      </c>
      <c r="T76" s="326"/>
      <c r="U76" s="327"/>
      <c r="V76" s="337"/>
      <c r="W76" s="338"/>
      <c r="X76" s="338"/>
      <c r="Y76" s="528" t="s">
        <v>22</v>
      </c>
      <c r="Z76" s="529">
        <f>SUM(Z74:Z75)</f>
        <v>0</v>
      </c>
      <c r="AA76" s="530">
        <f>SUM(AA74:AA75)</f>
        <v>0</v>
      </c>
      <c r="AB76" s="601">
        <f>IF(Z76&gt;S87,"←流用可能額を超えています。修正して下さい。","")</f>
      </c>
      <c r="AC76" s="602"/>
      <c r="AX76" s="71"/>
      <c r="AY76" s="41"/>
      <c r="AZ76" s="41"/>
      <c r="BA76" s="41"/>
      <c r="BB76" s="41"/>
    </row>
    <row r="77" spans="17:63" ht="30" customHeight="1" thickBot="1" thickTop="1">
      <c r="Q77" s="740" t="s">
        <v>22</v>
      </c>
      <c r="R77" s="741"/>
      <c r="S77" s="537">
        <f>SUM(S74:S76)</f>
        <v>0</v>
      </c>
      <c r="T77" s="339" t="s">
        <v>223</v>
      </c>
      <c r="U77" s="327">
        <f>R70-S70</f>
        <v>0</v>
      </c>
      <c r="V77" s="328" t="s">
        <v>233</v>
      </c>
      <c r="W77" s="329" t="s">
        <v>234</v>
      </c>
      <c r="X77" s="340"/>
      <c r="Y77" s="341"/>
      <c r="Z77" s="171"/>
      <c r="AA77" s="171"/>
      <c r="AB77" s="171"/>
      <c r="AP77" s="71"/>
      <c r="AQ77" s="71"/>
      <c r="AR77" s="71"/>
      <c r="AS77" s="71"/>
      <c r="AT77" s="71"/>
      <c r="AU77" s="71"/>
      <c r="AV77" s="71"/>
      <c r="AW77" s="71"/>
      <c r="AX77" s="35"/>
      <c r="AY77" s="41"/>
      <c r="AZ77" s="41"/>
      <c r="BA77" s="41"/>
      <c r="BB77" s="41"/>
      <c r="BC77" s="71"/>
      <c r="BD77" s="35"/>
      <c r="BE77" s="71"/>
      <c r="BF77" s="35"/>
      <c r="BG77" s="71"/>
      <c r="BH77" s="35"/>
      <c r="BI77" s="71"/>
      <c r="BJ77" s="71"/>
      <c r="BK77" s="71"/>
    </row>
    <row r="78" spans="17:56" ht="30" customHeight="1">
      <c r="Q78" s="336"/>
      <c r="R78" s="336"/>
      <c r="S78" s="538"/>
      <c r="T78" s="326"/>
      <c r="U78" s="327"/>
      <c r="V78" s="328"/>
      <c r="W78" s="329"/>
      <c r="X78" s="324"/>
      <c r="Y78" s="324"/>
      <c r="Z78" s="171"/>
      <c r="AA78" s="171"/>
      <c r="AB78" s="171"/>
      <c r="AP78" s="34"/>
      <c r="AQ78" s="34"/>
      <c r="AR78" s="34"/>
      <c r="AS78" s="34"/>
      <c r="AT78" s="34"/>
      <c r="AU78" s="34"/>
      <c r="AV78" s="34"/>
      <c r="AW78" s="34"/>
      <c r="AX78" s="35"/>
      <c r="AY78" s="41"/>
      <c r="AZ78" s="41"/>
      <c r="BA78" s="41"/>
      <c r="BB78" s="41"/>
      <c r="BC78" s="41"/>
      <c r="BD78" s="41"/>
    </row>
    <row r="79" spans="17:54" ht="30" customHeight="1">
      <c r="Q79" s="171"/>
      <c r="R79" s="336"/>
      <c r="S79" s="538"/>
      <c r="T79" s="339" t="s">
        <v>224</v>
      </c>
      <c r="U79" s="327">
        <f>SUM(X60:X69)</f>
        <v>0</v>
      </c>
      <c r="V79" s="328" t="s">
        <v>225</v>
      </c>
      <c r="W79" s="329" t="s">
        <v>226</v>
      </c>
      <c r="X79" s="324"/>
      <c r="Y79" s="324"/>
      <c r="Z79" s="171"/>
      <c r="AA79" s="171"/>
      <c r="AB79" s="171"/>
      <c r="AP79" s="34"/>
      <c r="AQ79" s="34"/>
      <c r="AR79" s="34"/>
      <c r="AS79" s="34"/>
      <c r="AT79" s="34"/>
      <c r="AU79" s="34"/>
      <c r="AV79" s="34"/>
      <c r="AW79" s="34"/>
      <c r="AX79" s="35"/>
      <c r="AY79" s="41"/>
      <c r="AZ79" s="41"/>
      <c r="BA79" s="41"/>
      <c r="BB79" s="41"/>
    </row>
    <row r="80" spans="17:54" ht="30" customHeight="1">
      <c r="Q80" s="171"/>
      <c r="R80" s="171"/>
      <c r="S80" s="171"/>
      <c r="T80" s="326"/>
      <c r="U80" s="327"/>
      <c r="V80" s="328"/>
      <c r="W80" s="329"/>
      <c r="X80" s="324"/>
      <c r="Y80" s="324"/>
      <c r="Z80" s="171"/>
      <c r="AA80" s="171"/>
      <c r="AB80" s="171"/>
      <c r="AP80" s="34"/>
      <c r="AQ80" s="34"/>
      <c r="AR80" s="34"/>
      <c r="AS80" s="34"/>
      <c r="AT80" s="34"/>
      <c r="AU80" s="34"/>
      <c r="AV80" s="34"/>
      <c r="AW80" s="34"/>
      <c r="AX80" s="35"/>
      <c r="AY80" s="41"/>
      <c r="AZ80" s="41"/>
      <c r="BA80" s="41"/>
      <c r="BB80" s="41"/>
    </row>
    <row r="81" spans="17:54" ht="30" customHeight="1">
      <c r="Q81" s="171"/>
      <c r="R81" s="171"/>
      <c r="S81" s="171"/>
      <c r="T81" s="342"/>
      <c r="U81" s="327"/>
      <c r="V81" s="328"/>
      <c r="W81" s="329"/>
      <c r="X81" s="324"/>
      <c r="Y81" s="324"/>
      <c r="Z81" s="171"/>
      <c r="AA81" s="171"/>
      <c r="AB81" s="171"/>
      <c r="AP81" s="34"/>
      <c r="AQ81" s="34"/>
      <c r="AR81" s="34"/>
      <c r="AS81" s="34"/>
      <c r="AT81" s="34"/>
      <c r="AU81" s="34"/>
      <c r="AV81" s="34"/>
      <c r="AW81" s="34"/>
      <c r="AY81" s="41"/>
      <c r="AZ81" s="41"/>
      <c r="BA81" s="41"/>
      <c r="BB81" s="41"/>
    </row>
    <row r="82" spans="17:63" ht="30" customHeight="1" thickBot="1">
      <c r="Q82" s="171"/>
      <c r="R82" s="171"/>
      <c r="S82" s="171"/>
      <c r="T82" s="326"/>
      <c r="U82" s="343"/>
      <c r="V82" s="344"/>
      <c r="W82" s="345"/>
      <c r="X82" s="324"/>
      <c r="Y82" s="324"/>
      <c r="Z82" s="171"/>
      <c r="AA82" s="171"/>
      <c r="AB82" s="171"/>
      <c r="AX82" s="35"/>
      <c r="AY82" s="41"/>
      <c r="AZ82" s="41"/>
      <c r="BA82" s="41"/>
      <c r="BB82" s="41"/>
      <c r="BC82" s="41"/>
      <c r="BD82" s="41"/>
      <c r="BE82" s="41"/>
      <c r="BF82" s="41"/>
      <c r="BG82" s="41"/>
      <c r="BH82" s="41"/>
      <c r="BI82" s="45"/>
      <c r="BJ82" s="45"/>
      <c r="BK82" s="45"/>
    </row>
    <row r="83" spans="16:63" ht="30" customHeight="1" thickBot="1" thickTop="1">
      <c r="P83" s="346" t="s">
        <v>227</v>
      </c>
      <c r="Q83" s="742"/>
      <c r="R83" s="743"/>
      <c r="S83" s="433" t="str">
        <f>事業類型</f>
        <v>革新的サービス</v>
      </c>
      <c r="T83" s="326"/>
      <c r="U83" s="746" t="s">
        <v>258</v>
      </c>
      <c r="V83" s="747"/>
      <c r="W83" s="747"/>
      <c r="X83" s="748"/>
      <c r="Y83" s="324"/>
      <c r="Z83" s="171"/>
      <c r="AA83" s="171"/>
      <c r="AB83" s="171"/>
      <c r="AP83" s="35"/>
      <c r="AQ83" s="35"/>
      <c r="AR83" s="71"/>
      <c r="AS83" s="35"/>
      <c r="AT83" s="35"/>
      <c r="AU83" s="71"/>
      <c r="AV83" s="35"/>
      <c r="AW83" s="35"/>
      <c r="AX83" s="41"/>
      <c r="AY83" s="41"/>
      <c r="AZ83" s="41"/>
      <c r="BA83" s="41"/>
      <c r="BB83" s="41"/>
      <c r="BC83" s="41"/>
      <c r="BD83" s="41"/>
      <c r="BE83" s="41"/>
      <c r="BF83" s="41"/>
      <c r="BG83" s="41"/>
      <c r="BH83" s="41"/>
      <c r="BI83" s="45"/>
      <c r="BJ83" s="45"/>
      <c r="BK83" s="45"/>
    </row>
    <row r="84" spans="16:63" ht="30" customHeight="1" thickBot="1">
      <c r="P84" s="348"/>
      <c r="Q84" s="710" t="s">
        <v>215</v>
      </c>
      <c r="R84" s="711"/>
      <c r="S84" s="539">
        <f>IF(V60="○",MIN(MIN($U$75,$U$77,$U$79),X60),0)</f>
        <v>0</v>
      </c>
      <c r="T84" s="734" t="s">
        <v>235</v>
      </c>
      <c r="U84" s="749"/>
      <c r="V84" s="750"/>
      <c r="W84" s="750"/>
      <c r="X84" s="751"/>
      <c r="Z84" s="347"/>
      <c r="AA84" s="347"/>
      <c r="AB84" s="171"/>
      <c r="AP84" s="41"/>
      <c r="AQ84" s="41"/>
      <c r="AR84" s="41"/>
      <c r="AS84" s="41"/>
      <c r="AT84" s="41"/>
      <c r="AU84" s="41"/>
      <c r="AV84" s="41"/>
      <c r="AW84" s="41"/>
      <c r="AY84" s="41"/>
      <c r="BC84" s="41"/>
      <c r="BD84" s="41"/>
      <c r="BE84" s="41"/>
      <c r="BF84" s="41"/>
      <c r="BG84" s="41"/>
      <c r="BH84" s="41"/>
      <c r="BI84" s="45"/>
      <c r="BJ84" s="45"/>
      <c r="BK84" s="45"/>
    </row>
    <row r="85" spans="16:60" ht="30" customHeight="1" thickBot="1">
      <c r="P85" s="349"/>
      <c r="Q85" s="710" t="s">
        <v>219</v>
      </c>
      <c r="R85" s="711"/>
      <c r="S85" s="540">
        <f>IF(V60="○",MIN(MIN(U75,U77,U79)-S84,X60),0)</f>
        <v>0</v>
      </c>
      <c r="T85" s="734"/>
      <c r="U85" s="749"/>
      <c r="V85" s="750"/>
      <c r="W85" s="750"/>
      <c r="X85" s="751"/>
      <c r="Z85" s="347"/>
      <c r="AA85" s="347"/>
      <c r="AB85" s="171"/>
      <c r="AY85" s="41"/>
      <c r="BC85" s="41"/>
      <c r="BD85" s="41"/>
      <c r="BE85" s="41"/>
      <c r="BF85" s="41"/>
      <c r="BG85" s="41"/>
      <c r="BH85" s="41"/>
    </row>
    <row r="86" spans="16:58" ht="30" customHeight="1" thickBot="1">
      <c r="P86" s="171"/>
      <c r="Q86" s="728" t="s">
        <v>222</v>
      </c>
      <c r="R86" s="729"/>
      <c r="S86" s="388">
        <f>MIN(MIN(U75,U77,U79)-SUM(S84:S85),5000000-S76)</f>
        <v>0</v>
      </c>
      <c r="U86" s="752"/>
      <c r="V86" s="753"/>
      <c r="W86" s="753"/>
      <c r="X86" s="754"/>
      <c r="Z86" s="347"/>
      <c r="AA86" s="347"/>
      <c r="AB86" s="171"/>
      <c r="AY86" s="41"/>
      <c r="AZ86" s="41"/>
      <c r="BA86" s="41"/>
      <c r="BB86" s="41"/>
      <c r="BC86" s="41"/>
      <c r="BD86" s="41"/>
      <c r="BE86" s="41"/>
      <c r="BF86" s="41"/>
    </row>
    <row r="87" spans="16:58" ht="30" customHeight="1" thickBot="1">
      <c r="P87" s="171"/>
      <c r="Q87" s="719" t="s">
        <v>22</v>
      </c>
      <c r="R87" s="720"/>
      <c r="S87" s="541">
        <f>SUM(S84:S86)</f>
        <v>0</v>
      </c>
      <c r="U87" s="25"/>
      <c r="Z87" s="347"/>
      <c r="AA87" s="347"/>
      <c r="AB87" s="171"/>
      <c r="AX87" s="41"/>
      <c r="BC87" s="41"/>
      <c r="BD87" s="41"/>
      <c r="BE87" s="41"/>
      <c r="BF87" s="41"/>
    </row>
    <row r="88" spans="21:58" ht="30" customHeight="1" thickTop="1">
      <c r="U88" s="350"/>
      <c r="V88" s="339"/>
      <c r="W88" s="336"/>
      <c r="X88" s="336"/>
      <c r="Y88" s="246"/>
      <c r="Z88" s="171"/>
      <c r="AA88" s="171"/>
      <c r="AB88" s="171"/>
      <c r="AP88" s="41"/>
      <c r="AQ88" s="41"/>
      <c r="AR88" s="41"/>
      <c r="AS88" s="41"/>
      <c r="AT88" s="41"/>
      <c r="AU88" s="41"/>
      <c r="AV88" s="41"/>
      <c r="AW88" s="41"/>
      <c r="AX88" s="41"/>
      <c r="BC88" s="41"/>
      <c r="BD88" s="41"/>
      <c r="BE88" s="41"/>
      <c r="BF88" s="41"/>
    </row>
    <row r="89" spans="17:58" ht="30" customHeight="1">
      <c r="Q89" s="171"/>
      <c r="R89" s="171"/>
      <c r="S89" s="171"/>
      <c r="T89" s="351"/>
      <c r="Y89" s="171"/>
      <c r="Z89" s="171"/>
      <c r="AA89" s="171"/>
      <c r="AB89" s="171"/>
      <c r="AP89" s="41"/>
      <c r="AQ89" s="41"/>
      <c r="AR89" s="41"/>
      <c r="AS89" s="41"/>
      <c r="AT89" s="41"/>
      <c r="AU89" s="41"/>
      <c r="AV89" s="41"/>
      <c r="AW89" s="41"/>
      <c r="AX89" s="41"/>
      <c r="AY89" s="41"/>
      <c r="BC89" s="41"/>
      <c r="BD89" s="41"/>
      <c r="BE89" s="41"/>
      <c r="BF89" s="41"/>
    </row>
    <row r="90" spans="20:58" ht="30" customHeight="1">
      <c r="T90" s="351"/>
      <c r="Y90" s="171"/>
      <c r="Z90" s="171"/>
      <c r="AA90" s="171"/>
      <c r="AB90" s="171"/>
      <c r="AP90" s="41"/>
      <c r="AQ90" s="41"/>
      <c r="AR90" s="41"/>
      <c r="AS90" s="41"/>
      <c r="AT90" s="41"/>
      <c r="AU90" s="41"/>
      <c r="AV90" s="41"/>
      <c r="AW90" s="41"/>
      <c r="AX90" s="41"/>
      <c r="BC90" s="41"/>
      <c r="BD90" s="41"/>
      <c r="BE90" s="41"/>
      <c r="BF90" s="41"/>
    </row>
    <row r="91" spans="20:59" ht="30" customHeight="1">
      <c r="T91" s="351"/>
      <c r="Y91" s="171"/>
      <c r="Z91" s="171"/>
      <c r="AA91" s="171"/>
      <c r="AB91" s="171"/>
      <c r="AP91" s="41"/>
      <c r="AQ91" s="41"/>
      <c r="AR91" s="41"/>
      <c r="AS91" s="41"/>
      <c r="AT91" s="41"/>
      <c r="AU91" s="41"/>
      <c r="AV91" s="41"/>
      <c r="AW91" s="41"/>
      <c r="AX91" s="41"/>
      <c r="BC91" s="41"/>
      <c r="BD91" s="41"/>
      <c r="BE91" s="41"/>
      <c r="BF91" s="41"/>
      <c r="BG91" s="41"/>
    </row>
    <row r="92" spans="20:59" ht="30" customHeight="1">
      <c r="T92" s="336"/>
      <c r="Y92" s="171"/>
      <c r="Z92" s="171"/>
      <c r="AA92" s="171"/>
      <c r="AB92" s="171"/>
      <c r="AG92" s="41"/>
      <c r="AP92" s="41"/>
      <c r="AQ92" s="41"/>
      <c r="AR92" s="41"/>
      <c r="AS92" s="41"/>
      <c r="AT92" s="41"/>
      <c r="AU92" s="41"/>
      <c r="AV92" s="41"/>
      <c r="AW92" s="41"/>
      <c r="AX92" s="41"/>
      <c r="BC92" s="41"/>
      <c r="BD92" s="41"/>
      <c r="BE92" s="41"/>
      <c r="BF92" s="41"/>
      <c r="BG92" s="41"/>
    </row>
    <row r="93" spans="20:59" ht="30" customHeight="1">
      <c r="T93" s="336"/>
      <c r="U93" s="25"/>
      <c r="V93" s="25"/>
      <c r="W93" s="284"/>
      <c r="X93" s="25"/>
      <c r="Y93" s="171"/>
      <c r="Z93" s="171"/>
      <c r="AA93" s="171"/>
      <c r="AB93" s="171"/>
      <c r="AG93" s="41"/>
      <c r="AP93" s="41"/>
      <c r="AQ93" s="41"/>
      <c r="AR93" s="41"/>
      <c r="AS93" s="41"/>
      <c r="AT93" s="41"/>
      <c r="AU93" s="41"/>
      <c r="AV93" s="41"/>
      <c r="AW93" s="41"/>
      <c r="AX93" s="41"/>
      <c r="BC93" s="41"/>
      <c r="BD93" s="41"/>
      <c r="BE93" s="41"/>
      <c r="BF93" s="41"/>
      <c r="BG93" s="41"/>
    </row>
    <row r="94" spans="20:59" ht="30" customHeight="1">
      <c r="T94" s="171"/>
      <c r="U94" s="352"/>
      <c r="V94" s="171"/>
      <c r="W94" s="284"/>
      <c r="X94" s="284"/>
      <c r="Y94" s="171"/>
      <c r="Z94" s="171"/>
      <c r="AA94" s="171"/>
      <c r="AB94" s="171"/>
      <c r="AG94" s="41"/>
      <c r="AP94" s="41"/>
      <c r="AQ94" s="41"/>
      <c r="AR94" s="41"/>
      <c r="AS94" s="41"/>
      <c r="AT94" s="41"/>
      <c r="AU94" s="41"/>
      <c r="AV94" s="41"/>
      <c r="AW94" s="41"/>
      <c r="AX94" s="41"/>
      <c r="BC94" s="41"/>
      <c r="BD94" s="41"/>
      <c r="BE94" s="41"/>
      <c r="BF94" s="41"/>
      <c r="BG94" s="41"/>
    </row>
    <row r="95" spans="17:62" ht="30" customHeight="1">
      <c r="Q95" s="171"/>
      <c r="R95" s="171"/>
      <c r="S95" s="171"/>
      <c r="T95" s="171"/>
      <c r="U95" s="171"/>
      <c r="V95" s="171"/>
      <c r="W95" s="284"/>
      <c r="X95" s="284"/>
      <c r="Y95" s="171"/>
      <c r="Z95" s="171"/>
      <c r="AA95" s="171"/>
      <c r="AB95" s="171"/>
      <c r="AG95" s="41"/>
      <c r="AP95" s="41"/>
      <c r="AQ95" s="41"/>
      <c r="AR95" s="41"/>
      <c r="AS95" s="41"/>
      <c r="AT95" s="41"/>
      <c r="AU95" s="41"/>
      <c r="AV95" s="41"/>
      <c r="AW95" s="41"/>
      <c r="AX95" s="41"/>
      <c r="BC95" s="41"/>
      <c r="BD95" s="41"/>
      <c r="BE95" s="41"/>
      <c r="BF95" s="41"/>
      <c r="BG95" s="41"/>
      <c r="BH95" s="41"/>
      <c r="BI95" s="41"/>
      <c r="BJ95" s="41"/>
    </row>
    <row r="96" spans="17:62" ht="30" customHeight="1">
      <c r="Q96" s="171"/>
      <c r="R96" s="171"/>
      <c r="S96" s="171"/>
      <c r="T96" s="171"/>
      <c r="U96" s="171"/>
      <c r="V96" s="171"/>
      <c r="W96" s="284"/>
      <c r="X96" s="284"/>
      <c r="Y96" s="171"/>
      <c r="Z96" s="171"/>
      <c r="AA96" s="171"/>
      <c r="AB96" s="171"/>
      <c r="AG96" s="41"/>
      <c r="AP96" s="41"/>
      <c r="AQ96" s="41"/>
      <c r="AR96" s="41"/>
      <c r="AS96" s="41"/>
      <c r="AT96" s="41"/>
      <c r="AU96" s="41"/>
      <c r="AV96" s="41"/>
      <c r="AW96" s="41"/>
      <c r="AX96" s="41"/>
      <c r="BC96" s="41"/>
      <c r="BD96" s="41"/>
      <c r="BE96" s="41"/>
      <c r="BF96" s="41"/>
      <c r="BG96" s="41"/>
      <c r="BH96" s="41"/>
      <c r="BI96" s="41"/>
      <c r="BJ96" s="41"/>
    </row>
    <row r="97" spans="17:62" ht="30" customHeight="1">
      <c r="Q97" s="171"/>
      <c r="R97" s="171"/>
      <c r="S97" s="171"/>
      <c r="T97" s="171"/>
      <c r="U97" s="171"/>
      <c r="V97" s="171"/>
      <c r="W97" s="284"/>
      <c r="X97" s="284"/>
      <c r="Y97" s="171"/>
      <c r="Z97" s="171"/>
      <c r="AA97" s="171"/>
      <c r="AB97" s="171"/>
      <c r="AM97" s="41"/>
      <c r="AN97" s="41"/>
      <c r="AO97" s="41"/>
      <c r="AP97" s="41"/>
      <c r="AQ97" s="41"/>
      <c r="AR97" s="41"/>
      <c r="AS97" s="41"/>
      <c r="AT97" s="41"/>
      <c r="AU97" s="41"/>
      <c r="AV97" s="41"/>
      <c r="AW97" s="41"/>
      <c r="AX97" s="41"/>
      <c r="BC97" s="41"/>
      <c r="BD97" s="41"/>
      <c r="BE97" s="41"/>
      <c r="BF97" s="41"/>
      <c r="BG97" s="41"/>
      <c r="BH97" s="41"/>
      <c r="BI97" s="41"/>
      <c r="BJ97" s="41"/>
    </row>
    <row r="98" spans="17:65" ht="30" customHeight="1">
      <c r="Q98" s="171"/>
      <c r="R98" s="171"/>
      <c r="S98" s="171"/>
      <c r="T98" s="171"/>
      <c r="U98" s="171"/>
      <c r="V98" s="171"/>
      <c r="W98" s="284"/>
      <c r="X98" s="284"/>
      <c r="Y98" s="171"/>
      <c r="Z98" s="171"/>
      <c r="AA98" s="171"/>
      <c r="AB98" s="171"/>
      <c r="AI98" s="41"/>
      <c r="AJ98" s="41"/>
      <c r="AK98" s="41"/>
      <c r="AL98" s="41"/>
      <c r="AM98" s="41"/>
      <c r="AN98" s="41"/>
      <c r="AO98" s="41"/>
      <c r="AP98" s="41"/>
      <c r="AQ98" s="41"/>
      <c r="AR98" s="41"/>
      <c r="AS98" s="41"/>
      <c r="AT98" s="41"/>
      <c r="AU98" s="41"/>
      <c r="AV98" s="41"/>
      <c r="AW98" s="41"/>
      <c r="AX98" s="41"/>
      <c r="BC98" s="41"/>
      <c r="BD98" s="41"/>
      <c r="BE98" s="41"/>
      <c r="BF98" s="41"/>
      <c r="BG98" s="41"/>
      <c r="BH98" s="41"/>
      <c r="BI98" s="41"/>
      <c r="BJ98" s="41"/>
      <c r="BK98" s="41"/>
      <c r="BL98" s="41"/>
      <c r="BM98" s="41"/>
    </row>
    <row r="99" spans="17:61" ht="30" customHeight="1">
      <c r="Q99" s="171"/>
      <c r="R99" s="171"/>
      <c r="S99" s="171"/>
      <c r="T99" s="171"/>
      <c r="U99" s="171"/>
      <c r="V99" s="171"/>
      <c r="W99" s="284"/>
      <c r="X99" s="284"/>
      <c r="Y99" s="171"/>
      <c r="Z99" s="171"/>
      <c r="AA99" s="171"/>
      <c r="AB99" s="171"/>
      <c r="AI99" s="41"/>
      <c r="AJ99" s="41"/>
      <c r="AK99" s="41"/>
      <c r="AL99" s="41"/>
      <c r="AM99" s="41"/>
      <c r="AN99" s="41"/>
      <c r="AO99" s="41"/>
      <c r="AP99" s="41"/>
      <c r="AQ99" s="41"/>
      <c r="AR99" s="41"/>
      <c r="AS99" s="41"/>
      <c r="AT99" s="41"/>
      <c r="AU99" s="41"/>
      <c r="AV99" s="41"/>
      <c r="AW99" s="41"/>
      <c r="AX99" s="41"/>
      <c r="BC99" s="41"/>
      <c r="BD99" s="41"/>
      <c r="BE99" s="41"/>
      <c r="BF99" s="41"/>
      <c r="BG99" s="41"/>
      <c r="BH99" s="41"/>
      <c r="BI99" s="41"/>
    </row>
    <row r="100" spans="17:50" ht="30" customHeight="1">
      <c r="Q100" s="171"/>
      <c r="R100" s="171"/>
      <c r="S100" s="171"/>
      <c r="T100" s="171"/>
      <c r="U100" s="171"/>
      <c r="V100" s="171"/>
      <c r="W100" s="284"/>
      <c r="X100" s="284"/>
      <c r="Y100" s="171"/>
      <c r="Z100" s="171"/>
      <c r="AA100" s="171"/>
      <c r="AB100" s="171"/>
      <c r="AG100" s="41"/>
      <c r="AI100" s="41"/>
      <c r="AJ100" s="41"/>
      <c r="AK100" s="41"/>
      <c r="AL100" s="41"/>
      <c r="AM100" s="41"/>
      <c r="AN100" s="41"/>
      <c r="AO100" s="41"/>
      <c r="AP100" s="41"/>
      <c r="AQ100" s="41"/>
      <c r="AR100" s="41"/>
      <c r="AS100" s="41"/>
      <c r="AT100" s="41"/>
      <c r="AU100" s="41"/>
      <c r="AV100" s="41"/>
      <c r="AW100" s="41"/>
      <c r="AX100" s="41"/>
    </row>
    <row r="101" spans="28:50" ht="30" customHeight="1">
      <c r="AB101" s="171"/>
      <c r="AI101" s="41"/>
      <c r="AJ101" s="41"/>
      <c r="AK101" s="41"/>
      <c r="AL101" s="41"/>
      <c r="AM101" s="41"/>
      <c r="AN101" s="41"/>
      <c r="AO101" s="41"/>
      <c r="AP101" s="41"/>
      <c r="AQ101" s="41"/>
      <c r="AR101" s="41"/>
      <c r="AS101" s="41"/>
      <c r="AT101" s="41"/>
      <c r="AU101" s="41"/>
      <c r="AV101" s="41"/>
      <c r="AW101" s="41"/>
      <c r="AX101" s="41"/>
    </row>
    <row r="102" spans="28:50" ht="30" customHeight="1">
      <c r="AB102" s="171"/>
      <c r="AI102" s="41"/>
      <c r="AJ102" s="41"/>
      <c r="AK102" s="41"/>
      <c r="AL102" s="41"/>
      <c r="AM102" s="41"/>
      <c r="AN102" s="41"/>
      <c r="AO102" s="41"/>
      <c r="AP102" s="41"/>
      <c r="AQ102" s="41"/>
      <c r="AR102" s="41"/>
      <c r="AS102" s="41"/>
      <c r="AT102" s="41"/>
      <c r="AU102" s="41"/>
      <c r="AV102" s="41"/>
      <c r="AW102" s="41"/>
      <c r="AX102" s="41"/>
    </row>
    <row r="103" spans="28:56" ht="30" customHeight="1">
      <c r="AB103" s="171"/>
      <c r="AI103" s="41"/>
      <c r="AJ103" s="41"/>
      <c r="AK103" s="41"/>
      <c r="AL103" s="41"/>
      <c r="AM103" s="41"/>
      <c r="AN103" s="41"/>
      <c r="AO103" s="41"/>
      <c r="AP103" s="41"/>
      <c r="AQ103" s="41"/>
      <c r="AR103" s="41"/>
      <c r="AS103" s="41"/>
      <c r="AT103" s="41"/>
      <c r="AU103" s="41"/>
      <c r="AV103" s="41"/>
      <c r="AW103" s="41"/>
      <c r="AX103" s="41"/>
      <c r="BC103" s="41"/>
      <c r="BD103" s="41"/>
    </row>
    <row r="104" spans="28:50" ht="30" customHeight="1">
      <c r="AB104" s="171"/>
      <c r="AG104" s="41"/>
      <c r="AI104" s="41"/>
      <c r="AJ104" s="41"/>
      <c r="AK104" s="41"/>
      <c r="AL104" s="41"/>
      <c r="AM104" s="41"/>
      <c r="AN104" s="41"/>
      <c r="AO104" s="41"/>
      <c r="AP104" s="41"/>
      <c r="AQ104" s="41"/>
      <c r="AR104" s="41"/>
      <c r="AS104" s="41"/>
      <c r="AT104" s="41"/>
      <c r="AU104" s="41"/>
      <c r="AV104" s="41"/>
      <c r="AW104" s="41"/>
      <c r="AX104" s="41"/>
    </row>
    <row r="105" spans="28:50" ht="30" customHeight="1">
      <c r="AB105" s="171"/>
      <c r="AG105" s="41"/>
      <c r="AI105" s="41"/>
      <c r="AJ105" s="41"/>
      <c r="AK105" s="41"/>
      <c r="AL105" s="41"/>
      <c r="AM105" s="41"/>
      <c r="AN105" s="41"/>
      <c r="AO105" s="41"/>
      <c r="AP105" s="41"/>
      <c r="AQ105" s="41"/>
      <c r="AR105" s="41"/>
      <c r="AS105" s="41"/>
      <c r="AT105" s="41"/>
      <c r="AU105" s="41"/>
      <c r="AV105" s="41"/>
      <c r="AW105" s="41"/>
      <c r="AX105" s="41"/>
    </row>
    <row r="106" spans="28:49" ht="30" customHeight="1">
      <c r="AB106" s="171"/>
      <c r="AG106" s="41"/>
      <c r="AI106" s="41"/>
      <c r="AJ106" s="41"/>
      <c r="AK106" s="41"/>
      <c r="AL106" s="41"/>
      <c r="AM106" s="41"/>
      <c r="AN106" s="41"/>
      <c r="AO106" s="41"/>
      <c r="AP106" s="41"/>
      <c r="AQ106" s="41"/>
      <c r="AR106" s="41"/>
      <c r="AS106" s="41"/>
      <c r="AT106" s="41"/>
      <c r="AU106" s="41"/>
      <c r="AV106" s="41"/>
      <c r="AW106" s="41"/>
    </row>
    <row r="107" spans="28:49" ht="30" customHeight="1">
      <c r="AB107" s="171"/>
      <c r="AG107" s="41"/>
      <c r="AI107" s="41"/>
      <c r="AJ107" s="41"/>
      <c r="AK107" s="41"/>
      <c r="AL107" s="41"/>
      <c r="AM107" s="41"/>
      <c r="AN107" s="41"/>
      <c r="AO107" s="41"/>
      <c r="AP107" s="41"/>
      <c r="AQ107" s="41"/>
      <c r="AR107" s="41"/>
      <c r="AS107" s="41"/>
      <c r="AT107" s="41"/>
      <c r="AU107" s="41"/>
      <c r="AV107" s="41"/>
      <c r="AW107" s="41"/>
    </row>
    <row r="108" spans="28:50" ht="30" customHeight="1">
      <c r="AB108" s="171"/>
      <c r="AG108" s="41"/>
      <c r="AI108" s="41"/>
      <c r="AJ108" s="41"/>
      <c r="AK108" s="41"/>
      <c r="AL108" s="41"/>
      <c r="AM108" s="41"/>
      <c r="AN108" s="41"/>
      <c r="AO108" s="41"/>
      <c r="AP108" s="41"/>
      <c r="AQ108" s="41"/>
      <c r="AR108" s="41"/>
      <c r="AS108" s="41"/>
      <c r="AT108" s="41"/>
      <c r="AU108" s="41"/>
      <c r="AV108" s="41"/>
      <c r="AW108" s="41"/>
      <c r="AX108" s="41"/>
    </row>
    <row r="109" spans="28:49" ht="30" customHeight="1">
      <c r="AB109" s="171"/>
      <c r="AG109" s="41"/>
      <c r="AH109" s="41"/>
      <c r="AI109" s="41"/>
      <c r="AJ109" s="41"/>
      <c r="AK109" s="41"/>
      <c r="AL109" s="41"/>
      <c r="AM109" s="41"/>
      <c r="AN109" s="41"/>
      <c r="AO109" s="41"/>
      <c r="AP109" s="41"/>
      <c r="AQ109" s="41"/>
      <c r="AR109" s="41"/>
      <c r="AS109" s="41"/>
      <c r="AT109" s="41"/>
      <c r="AU109" s="41"/>
      <c r="AV109" s="41"/>
      <c r="AW109" s="41"/>
    </row>
    <row r="110" spans="28:38" ht="30" customHeight="1">
      <c r="AB110" s="171"/>
      <c r="AG110" s="41"/>
      <c r="AH110" s="41"/>
      <c r="AI110" s="41"/>
      <c r="AJ110" s="41"/>
      <c r="AK110" s="41"/>
      <c r="AL110" s="41"/>
    </row>
    <row r="111" spans="28:34" ht="30" customHeight="1">
      <c r="AB111" s="171"/>
      <c r="AH111" s="41"/>
    </row>
    <row r="112" spans="28:34" ht="30" customHeight="1">
      <c r="AB112" s="171"/>
      <c r="AH112" s="41"/>
    </row>
    <row r="113" spans="28:34" ht="30" customHeight="1">
      <c r="AB113" s="171"/>
      <c r="AH113" s="41"/>
    </row>
    <row r="114" spans="28:34" ht="30" customHeight="1">
      <c r="AB114" s="171"/>
      <c r="AH114" s="41"/>
    </row>
    <row r="115" ht="30" customHeight="1">
      <c r="AH115" s="41"/>
    </row>
    <row r="116" ht="30" customHeight="1">
      <c r="AH116" s="41"/>
    </row>
    <row r="117" ht="30" customHeight="1">
      <c r="AH117" s="41"/>
    </row>
    <row r="118" ht="30" customHeight="1">
      <c r="AH118" s="41"/>
    </row>
    <row r="119" ht="30" customHeight="1">
      <c r="AH119" s="41"/>
    </row>
    <row r="120" ht="30" customHeight="1">
      <c r="AH120" s="41"/>
    </row>
    <row r="121" ht="30" customHeight="1">
      <c r="AH121" s="41"/>
    </row>
    <row r="122" ht="30" customHeight="1">
      <c r="R122" s="41"/>
    </row>
  </sheetData>
  <sheetProtection sheet="1" objects="1" scenarios="1"/>
  <mergeCells count="135">
    <mergeCell ref="W60:W61"/>
    <mergeCell ref="X60:X61"/>
    <mergeCell ref="Y60:Y61"/>
    <mergeCell ref="R41:R42"/>
    <mergeCell ref="S41:S42"/>
    <mergeCell ref="T41:T42"/>
    <mergeCell ref="V41:V42"/>
    <mergeCell ref="T60:T61"/>
    <mergeCell ref="U60:U61"/>
    <mergeCell ref="T58:T59"/>
    <mergeCell ref="AK48:AL48"/>
    <mergeCell ref="AB39:AB40"/>
    <mergeCell ref="AJ45:AL45"/>
    <mergeCell ref="AJ44:AL44"/>
    <mergeCell ref="AJ43:AL43"/>
    <mergeCell ref="AJ47:AL47"/>
    <mergeCell ref="AD41:AD50"/>
    <mergeCell ref="AC38:AC40"/>
    <mergeCell ref="T84:T85"/>
    <mergeCell ref="AA30:AC30"/>
    <mergeCell ref="AA31:AC31"/>
    <mergeCell ref="V58:V59"/>
    <mergeCell ref="Q77:R77"/>
    <mergeCell ref="Q83:R83"/>
    <mergeCell ref="Q76:R76"/>
    <mergeCell ref="V60:V61"/>
    <mergeCell ref="Z34:Z35"/>
    <mergeCell ref="U83:X86"/>
    <mergeCell ref="AI26:AI27"/>
    <mergeCell ref="AJ26:AL26"/>
    <mergeCell ref="Q87:R87"/>
    <mergeCell ref="Q73:R73"/>
    <mergeCell ref="Q74:R74"/>
    <mergeCell ref="Q75:R75"/>
    <mergeCell ref="AD38:AD40"/>
    <mergeCell ref="Q86:R86"/>
    <mergeCell ref="AJ46:AL46"/>
    <mergeCell ref="AB57:AB59"/>
    <mergeCell ref="U39:U40"/>
    <mergeCell ref="O33:P33"/>
    <mergeCell ref="O22:P22"/>
    <mergeCell ref="O21:P21"/>
    <mergeCell ref="O34:P34"/>
    <mergeCell ref="T38:T40"/>
    <mergeCell ref="O28:P28"/>
    <mergeCell ref="O23:P23"/>
    <mergeCell ref="O32:P32"/>
    <mergeCell ref="O31:P31"/>
    <mergeCell ref="Q85:R85"/>
    <mergeCell ref="O70:P70"/>
    <mergeCell ref="O64:P64"/>
    <mergeCell ref="O66:P66"/>
    <mergeCell ref="O67:P67"/>
    <mergeCell ref="S38:S40"/>
    <mergeCell ref="Q84:R84"/>
    <mergeCell ref="O61:P61"/>
    <mergeCell ref="O69:P69"/>
    <mergeCell ref="AI8:AI9"/>
    <mergeCell ref="V39:V40"/>
    <mergeCell ref="W39:W40"/>
    <mergeCell ref="X39:X40"/>
    <mergeCell ref="Y39:Y40"/>
    <mergeCell ref="Q38:Q40"/>
    <mergeCell ref="R38:R40"/>
    <mergeCell ref="Y15:Y16"/>
    <mergeCell ref="AA25:AC25"/>
    <mergeCell ref="AA39:AA40"/>
    <mergeCell ref="AA34:AC35"/>
    <mergeCell ref="Y22:Y23"/>
    <mergeCell ref="Z22:Z23"/>
    <mergeCell ref="F13:M14"/>
    <mergeCell ref="AA22:AC23"/>
    <mergeCell ref="O13:R14"/>
    <mergeCell ref="Y18:Y19"/>
    <mergeCell ref="Z18:Z19"/>
    <mergeCell ref="AA18:AC19"/>
    <mergeCell ref="Y20:Y21"/>
    <mergeCell ref="Y53:Y54"/>
    <mergeCell ref="Z39:Z40"/>
    <mergeCell ref="U16:U18"/>
    <mergeCell ref="R16:R18"/>
    <mergeCell ref="O25:P25"/>
    <mergeCell ref="V16:V18"/>
    <mergeCell ref="P38:P40"/>
    <mergeCell ref="O19:P19"/>
    <mergeCell ref="O20:P20"/>
    <mergeCell ref="Q41:Q42"/>
    <mergeCell ref="AA27:AC27"/>
    <mergeCell ref="AA33:AC33"/>
    <mergeCell ref="AA29:AC29"/>
    <mergeCell ref="Z20:Z21"/>
    <mergeCell ref="AA20:AC21"/>
    <mergeCell ref="AS8:AU8"/>
    <mergeCell ref="AP8:AR8"/>
    <mergeCell ref="AJ8:AL8"/>
    <mergeCell ref="AS26:AU26"/>
    <mergeCell ref="AM26:AO26"/>
    <mergeCell ref="O30:P30"/>
    <mergeCell ref="O29:P29"/>
    <mergeCell ref="O24:P24"/>
    <mergeCell ref="AP26:AR26"/>
    <mergeCell ref="AM8:AO8"/>
    <mergeCell ref="Y71:Y72"/>
    <mergeCell ref="Z30:Z31"/>
    <mergeCell ref="O27:P27"/>
    <mergeCell ref="O26:P26"/>
    <mergeCell ref="O60:P60"/>
    <mergeCell ref="Z71:Z72"/>
    <mergeCell ref="AA71:AA72"/>
    <mergeCell ref="O62:P62"/>
    <mergeCell ref="X58:X59"/>
    <mergeCell ref="Z26:Z27"/>
    <mergeCell ref="AA26:AC26"/>
    <mergeCell ref="S71:S72"/>
    <mergeCell ref="O68:P68"/>
    <mergeCell ref="O63:P63"/>
    <mergeCell ref="R71:R72"/>
    <mergeCell ref="E13:E14"/>
    <mergeCell ref="H7:M8"/>
    <mergeCell ref="E12:J12"/>
    <mergeCell ref="J15:M15"/>
    <mergeCell ref="F17:G17"/>
    <mergeCell ref="J17:K17"/>
    <mergeCell ref="F15:I15"/>
    <mergeCell ref="J16:K16"/>
    <mergeCell ref="AB75:AC75"/>
    <mergeCell ref="AB76:AC76"/>
    <mergeCell ref="A13:A18"/>
    <mergeCell ref="B13:B18"/>
    <mergeCell ref="C13:C18"/>
    <mergeCell ref="D13:D18"/>
    <mergeCell ref="E15:E18"/>
    <mergeCell ref="O65:P65"/>
    <mergeCell ref="L30:M30"/>
    <mergeCell ref="F16:G16"/>
  </mergeCells>
  <conditionalFormatting sqref="P43 AA44:AA50 AB43:AB50 T43:AA43">
    <cfRule type="expression" priority="48" dxfId="52" stopIfTrue="1">
      <formula>AND(OR($F$21="",$F$21=0),OR($J$21="",$J$21=0),$O$35="○")</formula>
    </cfRule>
  </conditionalFormatting>
  <conditionalFormatting sqref="P41 W42:W50 T41:AA41">
    <cfRule type="expression" priority="49" dxfId="52" stopIfTrue="1">
      <formula>AND(OR($F$19="",$F$19=0),OR($J$19="",$J$19=0),$O$33="○")</formula>
    </cfRule>
  </conditionalFormatting>
  <conditionalFormatting sqref="P42 X43:X50 U42 W42:AA42">
    <cfRule type="expression" priority="50" dxfId="53" stopIfTrue="1">
      <formula>AND(OR($F$20="",$F$20=0),OR($J$20="",$J$20=0),$O$34="○")</formula>
    </cfRule>
  </conditionalFormatting>
  <conditionalFormatting sqref="AA52">
    <cfRule type="expression" priority="51" dxfId="52" stopIfTrue="1">
      <formula>AND(OR(#REF!="",#REF!=0),OR(#REF!="",#REF!=0),$O$47="○")</formula>
    </cfRule>
  </conditionalFormatting>
  <conditionalFormatting sqref="P44 T44:AA44">
    <cfRule type="expression" priority="52" dxfId="52" stopIfTrue="1">
      <formula>AND(OR($F$22="",$F$22=0),OR($J$22="",$J$22=0),$O$36="○")</formula>
    </cfRule>
  </conditionalFormatting>
  <conditionalFormatting sqref="P45:P46 T45:AA45">
    <cfRule type="expression" priority="53" dxfId="52" stopIfTrue="1">
      <formula>AND(OR($F$23="",$F$23=0),OR($J$23="",$J$23=0),$O$37="○")</formula>
    </cfRule>
  </conditionalFormatting>
  <conditionalFormatting sqref="J19:M19">
    <cfRule type="expression" priority="30" dxfId="0" stopIfTrue="1">
      <formula>$P$41="×"</formula>
    </cfRule>
  </conditionalFormatting>
  <conditionalFormatting sqref="J20:M20">
    <cfRule type="expression" priority="29" dxfId="0" stopIfTrue="1">
      <formula>$P$42="×"</formula>
    </cfRule>
  </conditionalFormatting>
  <conditionalFormatting sqref="J25:M25">
    <cfRule type="expression" priority="25" dxfId="0" stopIfTrue="1">
      <formula>$P$47="×"</formula>
    </cfRule>
  </conditionalFormatting>
  <conditionalFormatting sqref="J21:M21">
    <cfRule type="expression" priority="28" dxfId="0" stopIfTrue="1">
      <formula>$P$43="×"</formula>
    </cfRule>
  </conditionalFormatting>
  <conditionalFormatting sqref="J22:M22">
    <cfRule type="expression" priority="27" dxfId="0" stopIfTrue="1">
      <formula>$P$44="×"</formula>
    </cfRule>
  </conditionalFormatting>
  <conditionalFormatting sqref="J23:M24">
    <cfRule type="expression" priority="26" dxfId="0" stopIfTrue="1">
      <formula>$P$45="×"</formula>
    </cfRule>
  </conditionalFormatting>
  <conditionalFormatting sqref="J27:M27">
    <cfRule type="expression" priority="23" dxfId="0" stopIfTrue="1">
      <formula>$P$49="×"</formula>
    </cfRule>
  </conditionalFormatting>
  <conditionalFormatting sqref="J28:M28">
    <cfRule type="expression" priority="22" dxfId="0" stopIfTrue="1">
      <formula>$P$50="×"</formula>
    </cfRule>
  </conditionalFormatting>
  <conditionalFormatting sqref="Z60 Y75:AA75 Z62:Z69">
    <cfRule type="expression" priority="43" dxfId="54" stopIfTrue="1">
      <formula>$AB$75&lt;&gt;""</formula>
    </cfRule>
  </conditionalFormatting>
  <conditionalFormatting sqref="Z60:Z69 Y73:AA76">
    <cfRule type="expression" priority="44" dxfId="54" stopIfTrue="1">
      <formula>$AB$76&lt;&gt;""</formula>
    </cfRule>
  </conditionalFormatting>
  <conditionalFormatting sqref="Z18:Z23 Z26 Z30 AD41 U41:AB41 P41:P50 U43:AB50 U42 W42:AB42">
    <cfRule type="cellIs" priority="42" dxfId="0" operator="equal" stopIfTrue="1">
      <formula>"×"</formula>
    </cfRule>
  </conditionalFormatting>
  <conditionalFormatting sqref="R51:S51">
    <cfRule type="expression" priority="250" dxfId="0" stopIfTrue="1">
      <formula>$Z$22="×"</formula>
    </cfRule>
  </conditionalFormatting>
  <conditionalFormatting sqref="F25:I25">
    <cfRule type="expression" priority="35" dxfId="0" stopIfTrue="1">
      <formula>$D$25="×"</formula>
    </cfRule>
  </conditionalFormatting>
  <conditionalFormatting sqref="F26:I26">
    <cfRule type="expression" priority="34" dxfId="0" stopIfTrue="1">
      <formula>$D$26="×"</formula>
    </cfRule>
  </conditionalFormatting>
  <conditionalFormatting sqref="F27:I27">
    <cfRule type="expression" priority="33" dxfId="0" stopIfTrue="1">
      <formula>$D$27="×"</formula>
    </cfRule>
  </conditionalFormatting>
  <conditionalFormatting sqref="F28:I28">
    <cfRule type="expression" priority="32" dxfId="0" stopIfTrue="1">
      <formula>$D$28="×"</formula>
    </cfRule>
  </conditionalFormatting>
  <conditionalFormatting sqref="F24:I24">
    <cfRule type="expression" priority="31" dxfId="0" stopIfTrue="1">
      <formula>$D$24="×"</formula>
    </cfRule>
  </conditionalFormatting>
  <conditionalFormatting sqref="J26:M26">
    <cfRule type="expression" priority="24" dxfId="0" stopIfTrue="1">
      <formula>$P$48="×"</formula>
    </cfRule>
  </conditionalFormatting>
  <conditionalFormatting sqref="Q50:S50 Q46:S46">
    <cfRule type="expression" priority="254" dxfId="52" stopIfTrue="1">
      <formula>AND(OR($F$19="",$F$19=0),OR($J$19="",経費明細表!#REF!=0),$O$33="○")</formula>
    </cfRule>
  </conditionalFormatting>
  <conditionalFormatting sqref="H29">
    <cfRule type="expression" priority="16" dxfId="0" stopIfTrue="1">
      <formula>$AU$21="×"</formula>
    </cfRule>
  </conditionalFormatting>
  <conditionalFormatting sqref="I29">
    <cfRule type="expression" priority="15" dxfId="0" stopIfTrue="1">
      <formula>$AU$22="×"</formula>
    </cfRule>
  </conditionalFormatting>
  <conditionalFormatting sqref="L29">
    <cfRule type="expression" priority="14" dxfId="0" stopIfTrue="1">
      <formula>$AU$39="×"</formula>
    </cfRule>
  </conditionalFormatting>
  <conditionalFormatting sqref="M29">
    <cfRule type="expression" priority="13" dxfId="0" stopIfTrue="1">
      <formula>$AU$40="×"</formula>
    </cfRule>
  </conditionalFormatting>
  <conditionalFormatting sqref="Q41:S41">
    <cfRule type="expression" priority="263" dxfId="52" stopIfTrue="1">
      <formula>AND(OR($F$19="",$F$19=0),OR($J$19="",$J28=0),$O$33="○")</formula>
    </cfRule>
  </conditionalFormatting>
  <conditionalFormatting sqref="P47 T47:AA47">
    <cfRule type="expression" priority="268" dxfId="52" stopIfTrue="1">
      <formula>AND(OR($F$25="",$F$25=0),OR($J$25="",$J$25=0),$O$38="○")</formula>
    </cfRule>
  </conditionalFormatting>
  <conditionalFormatting sqref="P48 X49:X50 T48:AA48">
    <cfRule type="expression" priority="270" dxfId="52" stopIfTrue="1">
      <formula>AND(OR($F$26="",$F$26=0),OR($J$26="",$J$26=0),$O$39="○")</formula>
    </cfRule>
  </conditionalFormatting>
  <conditionalFormatting sqref="P49 X50 T49:AA49">
    <cfRule type="expression" priority="273" dxfId="52" stopIfTrue="1">
      <formula>AND(OR($F$27="",$F$27=0),OR($J$27="",$J$27=0),$O$40="○")</formula>
    </cfRule>
  </conditionalFormatting>
  <conditionalFormatting sqref="T50:AA50 P41:P50">
    <cfRule type="expression" priority="276" dxfId="52" stopIfTrue="1">
      <formula>AND(OR($F$28="",$F$28=0),OR($J$28="",$J$28=0),$O$41="○")</formula>
    </cfRule>
  </conditionalFormatting>
  <conditionalFormatting sqref="P46 T46:AA46">
    <cfRule type="expression" priority="305" dxfId="52" stopIfTrue="1">
      <formula>AND(OR($F$24="",$F$24=0),OR($J$24="",$J$24=0),$O$42="○")</formula>
    </cfRule>
  </conditionalFormatting>
  <conditionalFormatting sqref="Q43:S46">
    <cfRule type="expression" priority="321" dxfId="52" stopIfTrue="1">
      <formula>AND(OR($F$19="",$F$19=0),OR($J$19="",$J29=0),$O$33="○")</formula>
    </cfRule>
  </conditionalFormatting>
  <conditionalFormatting sqref="AB41">
    <cfRule type="expression" priority="4" dxfId="52" stopIfTrue="1">
      <formula>AND(OR($F$19="",$F$19=0),OR($J$19="",$J$19=0),$O$33="○")</formula>
    </cfRule>
  </conditionalFormatting>
  <conditionalFormatting sqref="AB42">
    <cfRule type="expression" priority="5" dxfId="53" stopIfTrue="1">
      <formula>AND(OR($F$20="",$F$20=0),OR($J$20="",$J$20=0),$O$34="○")</formula>
    </cfRule>
  </conditionalFormatting>
  <conditionalFormatting sqref="AB44">
    <cfRule type="expression" priority="6" dxfId="52" stopIfTrue="1">
      <formula>AND(OR($F$22="",$F$22=0),OR($J$22="",$J$22=0),$O$36="○")</formula>
    </cfRule>
  </conditionalFormatting>
  <conditionalFormatting sqref="AB45">
    <cfRule type="expression" priority="7" dxfId="52" stopIfTrue="1">
      <formula>AND(OR($F$23="",$F$23=0),OR($J$23="",$J$23=0),$O$37="○")</formula>
    </cfRule>
  </conditionalFormatting>
  <conditionalFormatting sqref="AB47">
    <cfRule type="expression" priority="8" dxfId="52" stopIfTrue="1">
      <formula>AND(OR($F$25="",$F$25=0),OR($J$25="",$J$25=0),$O$38="○")</formula>
    </cfRule>
  </conditionalFormatting>
  <conditionalFormatting sqref="AB48">
    <cfRule type="expression" priority="9" dxfId="52" stopIfTrue="1">
      <formula>AND(OR($F$26="",$F$26=0),OR($J$26="",$J$26=0),$O$39="○")</formula>
    </cfRule>
  </conditionalFormatting>
  <conditionalFormatting sqref="AB49">
    <cfRule type="expression" priority="10" dxfId="52" stopIfTrue="1">
      <formula>AND(OR($F$27="",$F$27=0),OR($J$27="",$J$27=0),$O$40="○")</formula>
    </cfRule>
  </conditionalFormatting>
  <conditionalFormatting sqref="AB50">
    <cfRule type="expression" priority="11" dxfId="52" stopIfTrue="1">
      <formula>AND(OR($F$28="",$F$28=0),OR($J$28="",$J$28=0),$O$41="○")</formula>
    </cfRule>
  </conditionalFormatting>
  <conditionalFormatting sqref="AB46">
    <cfRule type="expression" priority="12" dxfId="52" stopIfTrue="1">
      <formula>AND(OR($F$24="",$F$24=0),OR($J$24="",$J$24=0),$O$42="○")</formula>
    </cfRule>
  </conditionalFormatting>
  <conditionalFormatting sqref="Q47:S49">
    <cfRule type="expression" priority="337" dxfId="52" stopIfTrue="1">
      <formula>AND(OR($F$19="",$F$19=0),OR($J$19="",$J32=0),$O$33="○")</formula>
    </cfRule>
  </conditionalFormatting>
  <conditionalFormatting sqref="J24:M24">
    <cfRule type="expression" priority="346" dxfId="0" stopIfTrue="1">
      <formula>$P$46="×"</formula>
    </cfRule>
  </conditionalFormatting>
  <conditionalFormatting sqref="Z34">
    <cfRule type="cellIs" priority="1" dxfId="0" operator="equal" stopIfTrue="1">
      <formula>"×"</formula>
    </cfRule>
  </conditionalFormatting>
  <dataValidations count="2">
    <dataValidation allowBlank="1" showInputMessage="1" showErrorMessage="1" imeMode="halfAlpha" sqref="L29 H29"/>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portrait" paperSize="9" scale="4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83" customWidth="1"/>
    <col min="2" max="4" width="3.7109375" style="85" customWidth="1"/>
    <col min="5" max="5" width="16.421875" style="84" customWidth="1"/>
    <col min="6" max="6" width="16.140625" style="1" customWidth="1"/>
    <col min="7" max="7" width="9.140625" style="85" customWidth="1"/>
    <col min="8" max="8" width="6.421875" style="83" customWidth="1"/>
    <col min="9" max="13" width="15.140625" style="85" customWidth="1"/>
    <col min="14" max="14" width="5.28125" style="83" customWidth="1"/>
    <col min="15" max="15" width="4.57421875" style="83" customWidth="1"/>
    <col min="16" max="16" width="15.28125" style="85" customWidth="1"/>
    <col min="17" max="17" width="15.28125" style="86" customWidth="1"/>
    <col min="18" max="18" width="15.28125" style="85" customWidth="1"/>
    <col min="19" max="16384" width="9.00390625" style="85" customWidth="1"/>
  </cols>
  <sheetData>
    <row r="1" ht="13.5"/>
    <row r="2" spans="2:4" ht="13.5">
      <c r="B2" s="783" t="s">
        <v>126</v>
      </c>
      <c r="C2" s="783"/>
      <c r="D2" s="783"/>
    </row>
    <row r="3" ht="13.5"/>
    <row r="4" spans="1:6" ht="13.5" customHeight="1">
      <c r="A4" s="784" t="s">
        <v>288</v>
      </c>
      <c r="B4" s="784"/>
      <c r="C4" s="784"/>
      <c r="D4" s="784"/>
      <c r="E4" s="784"/>
      <c r="F4" s="83"/>
    </row>
    <row r="5" spans="1:6" ht="13.5" customHeight="1">
      <c r="A5" s="87"/>
      <c r="B5" s="87"/>
      <c r="C5" s="87"/>
      <c r="D5" s="87"/>
      <c r="E5" s="88"/>
      <c r="F5" s="83"/>
    </row>
    <row r="6" spans="1:8" ht="13.5" customHeight="1">
      <c r="A6" s="87"/>
      <c r="B6" s="89" t="s">
        <v>110</v>
      </c>
      <c r="C6" s="90"/>
      <c r="D6" s="91"/>
      <c r="E6" s="92"/>
      <c r="F6" s="597" t="s">
        <v>14</v>
      </c>
      <c r="G6" s="780"/>
      <c r="H6" s="598"/>
    </row>
    <row r="7" spans="1:8" ht="13.5" customHeight="1">
      <c r="A7" s="87"/>
      <c r="B7" s="87"/>
      <c r="C7" s="87"/>
      <c r="D7" s="87"/>
      <c r="E7" s="88"/>
      <c r="F7" s="789" t="s">
        <v>73</v>
      </c>
      <c r="G7" s="790"/>
      <c r="H7" s="791"/>
    </row>
    <row r="8" spans="1:14" ht="13.5" customHeight="1">
      <c r="A8" s="87"/>
      <c r="B8" s="91"/>
      <c r="C8" s="91"/>
      <c r="D8" s="91"/>
      <c r="E8" s="92"/>
      <c r="F8" s="132"/>
      <c r="M8" s="395" t="s">
        <v>294</v>
      </c>
      <c r="N8" s="93"/>
    </row>
    <row r="9" spans="1:12" ht="13.5" customHeight="1">
      <c r="A9" s="87"/>
      <c r="B9" s="130"/>
      <c r="C9" s="130"/>
      <c r="D9" s="130"/>
      <c r="E9" s="133"/>
      <c r="F9" s="132"/>
      <c r="I9" s="94" t="s">
        <v>28</v>
      </c>
      <c r="J9" s="1">
        <f>IF('基本情報入力（使い方）'!$C$12="","",'基本情報入力（使い方）'!$C$12)</f>
      </c>
      <c r="K9" s="94"/>
      <c r="L9" s="1"/>
    </row>
    <row r="10" spans="1:14" ht="13.5" customHeight="1" thickBot="1">
      <c r="A10" s="87"/>
      <c r="B10" s="130"/>
      <c r="C10" s="130"/>
      <c r="D10" s="130"/>
      <c r="E10" s="133"/>
      <c r="F10" s="132"/>
      <c r="M10" s="94"/>
      <c r="N10" s="94"/>
    </row>
    <row r="11" spans="1:18" ht="27" customHeight="1">
      <c r="A11" s="785" t="s">
        <v>1</v>
      </c>
      <c r="B11" s="787" t="s">
        <v>2</v>
      </c>
      <c r="C11" s="787"/>
      <c r="D11" s="788"/>
      <c r="E11" s="401" t="s">
        <v>3</v>
      </c>
      <c r="F11" s="402" t="s">
        <v>4</v>
      </c>
      <c r="G11" s="95" t="s">
        <v>5</v>
      </c>
      <c r="H11" s="96" t="s">
        <v>6</v>
      </c>
      <c r="I11" s="95" t="s">
        <v>0</v>
      </c>
      <c r="J11" s="95" t="s">
        <v>0</v>
      </c>
      <c r="K11" s="794" t="s">
        <v>7</v>
      </c>
      <c r="L11" s="795"/>
      <c r="M11" s="227" t="s">
        <v>139</v>
      </c>
      <c r="N11" s="781" t="s">
        <v>34</v>
      </c>
      <c r="P11" s="168" t="str">
        <f>"補助対象経費の"&amp;補助名</f>
        <v>補助対象経費の２／３</v>
      </c>
      <c r="Q11" s="801" t="s">
        <v>249</v>
      </c>
      <c r="R11" s="802"/>
    </row>
    <row r="12" spans="1:18" ht="42" customHeight="1" thickBot="1">
      <c r="A12" s="786"/>
      <c r="B12" s="97" t="s">
        <v>8</v>
      </c>
      <c r="C12" s="97" t="s">
        <v>9</v>
      </c>
      <c r="D12" s="98" t="s">
        <v>10</v>
      </c>
      <c r="E12" s="99"/>
      <c r="F12" s="100"/>
      <c r="G12" s="101"/>
      <c r="H12" s="102"/>
      <c r="I12" s="101" t="s">
        <v>11</v>
      </c>
      <c r="J12" s="101" t="s">
        <v>21</v>
      </c>
      <c r="K12" s="103" t="s">
        <v>12</v>
      </c>
      <c r="L12" s="102" t="s">
        <v>19</v>
      </c>
      <c r="M12" s="173" t="s">
        <v>295</v>
      </c>
      <c r="N12" s="782"/>
      <c r="P12" s="169" t="s">
        <v>132</v>
      </c>
      <c r="Q12" s="360" t="s">
        <v>250</v>
      </c>
      <c r="R12" s="361" t="s">
        <v>251</v>
      </c>
    </row>
    <row r="13" spans="1:18" ht="61.5" customHeight="1">
      <c r="A13" s="135">
        <v>1</v>
      </c>
      <c r="B13" s="792"/>
      <c r="C13" s="793"/>
      <c r="D13" s="793"/>
      <c r="E13" s="138"/>
      <c r="F13" s="138"/>
      <c r="G13" s="153"/>
      <c r="H13" s="154"/>
      <c r="I13" s="15">
        <f aca="true" t="shared" si="0" ref="I13:I22">IF(J13="","",ROUNDDOWN(J13*(1+N13/100),0))</f>
      </c>
      <c r="J13" s="148"/>
      <c r="K13" s="15">
        <f aca="true" t="shared" si="1" ref="K13:K22">IF(L13="","",ROUNDDOWN(L13*(1+N13/100),0))</f>
      </c>
      <c r="L13" s="15">
        <f>IF(OR(J13="",G13=""),"",ROUNDDOWN(J13*G13,0))</f>
      </c>
      <c r="M13" s="16">
        <f>L13</f>
      </c>
      <c r="N13" s="150">
        <v>8</v>
      </c>
      <c r="O13" s="85"/>
      <c r="P13" s="183">
        <f aca="true" t="shared" si="2" ref="P13:P22">IF(M13="","",ROUNDDOWN(M13/G13*補助率,0)*G13)</f>
      </c>
      <c r="Q13" s="362">
        <f>IF(M13="","",ROUNDDOWN((P13/$P$23*$P$26),0))</f>
      </c>
      <c r="R13" s="363">
        <f>IF(ISERROR(Q13+P27),"",Q13+P27)</f>
      </c>
    </row>
    <row r="14" spans="1:18" ht="61.5" customHeight="1">
      <c r="A14" s="136">
        <v>2</v>
      </c>
      <c r="B14" s="792"/>
      <c r="C14" s="793"/>
      <c r="D14" s="793"/>
      <c r="E14" s="143"/>
      <c r="F14" s="143"/>
      <c r="G14" s="142"/>
      <c r="H14" s="155"/>
      <c r="I14" s="15">
        <f t="shared" si="0"/>
      </c>
      <c r="J14" s="148"/>
      <c r="K14" s="15">
        <f t="shared" si="1"/>
      </c>
      <c r="L14" s="15">
        <f aca="true" t="shared" si="3" ref="L14:L22">IF(OR(J14="",G14=""),"",ROUNDDOWN(J14*G14,0))</f>
      </c>
      <c r="M14" s="16">
        <f aca="true" t="shared" si="4" ref="M14:M22">L14</f>
      </c>
      <c r="N14" s="150">
        <v>8</v>
      </c>
      <c r="P14" s="21">
        <f t="shared" si="2"/>
      </c>
      <c r="Q14" s="362">
        <f aca="true" t="shared" si="5" ref="Q14:Q22">IF(M14="","",ROUNDDOWN((P14/$P$23*$P$26),0))</f>
      </c>
      <c r="R14" s="364">
        <f aca="true" t="shared" si="6" ref="R14:R22">Q14</f>
      </c>
    </row>
    <row r="15" spans="1:18" ht="61.5" customHeight="1">
      <c r="A15" s="135">
        <v>3</v>
      </c>
      <c r="B15" s="798"/>
      <c r="C15" s="799"/>
      <c r="D15" s="800"/>
      <c r="E15" s="562"/>
      <c r="F15" s="562"/>
      <c r="G15" s="560"/>
      <c r="H15" s="563"/>
      <c r="I15" s="15">
        <f t="shared" si="0"/>
      </c>
      <c r="J15" s="564"/>
      <c r="K15" s="15">
        <f t="shared" si="1"/>
      </c>
      <c r="L15" s="15">
        <f t="shared" si="3"/>
      </c>
      <c r="M15" s="16">
        <f t="shared" si="4"/>
      </c>
      <c r="N15" s="150">
        <v>8</v>
      </c>
      <c r="O15" s="86"/>
      <c r="P15" s="21">
        <f t="shared" si="2"/>
      </c>
      <c r="Q15" s="362">
        <f t="shared" si="5"/>
      </c>
      <c r="R15" s="364">
        <f t="shared" si="6"/>
      </c>
    </row>
    <row r="16" spans="1:18" s="105" customFormat="1" ht="61.5" customHeight="1">
      <c r="A16" s="136">
        <v>4</v>
      </c>
      <c r="B16" s="798"/>
      <c r="C16" s="799"/>
      <c r="D16" s="800"/>
      <c r="E16" s="562"/>
      <c r="F16" s="562"/>
      <c r="G16" s="560"/>
      <c r="H16" s="563"/>
      <c r="I16" s="15">
        <f t="shared" si="0"/>
      </c>
      <c r="J16" s="564"/>
      <c r="K16" s="15">
        <f t="shared" si="1"/>
      </c>
      <c r="L16" s="15">
        <f t="shared" si="3"/>
      </c>
      <c r="M16" s="16">
        <f t="shared" si="4"/>
      </c>
      <c r="N16" s="150">
        <v>8</v>
      </c>
      <c r="O16" s="86"/>
      <c r="P16" s="21">
        <f t="shared" si="2"/>
      </c>
      <c r="Q16" s="362">
        <f t="shared" si="5"/>
      </c>
      <c r="R16" s="364">
        <f t="shared" si="6"/>
      </c>
    </row>
    <row r="17" spans="1:18" ht="61.5" customHeight="1">
      <c r="A17" s="135">
        <v>5</v>
      </c>
      <c r="B17" s="792"/>
      <c r="C17" s="793"/>
      <c r="D17" s="793"/>
      <c r="E17" s="143"/>
      <c r="F17" s="143"/>
      <c r="G17" s="140"/>
      <c r="H17" s="141"/>
      <c r="I17" s="15">
        <f t="shared" si="0"/>
      </c>
      <c r="J17" s="148"/>
      <c r="K17" s="15">
        <f t="shared" si="1"/>
      </c>
      <c r="L17" s="15">
        <f t="shared" si="3"/>
      </c>
      <c r="M17" s="16">
        <f t="shared" si="4"/>
      </c>
      <c r="N17" s="150">
        <v>8</v>
      </c>
      <c r="O17" s="86"/>
      <c r="P17" s="21">
        <f t="shared" si="2"/>
      </c>
      <c r="Q17" s="362">
        <f t="shared" si="5"/>
      </c>
      <c r="R17" s="364">
        <f t="shared" si="6"/>
      </c>
    </row>
    <row r="18" spans="1:18" ht="61.5" customHeight="1">
      <c r="A18" s="136">
        <v>6</v>
      </c>
      <c r="B18" s="792"/>
      <c r="C18" s="793"/>
      <c r="D18" s="793"/>
      <c r="E18" s="143"/>
      <c r="F18" s="143"/>
      <c r="G18" s="140"/>
      <c r="H18" s="141"/>
      <c r="I18" s="15">
        <f t="shared" si="0"/>
      </c>
      <c r="J18" s="148"/>
      <c r="K18" s="15">
        <f t="shared" si="1"/>
      </c>
      <c r="L18" s="15">
        <f t="shared" si="3"/>
      </c>
      <c r="M18" s="16">
        <f t="shared" si="4"/>
      </c>
      <c r="N18" s="150">
        <v>8</v>
      </c>
      <c r="O18" s="86"/>
      <c r="P18" s="21">
        <f t="shared" si="2"/>
      </c>
      <c r="Q18" s="362">
        <f t="shared" si="5"/>
      </c>
      <c r="R18" s="364">
        <f t="shared" si="6"/>
      </c>
    </row>
    <row r="19" spans="1:18" ht="61.5" customHeight="1">
      <c r="A19" s="135">
        <v>7</v>
      </c>
      <c r="B19" s="792"/>
      <c r="C19" s="793"/>
      <c r="D19" s="793"/>
      <c r="E19" s="143"/>
      <c r="F19" s="144"/>
      <c r="G19" s="140"/>
      <c r="H19" s="141"/>
      <c r="I19" s="15">
        <f t="shared" si="0"/>
      </c>
      <c r="J19" s="148"/>
      <c r="K19" s="15">
        <f t="shared" si="1"/>
      </c>
      <c r="L19" s="15">
        <f t="shared" si="3"/>
      </c>
      <c r="M19" s="16">
        <f t="shared" si="4"/>
      </c>
      <c r="N19" s="150">
        <v>8</v>
      </c>
      <c r="O19" s="86"/>
      <c r="P19" s="21">
        <f t="shared" si="2"/>
      </c>
      <c r="Q19" s="362">
        <f t="shared" si="5"/>
      </c>
      <c r="R19" s="364">
        <f t="shared" si="6"/>
      </c>
    </row>
    <row r="20" spans="1:18" s="105" customFormat="1" ht="61.5" customHeight="1">
      <c r="A20" s="136">
        <v>8</v>
      </c>
      <c r="B20" s="792"/>
      <c r="C20" s="793"/>
      <c r="D20" s="793"/>
      <c r="E20" s="143"/>
      <c r="F20" s="143"/>
      <c r="G20" s="140"/>
      <c r="H20" s="141"/>
      <c r="I20" s="15">
        <f t="shared" si="0"/>
      </c>
      <c r="J20" s="148"/>
      <c r="K20" s="15">
        <f t="shared" si="1"/>
      </c>
      <c r="L20" s="15">
        <f t="shared" si="3"/>
      </c>
      <c r="M20" s="16">
        <f t="shared" si="4"/>
      </c>
      <c r="N20" s="150">
        <v>8</v>
      </c>
      <c r="O20" s="106"/>
      <c r="P20" s="21">
        <f t="shared" si="2"/>
      </c>
      <c r="Q20" s="362">
        <f t="shared" si="5"/>
      </c>
      <c r="R20" s="364">
        <f t="shared" si="6"/>
      </c>
    </row>
    <row r="21" spans="1:18" ht="61.5" customHeight="1">
      <c r="A21" s="135">
        <v>9</v>
      </c>
      <c r="B21" s="792"/>
      <c r="C21" s="793"/>
      <c r="D21" s="793"/>
      <c r="E21" s="143"/>
      <c r="F21" s="143"/>
      <c r="G21" s="140"/>
      <c r="H21" s="141"/>
      <c r="I21" s="15">
        <f t="shared" si="0"/>
      </c>
      <c r="J21" s="148"/>
      <c r="K21" s="15">
        <f t="shared" si="1"/>
      </c>
      <c r="L21" s="15">
        <f t="shared" si="3"/>
      </c>
      <c r="M21" s="16">
        <f t="shared" si="4"/>
      </c>
      <c r="N21" s="150">
        <v>8</v>
      </c>
      <c r="P21" s="21">
        <f t="shared" si="2"/>
      </c>
      <c r="Q21" s="362">
        <f t="shared" si="5"/>
      </c>
      <c r="R21" s="364">
        <f t="shared" si="6"/>
      </c>
    </row>
    <row r="22" spans="1:18" ht="61.5" customHeight="1" thickBot="1">
      <c r="A22" s="137">
        <v>10</v>
      </c>
      <c r="B22" s="796"/>
      <c r="C22" s="797"/>
      <c r="D22" s="797"/>
      <c r="E22" s="145"/>
      <c r="F22" s="145"/>
      <c r="G22" s="146"/>
      <c r="H22" s="147"/>
      <c r="I22" s="17">
        <f t="shared" si="0"/>
      </c>
      <c r="J22" s="149"/>
      <c r="K22" s="17">
        <f t="shared" si="1"/>
      </c>
      <c r="L22" s="17">
        <f t="shared" si="3"/>
      </c>
      <c r="M22" s="17">
        <f t="shared" si="4"/>
      </c>
      <c r="N22" s="151">
        <v>8</v>
      </c>
      <c r="P22" s="21">
        <f t="shared" si="2"/>
      </c>
      <c r="Q22" s="362">
        <f t="shared" si="5"/>
      </c>
      <c r="R22" s="364">
        <f t="shared" si="6"/>
      </c>
    </row>
    <row r="23" spans="1:18" ht="21" customHeight="1" thickBot="1">
      <c r="A23" s="809" t="s">
        <v>13</v>
      </c>
      <c r="B23" s="810"/>
      <c r="C23" s="810"/>
      <c r="D23" s="810"/>
      <c r="E23" s="810"/>
      <c r="F23" s="810"/>
      <c r="G23" s="810"/>
      <c r="H23" s="810"/>
      <c r="I23" s="810"/>
      <c r="J23" s="108"/>
      <c r="K23" s="14">
        <f>SUM(K13:K22)</f>
        <v>0</v>
      </c>
      <c r="L23" s="14">
        <f>SUM(L13:L22)</f>
        <v>0</v>
      </c>
      <c r="M23" s="174">
        <f>SUM(M13:M22)</f>
        <v>0</v>
      </c>
      <c r="O23" s="365" t="s">
        <v>22</v>
      </c>
      <c r="P23" s="366">
        <f>SUM(P3:P22)</f>
        <v>0</v>
      </c>
      <c r="Q23" s="367">
        <f>SUM(Q3:Q22)</f>
        <v>0</v>
      </c>
      <c r="R23" s="368">
        <f>SUM(R13:R22)</f>
        <v>0</v>
      </c>
    </row>
    <row r="24" spans="1:19" ht="13.5" customHeight="1" thickBot="1">
      <c r="A24" s="87"/>
      <c r="L24" s="111"/>
      <c r="M24" s="112"/>
      <c r="O24" s="365" t="s">
        <v>252</v>
      </c>
      <c r="P24" s="803">
        <f>MIN(経費明細表!補助上限額,'基本情報入力（使い方）'!E39)</f>
        <v>10000000</v>
      </c>
      <c r="Q24" s="804"/>
      <c r="R24" s="369"/>
      <c r="S24" s="130"/>
    </row>
    <row r="25" spans="2:19" ht="13.5" customHeight="1" thickBot="1">
      <c r="B25" s="85" t="s">
        <v>15</v>
      </c>
      <c r="D25" s="114"/>
      <c r="E25" s="1" t="s">
        <v>29</v>
      </c>
      <c r="H25" s="85"/>
      <c r="M25" s="115"/>
      <c r="O25" s="370" t="s">
        <v>253</v>
      </c>
      <c r="P25" s="803">
        <f>'経費明細表'!I19</f>
        <v>0</v>
      </c>
      <c r="Q25" s="804"/>
      <c r="R25" s="369"/>
      <c r="S25" s="130"/>
    </row>
    <row r="26" spans="1:19" s="1" customFormat="1" ht="13.5" customHeight="1" thickBot="1">
      <c r="A26" s="83"/>
      <c r="B26" s="85" t="s">
        <v>16</v>
      </c>
      <c r="C26" s="85"/>
      <c r="D26" s="85"/>
      <c r="E26" s="1" t="s">
        <v>30</v>
      </c>
      <c r="G26" s="85"/>
      <c r="H26" s="85"/>
      <c r="I26" s="85"/>
      <c r="J26" s="85"/>
      <c r="K26" s="85"/>
      <c r="L26" s="85"/>
      <c r="M26" s="115"/>
      <c r="N26" s="83"/>
      <c r="O26" s="370" t="s">
        <v>254</v>
      </c>
      <c r="P26" s="805">
        <f>'経費明細表'!AA60</f>
        <v>0</v>
      </c>
      <c r="Q26" s="806"/>
      <c r="R26" s="369"/>
      <c r="S26" s="131"/>
    </row>
    <row r="27" spans="1:18" s="1" customFormat="1" ht="13.5" customHeight="1" thickBot="1">
      <c r="A27" s="83"/>
      <c r="B27" s="85" t="s">
        <v>17</v>
      </c>
      <c r="C27" s="85"/>
      <c r="D27" s="85"/>
      <c r="E27" s="1" t="s">
        <v>31</v>
      </c>
      <c r="G27" s="85"/>
      <c r="H27" s="85"/>
      <c r="I27" s="85"/>
      <c r="J27" s="85"/>
      <c r="K27" s="85"/>
      <c r="L27" s="85"/>
      <c r="M27" s="115"/>
      <c r="N27" s="83"/>
      <c r="O27" s="370" t="s">
        <v>255</v>
      </c>
      <c r="P27" s="807">
        <f>P26-Q23</f>
        <v>0</v>
      </c>
      <c r="Q27" s="808"/>
      <c r="R27" s="369"/>
    </row>
    <row r="28" spans="13:16" ht="13.5">
      <c r="M28" s="117"/>
      <c r="P28" s="117"/>
    </row>
  </sheetData>
  <sheetProtection sheet="1" objects="1" scenarios="1"/>
  <mergeCells count="24">
    <mergeCell ref="Q11:R11"/>
    <mergeCell ref="P24:Q24"/>
    <mergeCell ref="P25:Q25"/>
    <mergeCell ref="P26:Q26"/>
    <mergeCell ref="P27:Q27"/>
    <mergeCell ref="B14:D14"/>
    <mergeCell ref="B15:D15"/>
    <mergeCell ref="A23:I23"/>
    <mergeCell ref="B18:D18"/>
    <mergeCell ref="B19:D19"/>
    <mergeCell ref="B20:D20"/>
    <mergeCell ref="B21:D21"/>
    <mergeCell ref="K11:L11"/>
    <mergeCell ref="B13:D13"/>
    <mergeCell ref="B22:D22"/>
    <mergeCell ref="B16:D16"/>
    <mergeCell ref="B17:D17"/>
    <mergeCell ref="F6:H6"/>
    <mergeCell ref="N11:N12"/>
    <mergeCell ref="B2:D2"/>
    <mergeCell ref="A4:E4"/>
    <mergeCell ref="A11:A12"/>
    <mergeCell ref="B11:D11"/>
    <mergeCell ref="F7:H7"/>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3" customWidth="1"/>
    <col min="2" max="4" width="3.7109375" style="85" customWidth="1"/>
    <col min="5" max="5" width="16.421875" style="84" customWidth="1"/>
    <col min="6" max="6" width="16.140625" style="1" customWidth="1"/>
    <col min="7" max="7" width="9.140625" style="85" customWidth="1"/>
    <col min="8" max="8" width="6.421875" style="83" customWidth="1"/>
    <col min="9" max="13" width="15.140625" style="85" customWidth="1"/>
    <col min="14" max="14" width="5.28125" style="83" customWidth="1"/>
    <col min="15" max="15" width="2.140625" style="83" customWidth="1"/>
    <col min="16" max="16" width="15.140625" style="85" customWidth="1"/>
    <col min="17" max="17" width="12.7109375" style="86" bestFit="1" customWidth="1"/>
    <col min="18" max="16384" width="9.00390625" style="85" customWidth="1"/>
  </cols>
  <sheetData>
    <row r="1" ht="13.5"/>
    <row r="2" spans="2:4" ht="13.5">
      <c r="B2" s="783" t="s">
        <v>126</v>
      </c>
      <c r="C2" s="783"/>
      <c r="D2" s="783"/>
    </row>
    <row r="3" ht="13.5"/>
    <row r="4" spans="1:6" ht="13.5" customHeight="1">
      <c r="A4" s="784" t="s">
        <v>288</v>
      </c>
      <c r="B4" s="784"/>
      <c r="C4" s="784"/>
      <c r="D4" s="784"/>
      <c r="E4" s="784"/>
      <c r="F4" s="83"/>
    </row>
    <row r="5" spans="1:6" ht="13.5" customHeight="1">
      <c r="A5" s="87"/>
      <c r="B5" s="87"/>
      <c r="C5" s="87"/>
      <c r="D5" s="87"/>
      <c r="E5" s="88"/>
      <c r="F5" s="83"/>
    </row>
    <row r="6" spans="1:8" ht="13.5" customHeight="1">
      <c r="A6" s="87"/>
      <c r="B6" s="89" t="s">
        <v>102</v>
      </c>
      <c r="C6" s="90"/>
      <c r="D6" s="91"/>
      <c r="E6" s="92"/>
      <c r="F6" s="597" t="s">
        <v>14</v>
      </c>
      <c r="G6" s="780"/>
      <c r="H6" s="598"/>
    </row>
    <row r="7" spans="1:8" ht="13.5" customHeight="1">
      <c r="A7" s="87"/>
      <c r="B7" s="87"/>
      <c r="C7" s="87"/>
      <c r="D7" s="87"/>
      <c r="E7" s="88"/>
      <c r="F7" s="789" t="s">
        <v>74</v>
      </c>
      <c r="G7" s="790"/>
      <c r="H7" s="791"/>
    </row>
    <row r="8" spans="1:14" ht="13.5" customHeight="1">
      <c r="A8" s="87"/>
      <c r="B8" s="87"/>
      <c r="C8" s="87"/>
      <c r="D8" s="87"/>
      <c r="E8" s="88"/>
      <c r="F8" s="83"/>
      <c r="M8" s="395" t="s">
        <v>294</v>
      </c>
      <c r="N8" s="93"/>
    </row>
    <row r="9" spans="1:12" ht="13.5" customHeight="1">
      <c r="A9" s="87"/>
      <c r="F9" s="83"/>
      <c r="I9" s="94" t="s">
        <v>28</v>
      </c>
      <c r="J9" s="1">
        <f>IF('基本情報入力（使い方）'!$C$12="","",'基本情報入力（使い方）'!$C$12)</f>
      </c>
      <c r="K9" s="94"/>
      <c r="L9" s="1"/>
    </row>
    <row r="10" spans="1:14" ht="13.5" customHeight="1" thickBot="1">
      <c r="A10" s="87"/>
      <c r="F10" s="83"/>
      <c r="M10" s="94"/>
      <c r="N10" s="94"/>
    </row>
    <row r="11" spans="1:16" ht="27" customHeight="1">
      <c r="A11" s="815" t="s">
        <v>1</v>
      </c>
      <c r="B11" s="787" t="s">
        <v>2</v>
      </c>
      <c r="C11" s="787"/>
      <c r="D11" s="788"/>
      <c r="E11" s="401" t="s">
        <v>3</v>
      </c>
      <c r="F11" s="402" t="s">
        <v>4</v>
      </c>
      <c r="G11" s="95" t="s">
        <v>5</v>
      </c>
      <c r="H11" s="96" t="s">
        <v>6</v>
      </c>
      <c r="I11" s="95" t="s">
        <v>0</v>
      </c>
      <c r="J11" s="95" t="s">
        <v>0</v>
      </c>
      <c r="K11" s="794" t="s">
        <v>7</v>
      </c>
      <c r="L11" s="795"/>
      <c r="M11" s="227" t="s">
        <v>139</v>
      </c>
      <c r="N11" s="781" t="s">
        <v>34</v>
      </c>
      <c r="P11" s="168" t="str">
        <f>"補助対象経費の（"&amp;補助名&amp;")"</f>
        <v>補助対象経費の（２／３)</v>
      </c>
    </row>
    <row r="12" spans="1:16" ht="42" customHeight="1" thickBot="1">
      <c r="A12" s="816"/>
      <c r="B12" s="97" t="s">
        <v>8</v>
      </c>
      <c r="C12" s="97" t="s">
        <v>9</v>
      </c>
      <c r="D12" s="98" t="s">
        <v>10</v>
      </c>
      <c r="E12" s="99"/>
      <c r="F12" s="100"/>
      <c r="G12" s="101"/>
      <c r="H12" s="102"/>
      <c r="I12" s="101" t="s">
        <v>11</v>
      </c>
      <c r="J12" s="101" t="s">
        <v>21</v>
      </c>
      <c r="K12" s="103" t="s">
        <v>12</v>
      </c>
      <c r="L12" s="102" t="s">
        <v>19</v>
      </c>
      <c r="M12" s="173" t="s">
        <v>296</v>
      </c>
      <c r="N12" s="782"/>
      <c r="P12" s="169" t="s">
        <v>132</v>
      </c>
    </row>
    <row r="13" spans="1:17" ht="61.5" customHeight="1">
      <c r="A13" s="152">
        <v>11</v>
      </c>
      <c r="B13" s="813"/>
      <c r="C13" s="814"/>
      <c r="D13" s="814"/>
      <c r="E13" s="138"/>
      <c r="F13" s="138"/>
      <c r="G13" s="153"/>
      <c r="H13" s="561"/>
      <c r="I13" s="18">
        <f aca="true" t="shared" si="0" ref="I13:I22">IF(J13="","",ROUNDDOWN(J13*(1+N13/100),0))</f>
      </c>
      <c r="J13" s="156"/>
      <c r="K13" s="18">
        <f aca="true" t="shared" si="1" ref="K13:K22">IF(L13="","",ROUNDDOWN(L13*(1+N13/100),0))</f>
      </c>
      <c r="L13" s="18">
        <f>IF(OR(J13="",G13=""),"",ROUNDDOWN(J13*G13,0))</f>
      </c>
      <c r="M13" s="16">
        <f>L13</f>
      </c>
      <c r="N13" s="158">
        <v>8</v>
      </c>
      <c r="O13" s="85"/>
      <c r="P13" s="183">
        <f aca="true" t="shared" si="2" ref="P13:P22">IF(M13="","",ROUNDDOWN(M13/G13*補助率,0)*G13)</f>
      </c>
      <c r="Q13" s="85"/>
    </row>
    <row r="14" spans="1:17" ht="61.5" customHeight="1">
      <c r="A14" s="136">
        <v>12</v>
      </c>
      <c r="B14" s="811"/>
      <c r="C14" s="812"/>
      <c r="D14" s="812"/>
      <c r="E14" s="143"/>
      <c r="F14" s="143"/>
      <c r="G14" s="142"/>
      <c r="H14" s="563"/>
      <c r="I14" s="16">
        <f t="shared" si="0"/>
      </c>
      <c r="J14" s="157"/>
      <c r="K14" s="16">
        <f t="shared" si="1"/>
      </c>
      <c r="L14" s="16">
        <f aca="true" t="shared" si="3" ref="L14:L22">IF(OR(J14="",G14=""),"",ROUNDDOWN(J14*G14,0))</f>
      </c>
      <c r="M14" s="16">
        <f aca="true" t="shared" si="4" ref="M14:M22">L14</f>
      </c>
      <c r="N14" s="159">
        <v>8</v>
      </c>
      <c r="P14" s="21">
        <f t="shared" si="2"/>
      </c>
      <c r="Q14" s="104"/>
    </row>
    <row r="15" spans="1:17" ht="61.5" customHeight="1">
      <c r="A15" s="136">
        <v>13</v>
      </c>
      <c r="B15" s="811"/>
      <c r="C15" s="812"/>
      <c r="D15" s="812"/>
      <c r="E15" s="143"/>
      <c r="F15" s="143"/>
      <c r="G15" s="142"/>
      <c r="H15" s="563"/>
      <c r="I15" s="16">
        <f t="shared" si="0"/>
      </c>
      <c r="J15" s="157"/>
      <c r="K15" s="16">
        <f t="shared" si="1"/>
      </c>
      <c r="L15" s="16">
        <f t="shared" si="3"/>
      </c>
      <c r="M15" s="16">
        <f t="shared" si="4"/>
      </c>
      <c r="N15" s="159">
        <v>8</v>
      </c>
      <c r="O15" s="86"/>
      <c r="P15" s="21">
        <f t="shared" si="2"/>
      </c>
      <c r="Q15" s="104"/>
    </row>
    <row r="16" spans="1:17" s="105" customFormat="1" ht="61.5" customHeight="1">
      <c r="A16" s="136">
        <v>14</v>
      </c>
      <c r="B16" s="811"/>
      <c r="C16" s="812"/>
      <c r="D16" s="812"/>
      <c r="E16" s="143"/>
      <c r="F16" s="143"/>
      <c r="G16" s="142"/>
      <c r="H16" s="563"/>
      <c r="I16" s="16">
        <f t="shared" si="0"/>
      </c>
      <c r="J16" s="157"/>
      <c r="K16" s="16">
        <f t="shared" si="1"/>
      </c>
      <c r="L16" s="16">
        <f t="shared" si="3"/>
      </c>
      <c r="M16" s="16">
        <f t="shared" si="4"/>
      </c>
      <c r="N16" s="159">
        <v>8</v>
      </c>
      <c r="O16" s="86"/>
      <c r="P16" s="21">
        <f t="shared" si="2"/>
      </c>
      <c r="Q16" s="104"/>
    </row>
    <row r="17" spans="1:17" ht="61.5" customHeight="1">
      <c r="A17" s="136">
        <v>15</v>
      </c>
      <c r="B17" s="811"/>
      <c r="C17" s="812"/>
      <c r="D17" s="812"/>
      <c r="E17" s="143"/>
      <c r="F17" s="143"/>
      <c r="G17" s="142"/>
      <c r="H17" s="563"/>
      <c r="I17" s="16">
        <f t="shared" si="0"/>
      </c>
      <c r="J17" s="157"/>
      <c r="K17" s="16">
        <f t="shared" si="1"/>
      </c>
      <c r="L17" s="16">
        <f t="shared" si="3"/>
      </c>
      <c r="M17" s="16">
        <f t="shared" si="4"/>
      </c>
      <c r="N17" s="159">
        <v>8</v>
      </c>
      <c r="O17" s="86"/>
      <c r="P17" s="21">
        <f t="shared" si="2"/>
      </c>
      <c r="Q17" s="104"/>
    </row>
    <row r="18" spans="1:16" ht="61.5" customHeight="1">
      <c r="A18" s="136">
        <v>16</v>
      </c>
      <c r="B18" s="811"/>
      <c r="C18" s="812"/>
      <c r="D18" s="812"/>
      <c r="E18" s="143"/>
      <c r="F18" s="143"/>
      <c r="G18" s="142"/>
      <c r="H18" s="563"/>
      <c r="I18" s="16">
        <f t="shared" si="0"/>
      </c>
      <c r="J18" s="157"/>
      <c r="K18" s="16">
        <f t="shared" si="1"/>
      </c>
      <c r="L18" s="16">
        <f t="shared" si="3"/>
      </c>
      <c r="M18" s="16">
        <f t="shared" si="4"/>
      </c>
      <c r="N18" s="159">
        <v>8</v>
      </c>
      <c r="O18" s="86"/>
      <c r="P18" s="21">
        <f t="shared" si="2"/>
      </c>
    </row>
    <row r="19" spans="1:16" ht="61.5" customHeight="1">
      <c r="A19" s="136">
        <v>17</v>
      </c>
      <c r="B19" s="811"/>
      <c r="C19" s="812"/>
      <c r="D19" s="812"/>
      <c r="E19" s="143"/>
      <c r="F19" s="143"/>
      <c r="G19" s="142"/>
      <c r="H19" s="563"/>
      <c r="I19" s="16">
        <f t="shared" si="0"/>
      </c>
      <c r="J19" s="157"/>
      <c r="K19" s="16">
        <f t="shared" si="1"/>
      </c>
      <c r="L19" s="16">
        <f t="shared" si="3"/>
      </c>
      <c r="M19" s="16">
        <f t="shared" si="4"/>
      </c>
      <c r="N19" s="159">
        <v>8</v>
      </c>
      <c r="O19" s="86"/>
      <c r="P19" s="21">
        <f t="shared" si="2"/>
      </c>
    </row>
    <row r="20" spans="1:17" s="105" customFormat="1" ht="61.5" customHeight="1">
      <c r="A20" s="136">
        <v>18</v>
      </c>
      <c r="B20" s="811"/>
      <c r="C20" s="812"/>
      <c r="D20" s="812"/>
      <c r="E20" s="143"/>
      <c r="F20" s="143"/>
      <c r="G20" s="142"/>
      <c r="H20" s="563"/>
      <c r="I20" s="16">
        <f t="shared" si="0"/>
      </c>
      <c r="J20" s="157"/>
      <c r="K20" s="16">
        <f t="shared" si="1"/>
      </c>
      <c r="L20" s="16">
        <f t="shared" si="3"/>
      </c>
      <c r="M20" s="16">
        <f t="shared" si="4"/>
      </c>
      <c r="N20" s="159">
        <v>8</v>
      </c>
      <c r="O20" s="106"/>
      <c r="P20" s="21">
        <f t="shared" si="2"/>
      </c>
      <c r="Q20" s="107"/>
    </row>
    <row r="21" spans="1:16" ht="61.5" customHeight="1">
      <c r="A21" s="136">
        <v>19</v>
      </c>
      <c r="B21" s="811"/>
      <c r="C21" s="812"/>
      <c r="D21" s="812"/>
      <c r="E21" s="143"/>
      <c r="F21" s="143"/>
      <c r="G21" s="142"/>
      <c r="H21" s="155"/>
      <c r="I21" s="16">
        <f t="shared" si="0"/>
      </c>
      <c r="J21" s="157"/>
      <c r="K21" s="16">
        <f t="shared" si="1"/>
      </c>
      <c r="L21" s="16">
        <f t="shared" si="3"/>
      </c>
      <c r="M21" s="16">
        <f t="shared" si="4"/>
      </c>
      <c r="N21" s="159">
        <v>8</v>
      </c>
      <c r="P21" s="21">
        <f t="shared" si="2"/>
      </c>
    </row>
    <row r="22" spans="1:16" ht="61.5" customHeight="1" thickBot="1">
      <c r="A22" s="137">
        <v>20</v>
      </c>
      <c r="B22" s="796"/>
      <c r="C22" s="797"/>
      <c r="D22" s="797"/>
      <c r="E22" s="145"/>
      <c r="F22" s="145"/>
      <c r="G22" s="146"/>
      <c r="H22" s="147"/>
      <c r="I22" s="17">
        <f t="shared" si="0"/>
      </c>
      <c r="J22" s="149"/>
      <c r="K22" s="17">
        <f t="shared" si="1"/>
      </c>
      <c r="L22" s="17">
        <f t="shared" si="3"/>
      </c>
      <c r="M22" s="17">
        <f t="shared" si="4"/>
      </c>
      <c r="N22" s="151">
        <v>8</v>
      </c>
      <c r="P22" s="21">
        <f t="shared" si="2"/>
      </c>
    </row>
    <row r="23" spans="1:17" ht="21" customHeight="1" thickBot="1">
      <c r="A23" s="809" t="s">
        <v>13</v>
      </c>
      <c r="B23" s="810"/>
      <c r="C23" s="810"/>
      <c r="D23" s="810"/>
      <c r="E23" s="810"/>
      <c r="F23" s="810"/>
      <c r="G23" s="810"/>
      <c r="H23" s="810"/>
      <c r="I23" s="810"/>
      <c r="J23" s="108"/>
      <c r="K23" s="14">
        <f>SUM(K13:K22)</f>
        <v>0</v>
      </c>
      <c r="L23" s="14">
        <f>SUM(L13:L22)</f>
        <v>0</v>
      </c>
      <c r="M23" s="181">
        <f>SUM(M13:M22)</f>
        <v>0</v>
      </c>
      <c r="P23" s="20">
        <f>SUM(P13:P22)</f>
        <v>0</v>
      </c>
      <c r="Q23" s="110"/>
    </row>
    <row r="24" spans="1:17" ht="13.5" customHeight="1">
      <c r="A24" s="87"/>
      <c r="L24" s="111"/>
      <c r="M24" s="112"/>
      <c r="Q24" s="113"/>
    </row>
    <row r="25" spans="2:17" ht="13.5" customHeight="1">
      <c r="B25" s="85" t="s">
        <v>15</v>
      </c>
      <c r="D25" s="114"/>
      <c r="E25" s="1" t="s">
        <v>29</v>
      </c>
      <c r="H25" s="85"/>
      <c r="M25" s="115"/>
      <c r="P25" s="115"/>
      <c r="Q25" s="113"/>
    </row>
    <row r="26" spans="1:17" s="1" customFormat="1" ht="13.5" customHeight="1">
      <c r="A26" s="83"/>
      <c r="B26" s="85" t="s">
        <v>16</v>
      </c>
      <c r="C26" s="85"/>
      <c r="D26" s="85"/>
      <c r="E26" s="1" t="s">
        <v>30</v>
      </c>
      <c r="G26" s="85"/>
      <c r="H26" s="85"/>
      <c r="I26" s="85"/>
      <c r="J26" s="85"/>
      <c r="K26" s="85"/>
      <c r="L26" s="85"/>
      <c r="M26" s="115"/>
      <c r="N26" s="83"/>
      <c r="O26" s="83"/>
      <c r="P26" s="115"/>
      <c r="Q26" s="116"/>
    </row>
    <row r="27" spans="1:17" s="1" customFormat="1" ht="13.5" customHeight="1">
      <c r="A27" s="83"/>
      <c r="B27" s="85" t="s">
        <v>17</v>
      </c>
      <c r="C27" s="85"/>
      <c r="D27" s="85"/>
      <c r="E27" s="1" t="s">
        <v>31</v>
      </c>
      <c r="G27" s="85"/>
      <c r="H27" s="85"/>
      <c r="I27" s="85"/>
      <c r="J27" s="85"/>
      <c r="K27" s="85"/>
      <c r="L27" s="85"/>
      <c r="M27" s="115"/>
      <c r="N27" s="83"/>
      <c r="O27" s="83"/>
      <c r="P27" s="115"/>
      <c r="Q27" s="116"/>
    </row>
    <row r="28" spans="13:16" ht="13.5">
      <c r="M28" s="117"/>
      <c r="P28" s="117"/>
    </row>
  </sheetData>
  <sheetProtection sheet="1" objects="1" scenarios="1"/>
  <mergeCells count="19">
    <mergeCell ref="B2:D2"/>
    <mergeCell ref="F7:H7"/>
    <mergeCell ref="B15:D15"/>
    <mergeCell ref="B18:D18"/>
    <mergeCell ref="B17:D17"/>
    <mergeCell ref="F6:H6"/>
    <mergeCell ref="A4:E4"/>
    <mergeCell ref="A11:A12"/>
    <mergeCell ref="B11:D11"/>
    <mergeCell ref="B14:D14"/>
    <mergeCell ref="N11:N12"/>
    <mergeCell ref="K11:L11"/>
    <mergeCell ref="A23:I23"/>
    <mergeCell ref="B19:D19"/>
    <mergeCell ref="B20:D20"/>
    <mergeCell ref="B21:D21"/>
    <mergeCell ref="B22:D22"/>
    <mergeCell ref="B13:D13"/>
    <mergeCell ref="B16:D16"/>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84" customWidth="1"/>
    <col min="6" max="6" width="16.140625" style="1" customWidth="1"/>
    <col min="7" max="7" width="9.140625" style="85" customWidth="1"/>
    <col min="8" max="8" width="6.421875" style="85" customWidth="1"/>
    <col min="9" max="13" width="15.140625" style="85" customWidth="1"/>
    <col min="14" max="14" width="5.28125" style="83" customWidth="1"/>
    <col min="15" max="15" width="3.57421875" style="83" customWidth="1"/>
    <col min="16" max="16384" width="9.00390625" style="85" customWidth="1"/>
  </cols>
  <sheetData>
    <row r="1" spans="1:17" ht="13.5">
      <c r="A1" s="83"/>
      <c r="H1" s="83"/>
      <c r="P1" s="86"/>
      <c r="Q1" s="86"/>
    </row>
    <row r="2" spans="1:17" ht="13.5">
      <c r="A2" s="83"/>
      <c r="B2" s="783" t="s">
        <v>126</v>
      </c>
      <c r="C2" s="783"/>
      <c r="D2" s="783"/>
      <c r="H2" s="83"/>
      <c r="P2" s="86"/>
      <c r="Q2" s="86"/>
    </row>
    <row r="3" spans="1:17" ht="13.5">
      <c r="A3" s="83"/>
      <c r="H3" s="83"/>
      <c r="P3" s="86"/>
      <c r="Q3" s="86"/>
    </row>
    <row r="4" spans="1:6" ht="13.5" customHeight="1">
      <c r="A4" s="784" t="s">
        <v>288</v>
      </c>
      <c r="B4" s="784"/>
      <c r="C4" s="784"/>
      <c r="D4" s="784"/>
      <c r="E4" s="784"/>
      <c r="F4" s="83"/>
    </row>
    <row r="5" spans="1:15" ht="13.5" customHeight="1">
      <c r="A5" s="87"/>
      <c r="B5" s="87"/>
      <c r="C5" s="87"/>
      <c r="D5" s="87"/>
      <c r="E5" s="88"/>
      <c r="F5" s="83"/>
      <c r="O5" s="87"/>
    </row>
    <row r="6" spans="1:15" ht="13.5" customHeight="1">
      <c r="A6" s="87"/>
      <c r="B6" s="89" t="s">
        <v>102</v>
      </c>
      <c r="C6" s="90"/>
      <c r="D6" s="91"/>
      <c r="E6" s="92"/>
      <c r="F6" s="597" t="s">
        <v>14</v>
      </c>
      <c r="G6" s="780"/>
      <c r="H6" s="598"/>
      <c r="O6" s="87"/>
    </row>
    <row r="7" spans="1:15" ht="13.5" customHeight="1">
      <c r="A7" s="87"/>
      <c r="B7" s="87"/>
      <c r="C7" s="87"/>
      <c r="D7" s="87"/>
      <c r="E7" s="88"/>
      <c r="F7" s="789" t="s">
        <v>23</v>
      </c>
      <c r="G7" s="790"/>
      <c r="H7" s="791"/>
      <c r="O7" s="87"/>
    </row>
    <row r="8" spans="1:15" ht="13.5" customHeight="1">
      <c r="A8" s="87"/>
      <c r="B8" s="87"/>
      <c r="C8" s="87"/>
      <c r="D8" s="87"/>
      <c r="E8" s="88"/>
      <c r="F8" s="83"/>
      <c r="M8" s="395" t="s">
        <v>294</v>
      </c>
      <c r="N8" s="93"/>
      <c r="O8" s="87"/>
    </row>
    <row r="9" spans="1:15" ht="13.5" customHeight="1">
      <c r="A9" s="114"/>
      <c r="F9" s="83"/>
      <c r="I9" s="94" t="s">
        <v>28</v>
      </c>
      <c r="J9" s="1">
        <f>IF('基本情報入力（使い方）'!$C$12="","",'基本情報入力（使い方）'!$C$12)</f>
      </c>
      <c r="K9" s="94"/>
      <c r="L9" s="1"/>
      <c r="O9" s="87"/>
    </row>
    <row r="10" spans="1:15" ht="13.5" customHeight="1" thickBot="1">
      <c r="A10" s="114"/>
      <c r="F10" s="83"/>
      <c r="M10" s="94"/>
      <c r="N10" s="94"/>
      <c r="O10" s="87"/>
    </row>
    <row r="11" spans="1:15" ht="27" customHeight="1">
      <c r="A11" s="785" t="s">
        <v>1</v>
      </c>
      <c r="B11" s="787" t="s">
        <v>2</v>
      </c>
      <c r="C11" s="787"/>
      <c r="D11" s="788"/>
      <c r="E11" s="401" t="s">
        <v>3</v>
      </c>
      <c r="F11" s="402" t="s">
        <v>4</v>
      </c>
      <c r="G11" s="95" t="s">
        <v>5</v>
      </c>
      <c r="H11" s="95" t="s">
        <v>6</v>
      </c>
      <c r="I11" s="95" t="s">
        <v>0</v>
      </c>
      <c r="J11" s="95" t="s">
        <v>0</v>
      </c>
      <c r="K11" s="817" t="s">
        <v>7</v>
      </c>
      <c r="L11" s="795"/>
      <c r="M11" s="227" t="s">
        <v>139</v>
      </c>
      <c r="N11" s="781" t="s">
        <v>34</v>
      </c>
      <c r="O11" s="118"/>
    </row>
    <row r="12" spans="1:15" ht="42" customHeight="1" thickBot="1">
      <c r="A12" s="786"/>
      <c r="B12" s="97" t="s">
        <v>8</v>
      </c>
      <c r="C12" s="97" t="s">
        <v>9</v>
      </c>
      <c r="D12" s="98" t="s">
        <v>10</v>
      </c>
      <c r="E12" s="99"/>
      <c r="F12" s="100"/>
      <c r="G12" s="101"/>
      <c r="H12" s="101"/>
      <c r="I12" s="101" t="s">
        <v>11</v>
      </c>
      <c r="J12" s="101" t="s">
        <v>21</v>
      </c>
      <c r="K12" s="101" t="s">
        <v>12</v>
      </c>
      <c r="L12" s="102" t="s">
        <v>19</v>
      </c>
      <c r="M12" s="173" t="s">
        <v>296</v>
      </c>
      <c r="N12" s="782"/>
      <c r="O12" s="118"/>
    </row>
    <row r="13" spans="1:15" ht="61.5" customHeight="1">
      <c r="A13" s="119">
        <v>1</v>
      </c>
      <c r="B13" s="813"/>
      <c r="C13" s="814"/>
      <c r="D13" s="814"/>
      <c r="E13" s="138"/>
      <c r="F13" s="139"/>
      <c r="G13" s="140"/>
      <c r="H13" s="141"/>
      <c r="I13" s="15">
        <f aca="true" t="shared" si="0" ref="I13:I22">IF(J13="","",ROUNDDOWN(J13*(1+N13/100),0))</f>
      </c>
      <c r="J13" s="148"/>
      <c r="K13" s="15">
        <f aca="true" t="shared" si="1" ref="K13:K22">IF(L13="","",ROUNDDOWN(L13*(1+N13/100),0))</f>
      </c>
      <c r="L13" s="15">
        <f>IF(OR(J13="",G13=""),"",ROUNDDOWN(J13*G13,0))</f>
      </c>
      <c r="M13" s="16">
        <f>L13</f>
      </c>
      <c r="N13" s="162">
        <v>8</v>
      </c>
      <c r="O13" s="85"/>
    </row>
    <row r="14" spans="1:15" ht="61.5" customHeight="1">
      <c r="A14" s="120">
        <v>2</v>
      </c>
      <c r="B14" s="792"/>
      <c r="C14" s="793"/>
      <c r="D14" s="793"/>
      <c r="E14" s="160"/>
      <c r="F14" s="143"/>
      <c r="G14" s="140"/>
      <c r="H14" s="141"/>
      <c r="I14" s="15">
        <f t="shared" si="0"/>
      </c>
      <c r="J14" s="148"/>
      <c r="K14" s="15">
        <f t="shared" si="1"/>
      </c>
      <c r="L14" s="15">
        <f aca="true" t="shared" si="2" ref="L14:L22">IF(OR(J14="",G14=""),"",ROUNDDOWN(J14*G14,0))</f>
      </c>
      <c r="M14" s="16">
        <f aca="true" t="shared" si="3" ref="M14:M22">L14</f>
      </c>
      <c r="N14" s="162">
        <v>8</v>
      </c>
      <c r="O14" s="118"/>
    </row>
    <row r="15" spans="1:15" ht="61.5" customHeight="1">
      <c r="A15" s="119">
        <v>3</v>
      </c>
      <c r="B15" s="792"/>
      <c r="C15" s="793"/>
      <c r="D15" s="793"/>
      <c r="E15" s="160"/>
      <c r="F15" s="143"/>
      <c r="G15" s="140"/>
      <c r="H15" s="141"/>
      <c r="I15" s="15">
        <f t="shared" si="0"/>
      </c>
      <c r="J15" s="148"/>
      <c r="K15" s="15">
        <f t="shared" si="1"/>
      </c>
      <c r="L15" s="15">
        <f t="shared" si="2"/>
      </c>
      <c r="M15" s="16">
        <f t="shared" si="3"/>
      </c>
      <c r="N15" s="162">
        <v>8</v>
      </c>
      <c r="O15" s="118"/>
    </row>
    <row r="16" spans="1:15" s="105" customFormat="1" ht="61.5" customHeight="1">
      <c r="A16" s="121">
        <v>4</v>
      </c>
      <c r="B16" s="792"/>
      <c r="C16" s="793"/>
      <c r="D16" s="793"/>
      <c r="E16" s="160"/>
      <c r="F16" s="143"/>
      <c r="G16" s="140"/>
      <c r="H16" s="141"/>
      <c r="I16" s="15">
        <f t="shared" si="0"/>
      </c>
      <c r="J16" s="148"/>
      <c r="K16" s="15">
        <f t="shared" si="1"/>
      </c>
      <c r="L16" s="15">
        <f t="shared" si="2"/>
      </c>
      <c r="M16" s="16">
        <f t="shared" si="3"/>
      </c>
      <c r="N16" s="162">
        <v>8</v>
      </c>
      <c r="O16" s="122"/>
    </row>
    <row r="17" spans="1:15" s="105" customFormat="1" ht="61.5" customHeight="1">
      <c r="A17" s="123">
        <v>5</v>
      </c>
      <c r="B17" s="792"/>
      <c r="C17" s="793"/>
      <c r="D17" s="793"/>
      <c r="E17" s="160"/>
      <c r="F17" s="143"/>
      <c r="G17" s="140"/>
      <c r="H17" s="141"/>
      <c r="I17" s="15">
        <f t="shared" si="0"/>
      </c>
      <c r="J17" s="148"/>
      <c r="K17" s="15">
        <f t="shared" si="1"/>
      </c>
      <c r="L17" s="15">
        <f t="shared" si="2"/>
      </c>
      <c r="M17" s="16">
        <f t="shared" si="3"/>
      </c>
      <c r="N17" s="162">
        <v>8</v>
      </c>
      <c r="O17" s="122"/>
    </row>
    <row r="18" spans="1:15" ht="61.5" customHeight="1">
      <c r="A18" s="120">
        <v>6</v>
      </c>
      <c r="B18" s="792"/>
      <c r="C18" s="793"/>
      <c r="D18" s="793"/>
      <c r="E18" s="160"/>
      <c r="F18" s="143"/>
      <c r="G18" s="140"/>
      <c r="H18" s="141"/>
      <c r="I18" s="15">
        <f t="shared" si="0"/>
      </c>
      <c r="J18" s="148"/>
      <c r="K18" s="15">
        <f t="shared" si="1"/>
      </c>
      <c r="L18" s="15">
        <f t="shared" si="2"/>
      </c>
      <c r="M18" s="16">
        <f t="shared" si="3"/>
      </c>
      <c r="N18" s="162">
        <v>8</v>
      </c>
      <c r="O18" s="118"/>
    </row>
    <row r="19" spans="1:15" ht="61.5" customHeight="1">
      <c r="A19" s="119">
        <v>7</v>
      </c>
      <c r="B19" s="792"/>
      <c r="C19" s="793"/>
      <c r="D19" s="793"/>
      <c r="E19" s="160"/>
      <c r="F19" s="144"/>
      <c r="G19" s="140"/>
      <c r="H19" s="141"/>
      <c r="I19" s="15">
        <f t="shared" si="0"/>
      </c>
      <c r="J19" s="148"/>
      <c r="K19" s="15">
        <f t="shared" si="1"/>
      </c>
      <c r="L19" s="15">
        <f t="shared" si="2"/>
      </c>
      <c r="M19" s="16">
        <f t="shared" si="3"/>
      </c>
      <c r="N19" s="162">
        <v>8</v>
      </c>
      <c r="O19" s="118"/>
    </row>
    <row r="20" spans="1:15" ht="61.5" customHeight="1">
      <c r="A20" s="120">
        <v>8</v>
      </c>
      <c r="B20" s="792"/>
      <c r="C20" s="793"/>
      <c r="D20" s="793"/>
      <c r="E20" s="160"/>
      <c r="F20" s="143"/>
      <c r="G20" s="140"/>
      <c r="H20" s="141"/>
      <c r="I20" s="15">
        <f t="shared" si="0"/>
      </c>
      <c r="J20" s="148"/>
      <c r="K20" s="15">
        <f t="shared" si="1"/>
      </c>
      <c r="L20" s="15">
        <f t="shared" si="2"/>
      </c>
      <c r="M20" s="16">
        <f t="shared" si="3"/>
      </c>
      <c r="N20" s="162">
        <v>8</v>
      </c>
      <c r="O20" s="118"/>
    </row>
    <row r="21" spans="1:15" ht="61.5" customHeight="1">
      <c r="A21" s="119">
        <v>9</v>
      </c>
      <c r="B21" s="792"/>
      <c r="C21" s="793"/>
      <c r="D21" s="793"/>
      <c r="E21" s="160"/>
      <c r="F21" s="143"/>
      <c r="G21" s="140"/>
      <c r="H21" s="141"/>
      <c r="I21" s="15">
        <f t="shared" si="0"/>
      </c>
      <c r="J21" s="148"/>
      <c r="K21" s="15">
        <f t="shared" si="1"/>
      </c>
      <c r="L21" s="15">
        <f t="shared" si="2"/>
      </c>
      <c r="M21" s="16">
        <f t="shared" si="3"/>
      </c>
      <c r="N21" s="162">
        <v>8</v>
      </c>
      <c r="O21" s="118"/>
    </row>
    <row r="22" spans="1:15" ht="61.5" customHeight="1" thickBot="1">
      <c r="A22" s="124">
        <v>10</v>
      </c>
      <c r="B22" s="796"/>
      <c r="C22" s="797"/>
      <c r="D22" s="797"/>
      <c r="E22" s="161"/>
      <c r="F22" s="145"/>
      <c r="G22" s="146"/>
      <c r="H22" s="147"/>
      <c r="I22" s="17">
        <f t="shared" si="0"/>
      </c>
      <c r="J22" s="149"/>
      <c r="K22" s="17">
        <f t="shared" si="1"/>
      </c>
      <c r="L22" s="17">
        <f t="shared" si="2"/>
      </c>
      <c r="M22" s="17">
        <f t="shared" si="3"/>
      </c>
      <c r="N22" s="163">
        <v>8</v>
      </c>
      <c r="O22" s="118"/>
    </row>
    <row r="23" spans="1:15" ht="21" customHeight="1" thickBot="1">
      <c r="A23" s="809" t="s">
        <v>13</v>
      </c>
      <c r="B23" s="810"/>
      <c r="C23" s="810"/>
      <c r="D23" s="810"/>
      <c r="E23" s="810"/>
      <c r="F23" s="810"/>
      <c r="G23" s="810"/>
      <c r="H23" s="810"/>
      <c r="I23" s="810"/>
      <c r="J23" s="108"/>
      <c r="K23" s="14">
        <f>SUM(K13:K22)</f>
        <v>0</v>
      </c>
      <c r="L23" s="14">
        <f>SUM(L13:L22)</f>
        <v>0</v>
      </c>
      <c r="M23" s="181">
        <f>SUM(M13:M22)</f>
        <v>0</v>
      </c>
      <c r="O23" s="109"/>
    </row>
    <row r="24" spans="1:15" ht="13.5" customHeight="1">
      <c r="A24" s="114"/>
      <c r="L24" s="111"/>
      <c r="M24" s="112"/>
      <c r="O24" s="87"/>
    </row>
    <row r="25" spans="2:15" ht="13.5" customHeight="1">
      <c r="B25" s="85" t="s">
        <v>15</v>
      </c>
      <c r="D25" s="114"/>
      <c r="E25" s="1" t="s">
        <v>29</v>
      </c>
      <c r="O25" s="87"/>
    </row>
    <row r="26" spans="1:15" s="1" customFormat="1" ht="13.5" customHeight="1">
      <c r="A26" s="85"/>
      <c r="B26" s="85" t="s">
        <v>16</v>
      </c>
      <c r="C26" s="85"/>
      <c r="D26" s="85"/>
      <c r="E26" s="1" t="s">
        <v>30</v>
      </c>
      <c r="G26" s="85"/>
      <c r="H26" s="85"/>
      <c r="I26" s="85"/>
      <c r="J26" s="85"/>
      <c r="K26" s="85"/>
      <c r="L26" s="85"/>
      <c r="M26" s="85"/>
      <c r="N26" s="83"/>
      <c r="O26" s="83"/>
    </row>
    <row r="27" spans="1:15" s="1" customFormat="1" ht="13.5" customHeight="1">
      <c r="A27" s="85"/>
      <c r="B27" s="85" t="s">
        <v>17</v>
      </c>
      <c r="C27" s="85"/>
      <c r="D27" s="85"/>
      <c r="E27" s="1" t="s">
        <v>31</v>
      </c>
      <c r="G27" s="85"/>
      <c r="H27" s="85"/>
      <c r="I27" s="85"/>
      <c r="J27" s="85"/>
      <c r="K27" s="85"/>
      <c r="L27" s="85"/>
      <c r="M27" s="85"/>
      <c r="N27" s="83"/>
      <c r="O27" s="83"/>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783" t="s">
        <v>126</v>
      </c>
      <c r="C2" s="783"/>
      <c r="D2" s="783"/>
      <c r="E2" s="84"/>
      <c r="H2" s="83"/>
      <c r="O2" s="83"/>
      <c r="P2" s="86"/>
      <c r="Q2" s="86"/>
    </row>
    <row r="3" spans="1:17" ht="13.5">
      <c r="A3" s="83"/>
      <c r="E3" s="84"/>
      <c r="H3" s="83"/>
      <c r="O3" s="83"/>
      <c r="P3" s="86"/>
      <c r="Q3" s="86"/>
    </row>
    <row r="4" spans="1:6" ht="13.5" customHeight="1">
      <c r="A4" s="784" t="s">
        <v>288</v>
      </c>
      <c r="B4" s="784"/>
      <c r="C4" s="784"/>
      <c r="D4" s="784"/>
      <c r="E4" s="784"/>
      <c r="F4" s="83"/>
    </row>
    <row r="5" spans="1:6" ht="13.5" customHeight="1">
      <c r="A5" s="87"/>
      <c r="B5" s="87"/>
      <c r="C5" s="87"/>
      <c r="D5" s="87"/>
      <c r="E5" s="125"/>
      <c r="F5" s="83"/>
    </row>
    <row r="6" spans="1:8" ht="13.5" customHeight="1">
      <c r="A6" s="87"/>
      <c r="B6" s="89" t="s">
        <v>102</v>
      </c>
      <c r="C6" s="90"/>
      <c r="D6" s="91"/>
      <c r="E6" s="92"/>
      <c r="F6" s="597" t="s">
        <v>14</v>
      </c>
      <c r="G6" s="780"/>
      <c r="H6" s="598"/>
    </row>
    <row r="7" spans="1:8" ht="13.5" customHeight="1">
      <c r="A7" s="87"/>
      <c r="B7" s="87"/>
      <c r="C7" s="87"/>
      <c r="D7" s="87"/>
      <c r="E7" s="125"/>
      <c r="F7" s="789" t="s">
        <v>66</v>
      </c>
      <c r="G7" s="790"/>
      <c r="H7" s="791"/>
    </row>
    <row r="8" spans="1:14" ht="13.5" customHeight="1">
      <c r="A8" s="87"/>
      <c r="B8" s="87"/>
      <c r="C8" s="87"/>
      <c r="D8" s="87"/>
      <c r="E8" s="125"/>
      <c r="F8" s="83"/>
      <c r="M8" s="395" t="s">
        <v>294</v>
      </c>
      <c r="N8" s="93"/>
    </row>
    <row r="9" spans="1:12" ht="13.5" customHeight="1">
      <c r="A9" s="114"/>
      <c r="F9" s="83"/>
      <c r="I9" s="94" t="s">
        <v>28</v>
      </c>
      <c r="J9" s="1">
        <f>IF('基本情報入力（使い方）'!$C$12="","",'基本情報入力（使い方）'!$C$12)</f>
      </c>
      <c r="K9" s="94"/>
      <c r="L9" s="1"/>
    </row>
    <row r="10" spans="1:14" ht="13.5" customHeight="1" thickBot="1">
      <c r="A10" s="114"/>
      <c r="F10" s="83"/>
      <c r="M10" s="94"/>
      <c r="N10" s="94"/>
    </row>
    <row r="11" spans="1:14" ht="27" customHeight="1">
      <c r="A11" s="785" t="s">
        <v>1</v>
      </c>
      <c r="B11" s="787" t="s">
        <v>2</v>
      </c>
      <c r="C11" s="787"/>
      <c r="D11" s="788"/>
      <c r="E11" s="401" t="s">
        <v>3</v>
      </c>
      <c r="F11" s="402" t="s">
        <v>4</v>
      </c>
      <c r="G11" s="95" t="s">
        <v>5</v>
      </c>
      <c r="H11" s="95" t="s">
        <v>6</v>
      </c>
      <c r="I11" s="95" t="s">
        <v>0</v>
      </c>
      <c r="J11" s="95" t="s">
        <v>0</v>
      </c>
      <c r="K11" s="817" t="s">
        <v>7</v>
      </c>
      <c r="L11" s="795"/>
      <c r="M11" s="227" t="s">
        <v>139</v>
      </c>
      <c r="N11" s="781" t="s">
        <v>34</v>
      </c>
    </row>
    <row r="12" spans="1:14" ht="42" customHeight="1" thickBot="1">
      <c r="A12" s="786"/>
      <c r="B12" s="97" t="s">
        <v>8</v>
      </c>
      <c r="C12" s="97" t="s">
        <v>9</v>
      </c>
      <c r="D12" s="98" t="s">
        <v>10</v>
      </c>
      <c r="E12" s="126"/>
      <c r="F12" s="100"/>
      <c r="G12" s="101"/>
      <c r="H12" s="101"/>
      <c r="I12" s="101" t="s">
        <v>11</v>
      </c>
      <c r="J12" s="101" t="s">
        <v>21</v>
      </c>
      <c r="K12" s="101" t="s">
        <v>12</v>
      </c>
      <c r="L12" s="102" t="s">
        <v>19</v>
      </c>
      <c r="M12" s="173" t="s">
        <v>296</v>
      </c>
      <c r="N12" s="782"/>
    </row>
    <row r="13" spans="1:14" ht="61.5" customHeight="1">
      <c r="A13" s="119">
        <v>1</v>
      </c>
      <c r="B13" s="813"/>
      <c r="C13" s="814"/>
      <c r="D13" s="814"/>
      <c r="E13" s="164"/>
      <c r="F13" s="138"/>
      <c r="G13" s="140"/>
      <c r="H13" s="141"/>
      <c r="I13" s="15">
        <f aca="true" t="shared" si="0" ref="I13:I22">IF(J13="","",ROUNDDOWN(J13*(1+N13/100),0))</f>
      </c>
      <c r="J13" s="165"/>
      <c r="K13" s="15">
        <f aca="true" t="shared" si="1" ref="K13:K22">IF(L13="","",ROUNDDOWN(L13*(1+N13/100),0))</f>
      </c>
      <c r="L13" s="15">
        <f>IF(OR(J13="",G13=""),"",ROUNDDOWN(J13*G13,0))</f>
      </c>
      <c r="M13" s="16">
        <f>L13</f>
      </c>
      <c r="N13" s="150">
        <v>8</v>
      </c>
    </row>
    <row r="14" spans="1:14" ht="61.5" customHeight="1">
      <c r="A14" s="120">
        <v>2</v>
      </c>
      <c r="B14" s="792"/>
      <c r="C14" s="793"/>
      <c r="D14" s="793"/>
      <c r="E14" s="160"/>
      <c r="F14" s="143"/>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20">
        <v>3</v>
      </c>
      <c r="B15" s="792"/>
      <c r="C15" s="793"/>
      <c r="D15" s="793"/>
      <c r="E15" s="160"/>
      <c r="F15" s="143"/>
      <c r="G15" s="140"/>
      <c r="H15" s="141"/>
      <c r="I15" s="15">
        <f t="shared" si="0"/>
      </c>
      <c r="J15" s="148"/>
      <c r="K15" s="15">
        <f t="shared" si="1"/>
      </c>
      <c r="L15" s="15">
        <f t="shared" si="2"/>
      </c>
      <c r="M15" s="16">
        <f t="shared" si="3"/>
      </c>
      <c r="N15" s="150">
        <v>8</v>
      </c>
    </row>
    <row r="16" spans="1:14" ht="61.5" customHeight="1">
      <c r="A16" s="120">
        <v>4</v>
      </c>
      <c r="B16" s="792"/>
      <c r="C16" s="793"/>
      <c r="D16" s="793"/>
      <c r="E16" s="160"/>
      <c r="F16" s="143"/>
      <c r="G16" s="140"/>
      <c r="H16" s="141"/>
      <c r="I16" s="15">
        <f t="shared" si="0"/>
      </c>
      <c r="J16" s="148"/>
      <c r="K16" s="15">
        <f t="shared" si="1"/>
      </c>
      <c r="L16" s="15">
        <f t="shared" si="2"/>
      </c>
      <c r="M16" s="16">
        <f t="shared" si="3"/>
      </c>
      <c r="N16" s="150">
        <v>8</v>
      </c>
    </row>
    <row r="17" spans="1:14" ht="61.5" customHeight="1">
      <c r="A17" s="120">
        <v>5</v>
      </c>
      <c r="B17" s="792"/>
      <c r="C17" s="793"/>
      <c r="D17" s="793"/>
      <c r="E17" s="160"/>
      <c r="F17" s="143"/>
      <c r="G17" s="140"/>
      <c r="H17" s="141"/>
      <c r="I17" s="15">
        <f t="shared" si="0"/>
      </c>
      <c r="J17" s="148"/>
      <c r="K17" s="15">
        <f t="shared" si="1"/>
      </c>
      <c r="L17" s="15">
        <f t="shared" si="2"/>
      </c>
      <c r="M17" s="16">
        <f t="shared" si="3"/>
      </c>
      <c r="N17" s="150">
        <v>8</v>
      </c>
    </row>
    <row r="18" spans="1:14" ht="61.5" customHeight="1">
      <c r="A18" s="120">
        <v>6</v>
      </c>
      <c r="B18" s="792"/>
      <c r="C18" s="793"/>
      <c r="D18" s="793"/>
      <c r="E18" s="160"/>
      <c r="F18" s="143"/>
      <c r="G18" s="140"/>
      <c r="H18" s="141"/>
      <c r="I18" s="15">
        <f t="shared" si="0"/>
      </c>
      <c r="J18" s="148"/>
      <c r="K18" s="15">
        <f t="shared" si="1"/>
      </c>
      <c r="L18" s="15">
        <f t="shared" si="2"/>
      </c>
      <c r="M18" s="16">
        <f t="shared" si="3"/>
      </c>
      <c r="N18" s="150">
        <v>8</v>
      </c>
    </row>
    <row r="19" spans="1:14" ht="61.5" customHeight="1">
      <c r="A19" s="120">
        <v>7</v>
      </c>
      <c r="B19" s="792"/>
      <c r="C19" s="793"/>
      <c r="D19" s="793"/>
      <c r="E19" s="160"/>
      <c r="F19" s="144"/>
      <c r="G19" s="140"/>
      <c r="H19" s="141"/>
      <c r="I19" s="15">
        <f t="shared" si="0"/>
      </c>
      <c r="J19" s="148"/>
      <c r="K19" s="15">
        <f t="shared" si="1"/>
      </c>
      <c r="L19" s="15">
        <f t="shared" si="2"/>
      </c>
      <c r="M19" s="16">
        <f t="shared" si="3"/>
      </c>
      <c r="N19" s="150">
        <v>8</v>
      </c>
    </row>
    <row r="20" spans="1:14" ht="61.5" customHeight="1">
      <c r="A20" s="120">
        <v>8</v>
      </c>
      <c r="B20" s="792"/>
      <c r="C20" s="793"/>
      <c r="D20" s="793"/>
      <c r="E20" s="160"/>
      <c r="F20" s="143"/>
      <c r="G20" s="140"/>
      <c r="H20" s="141"/>
      <c r="I20" s="15">
        <f t="shared" si="0"/>
      </c>
      <c r="J20" s="148"/>
      <c r="K20" s="15">
        <f t="shared" si="1"/>
      </c>
      <c r="L20" s="15">
        <f t="shared" si="2"/>
      </c>
      <c r="M20" s="16">
        <f t="shared" si="3"/>
      </c>
      <c r="N20" s="150">
        <v>8</v>
      </c>
    </row>
    <row r="21" spans="1:14" ht="61.5" customHeight="1">
      <c r="A21" s="120">
        <v>9</v>
      </c>
      <c r="B21" s="792"/>
      <c r="C21" s="793"/>
      <c r="D21" s="793"/>
      <c r="E21" s="160"/>
      <c r="F21" s="143"/>
      <c r="G21" s="140"/>
      <c r="H21" s="141"/>
      <c r="I21" s="15">
        <f t="shared" si="0"/>
      </c>
      <c r="J21" s="148"/>
      <c r="K21" s="15">
        <f t="shared" si="1"/>
      </c>
      <c r="L21" s="15">
        <f t="shared" si="2"/>
      </c>
      <c r="M21" s="16">
        <f t="shared" si="3"/>
      </c>
      <c r="N21" s="150">
        <v>8</v>
      </c>
    </row>
    <row r="22" spans="1:14" ht="61.5" customHeight="1" thickBot="1">
      <c r="A22" s="124">
        <v>10</v>
      </c>
      <c r="B22" s="796"/>
      <c r="C22" s="797"/>
      <c r="D22" s="797"/>
      <c r="E22" s="161"/>
      <c r="F22" s="145"/>
      <c r="G22" s="146"/>
      <c r="H22" s="147"/>
      <c r="I22" s="17">
        <f t="shared" si="0"/>
      </c>
      <c r="J22" s="149"/>
      <c r="K22" s="17">
        <f t="shared" si="1"/>
      </c>
      <c r="L22" s="17">
        <f t="shared" si="2"/>
      </c>
      <c r="M22" s="17">
        <f t="shared" si="3"/>
      </c>
      <c r="N22" s="151">
        <v>8</v>
      </c>
    </row>
    <row r="23" spans="1:13" ht="21" customHeight="1" thickBot="1">
      <c r="A23" s="809" t="s">
        <v>13</v>
      </c>
      <c r="B23" s="810"/>
      <c r="C23" s="810"/>
      <c r="D23" s="810"/>
      <c r="E23" s="810"/>
      <c r="F23" s="810"/>
      <c r="G23" s="810"/>
      <c r="H23" s="810"/>
      <c r="I23" s="810"/>
      <c r="J23" s="108"/>
      <c r="K23" s="14">
        <f>SUM(K13:K22)</f>
        <v>0</v>
      </c>
      <c r="L23" s="14">
        <f>SUM(L13:L22)</f>
        <v>0</v>
      </c>
      <c r="M23" s="181">
        <f>SUM(M13:M22)</f>
        <v>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2018-08-15T01:25:45Z</cp:lastPrinted>
  <dcterms:created xsi:type="dcterms:W3CDTF">2013-05-03T10:01:41Z</dcterms:created>
  <dcterms:modified xsi:type="dcterms:W3CDTF">2019-12-11T07:46:32Z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