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20"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13">'委託費'!$A$4:$O$27</definedName>
    <definedName name="_xlnm.Print_Area" localSheetId="9">'運搬費'!$A$4:$O$27</definedName>
    <definedName name="_xlnm.Print_Area" localSheetId="12">'外注加工費'!$A$4:$O$27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'経費明細表'!$A$4:$U$28</definedName>
    <definedName name="_xlnm.Print_Area" localSheetId="11">'原材料費'!$A$4:$O$27</definedName>
    <definedName name="_xlnm.Print_Area" localSheetId="8">'専門家経費'!$A$4:$O$27</definedName>
    <definedName name="_xlnm.Print_Area" localSheetId="14">'知的財産権等関連経費'!$A$4:$O$27</definedName>
    <definedName name="事業類型" localSheetId="4">'経費明細表'!$AB$17</definedName>
    <definedName name="消費税率" localSheetId="4">'経費明細表'!$AB$16</definedName>
    <definedName name="補助下限額">'経費明細表'!$AB$22</definedName>
    <definedName name="補助上限額">'経費明細表'!$AB$21</definedName>
    <definedName name="補助名">'経費明細表'!$AB$20</definedName>
    <definedName name="補助率">'経費明細表'!$AC$20</definedName>
  </definedNames>
  <calcPr fullCalcOnLoad="1"/>
</workbook>
</file>

<file path=xl/comments5.xml><?xml version="1.0" encoding="utf-8"?>
<comments xmlns="http://schemas.openxmlformats.org/spreadsheetml/2006/main">
  <authors>
    <author>PCUser</author>
    <author>bara</author>
    <author>mono31 飛永　美和</author>
    <author>高村 育子</author>
    <author>NR1504-720</author>
    <author>EH</author>
  </authors>
  <commentList>
    <comment ref="AF25" authorId="0">
      <text>
        <r>
          <rPr>
            <sz val="11"/>
            <rFont val="ＭＳ Ｐゴシック"/>
            <family val="3"/>
          </rPr>
          <t xml:space="preserve">各経費区分ごとに判定。
判定１～判定8に「×」が１つでもあると、「×」と判定。
</t>
        </r>
      </text>
    </comment>
    <comment ref="AG25" authorId="1">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AO25" authorId="0">
      <text>
        <r>
          <rPr>
            <sz val="11"/>
            <rFont val="ＭＳ Ｐゴシック"/>
            <family val="3"/>
          </rPr>
          <t>判定１～７、「実績額の総額についての判定」がすべて「○」のとき、総合判定は「○」</t>
        </r>
      </text>
    </comment>
    <comment ref="D8" authorId="2">
      <text>
        <r>
          <rPr>
            <sz val="14"/>
            <color indexed="10"/>
            <rFont val="ＭＳ Ｐゴシック"/>
            <family val="3"/>
          </rPr>
          <t>黄色の塗りつぶしがあるセルは入力必須となります。</t>
        </r>
        <r>
          <rPr>
            <sz val="14"/>
            <color indexed="47"/>
            <rFont val="ＭＳ Ｐゴシック"/>
            <family val="3"/>
          </rPr>
          <t xml:space="preserve">
</t>
        </r>
        <r>
          <rPr>
            <sz val="14"/>
            <rFont val="ＭＳ Ｐゴシック"/>
            <family val="3"/>
          </rPr>
          <t>交付申請（決定）時の金額を入力してください。</t>
        </r>
      </text>
    </comment>
    <comment ref="T10" authorId="3">
      <text>
        <r>
          <rPr>
            <sz val="14"/>
            <rFont val="ＭＳ Ｐゴシック"/>
            <family val="3"/>
          </rPr>
          <t>補助対象経費の各種要件を加味し自動計算されるため、変更前の交付決定額より減額になる場合があります。</t>
        </r>
      </text>
    </comment>
    <comment ref="N11" authorId="1">
      <text>
        <r>
          <rPr>
            <sz val="9"/>
            <rFont val="ＭＳ Ｐゴシック"/>
            <family val="3"/>
          </rPr>
          <t xml:space="preserve">積み上げで一円は違う時があります。
</t>
        </r>
      </text>
    </comment>
    <comment ref="R11" authorId="4">
      <text>
        <r>
          <rPr>
            <b/>
            <sz val="12"/>
            <color indexed="10"/>
            <rFont val="ＭＳ Ｐゴシック"/>
            <family val="3"/>
          </rPr>
          <t>黄色の塗りつぶしがあるセルは入力
必須となります。</t>
        </r>
        <r>
          <rPr>
            <sz val="12"/>
            <rFont val="ＭＳ Ｐゴシック"/>
            <family val="3"/>
          </rPr>
          <t xml:space="preserve">
①各経費に入力してください。
　　【変更前(ア）＝（イ）の場合】
　　　　変更申請額の同額を入力してください。
　　【変更前(ア)＞（イ）の場合】
　　　　変更申請額の同額を入力してください。
　　【変更前(ア)＜（イ）の場合】
　　　　変更前（ア)の額を上限として、各経費を
         調整して入力してください。
　　    基本的に調整は、機械装置費と専門家
　　　　活用経費以外で行ってください。機械装
　　　　置しかない場合は、機械装置費内で調整
　　　　してください。
②</t>
        </r>
        <r>
          <rPr>
            <sz val="12"/>
            <color indexed="10"/>
            <rFont val="ＭＳ Ｐゴシック"/>
            <family val="3"/>
          </rPr>
          <t>「費目別経費支出明細書」</t>
        </r>
        <r>
          <rPr>
            <sz val="12"/>
            <rFont val="ＭＳ Ｐゴシック"/>
            <family val="3"/>
          </rPr>
          <t>の「補助対象
　　経費（税抜き）：上限調整後」（セルＮ欄）
　　へ①の金額になるように</t>
        </r>
        <r>
          <rPr>
            <sz val="12"/>
            <color indexed="10"/>
            <rFont val="ＭＳ Ｐゴシック"/>
            <family val="3"/>
          </rPr>
          <t>経費内訳</t>
        </r>
        <r>
          <rPr>
            <sz val="12"/>
            <rFont val="ＭＳ Ｐゴシック"/>
            <family val="3"/>
          </rPr>
          <t>を
　　入力してください。</t>
        </r>
      </text>
    </comment>
    <comment ref="S22" authorId="4">
      <text>
        <r>
          <rPr>
            <b/>
            <sz val="14"/>
            <color indexed="10"/>
            <rFont val="ＭＳ Ｐゴシック"/>
            <family val="3"/>
          </rPr>
          <t xml:space="preserve">補助対象経費（上限調整後）の合計が
変更前（ア）の合計を超えないよう
各費目にて調整が必要となります。
</t>
        </r>
      </text>
    </comment>
    <comment ref="AG36" authorId="5">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AG35" authorId="5">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List>
</comments>
</file>

<file path=xl/comments6.xml><?xml version="1.0" encoding="utf-8"?>
<comments xmlns="http://schemas.openxmlformats.org/spreadsheetml/2006/main">
  <authors>
    <author>mono133</author>
  </authors>
  <commentList>
    <comment ref="N12" authorId="0">
      <text>
        <r>
          <rPr>
            <sz val="9"/>
            <rFont val="ＭＳ Ｐゴシック"/>
            <family val="3"/>
          </rPr>
          <t>「経費明細表」にて上限調整した額に
なるように経費内訳を調整してください。
　・変更申請額と同額の場合も入力
　　が必要です。
　・上限調整後の合計(ｾﾙN23）は
　　自動計算されますので「経費明
　　細表」と照合して下さい。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<sst xmlns="http://schemas.openxmlformats.org/spreadsheetml/2006/main" count="744" uniqueCount="294">
  <si>
    <t>単価</t>
  </si>
  <si>
    <t>管理No.</t>
  </si>
  <si>
    <t>支払</t>
  </si>
  <si>
    <t>支払先</t>
  </si>
  <si>
    <t>内容および仕様等詳細</t>
  </si>
  <si>
    <t>数量</t>
  </si>
  <si>
    <t>単位</t>
  </si>
  <si>
    <t>年</t>
  </si>
  <si>
    <t>月</t>
  </si>
  <si>
    <t>日</t>
  </si>
  <si>
    <t>(税込み)</t>
  </si>
  <si>
    <t>（税込み）</t>
  </si>
  <si>
    <t>合　　　　計</t>
  </si>
  <si>
    <t>経費区分</t>
  </si>
  <si>
    <t>(注1)</t>
  </si>
  <si>
    <t>(注2)</t>
  </si>
  <si>
    <t>(注3)</t>
  </si>
  <si>
    <t>(単位:円)</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</si>
  <si>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</si>
  <si>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</si>
  <si>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</si>
  <si>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</si>
  <si>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</si>
  <si>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</si>
  <si>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</si>
  <si>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</si>
  <si>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</si>
  <si>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</si>
  <si>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</si>
  <si>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</si>
  <si>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</si>
  <si>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</si>
  <si>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</si>
  <si>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</si>
  <si>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</si>
  <si>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</si>
  <si>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</si>
  <si>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</si>
  <si>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</si>
  <si>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</si>
  <si>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</si>
  <si>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</si>
  <si>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</si>
  <si>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</si>
  <si>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</si>
  <si>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</si>
  <si>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</si>
  <si>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</si>
  <si>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</si>
  <si>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</si>
  <si>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</si>
  <si>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</si>
  <si>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</si>
  <si>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</si>
  <si>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</si>
  <si>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</si>
  <si>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</si>
  <si>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</si>
  <si>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</si>
  <si>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</si>
  <si>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</si>
  <si>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</si>
  <si>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</si>
  <si>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</si>
  <si>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</si>
  <si>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</si>
  <si>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</si>
  <si>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</si>
  <si>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</si>
  <si>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</si>
  <si>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</si>
  <si>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</si>
  <si>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</si>
  <si>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</si>
  <si>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</si>
  <si>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事業に要する経費</t>
  </si>
  <si>
    <t>事業に要する経費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</si>
  <si>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</si>
  <si>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</si>
  <si>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</si>
  <si>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</si>
  <si>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</si>
  <si>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</si>
  <si>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</si>
  <si>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</si>
  <si>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</si>
  <si>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</si>
  <si>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</si>
  <si>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</si>
  <si>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</si>
  <si>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</si>
  <si>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</si>
  <si>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</si>
  <si>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</si>
  <si>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</si>
  <si>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</si>
  <si>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</si>
  <si>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</si>
  <si>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</si>
  <si>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</si>
  <si>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</si>
  <si>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</si>
  <si>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</si>
  <si>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</si>
  <si>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件</t>
  </si>
  <si>
    <t>個</t>
  </si>
  <si>
    <t>調整される補助金の額</t>
  </si>
  <si>
    <t>調整する件数</t>
  </si>
  <si>
    <t>基本情報入力（使い方）</t>
  </si>
  <si>
    <t>小規模型</t>
  </si>
  <si>
    <t>事業類型</t>
  </si>
  <si>
    <t>№</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</si>
  <si>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</si>
  <si>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</si>
  <si>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</si>
  <si>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</si>
  <si>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</si>
  <si>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</si>
  <si>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</si>
  <si>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</si>
  <si>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</si>
  <si>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</si>
  <si>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</si>
  <si>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</si>
  <si>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</si>
  <si>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</si>
  <si>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</si>
  <si>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※は小規模型の「試作開発等」のみ使用可</t>
  </si>
  <si>
    <t>機械装置費で補助対象経費にして単価５０万円以上の設備投資が必要</t>
  </si>
  <si>
    <t>①費目別経費支出明細書</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</si>
  <si>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</si>
  <si>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</si>
  <si>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</si>
  <si>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</si>
  <si>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</si>
  <si>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</si>
  <si>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</si>
  <si>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</si>
  <si>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</si>
  <si>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</si>
  <si>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</si>
  <si>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</si>
  <si>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</si>
  <si>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</si>
  <si>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</si>
  <si>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</si>
  <si>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</si>
  <si>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設備投資にウエイトをおいて補助金額を按分しています。</t>
  </si>
  <si>
    <t>円</t>
  </si>
  <si>
    <t>Ｂ金属株式会社</t>
  </si>
  <si>
    <t>一般型</t>
  </si>
  <si>
    <t>①費目別経費支出明細書</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</si>
  <si>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</si>
  <si>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</si>
  <si>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</si>
  <si>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</si>
  <si>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</si>
  <si>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</si>
  <si>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</si>
  <si>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
  </si>
  <si>
    <t>判定６</t>
  </si>
  <si>
    <t>判定７</t>
  </si>
  <si>
    <t>原材料費（小規模型・試作開発等のみ）</t>
  </si>
  <si>
    <t>外注加工費（小規模型・試作開発等のみ）</t>
  </si>
  <si>
    <t>委託費(小規模型・試作開発等のみ）</t>
  </si>
  <si>
    <t>知的財産権等関連経費(小規模型・試作開発等のみ）</t>
  </si>
  <si>
    <t>原材料費（小規模型・試作開発等のみ）</t>
  </si>
  <si>
    <t>外注加工費（小規模型・試作開発等のみ）</t>
  </si>
  <si>
    <t>委託費(小規模型・試作開発等のみ）</t>
  </si>
  <si>
    <t>知的財産権等関連経費(小規模型・試作開発等のみ）</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</si>
  <si>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</si>
  <si>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</si>
  <si>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</si>
  <si>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</si>
  <si>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</si>
  <si>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</si>
  <si>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</si>
  <si>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</si>
  <si>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</si>
  <si>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</si>
  <si>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様式第３－１の別紙１（新旧対比表）</t>
  </si>
  <si>
    <t>（単位：円）</t>
  </si>
  <si>
    <t>事業形態</t>
  </si>
  <si>
    <t>経費区分
（※は小規模型
「試作開発等」のみ使用可）</t>
  </si>
  <si>
    <t>変　　更　　前　（交付決定額）</t>
  </si>
  <si>
    <t>変　　更　　後</t>
  </si>
  <si>
    <t>補助事業に要する経費</t>
  </si>
  <si>
    <t>補助金交付決定額</t>
  </si>
  <si>
    <t>補助対象経費（税抜き）</t>
  </si>
  <si>
    <t>補助金交付決定額</t>
  </si>
  <si>
    <t>（税込み）</t>
  </si>
  <si>
    <t>（税抜き）</t>
  </si>
  <si>
    <t>（税抜き）</t>
  </si>
  <si>
    <t>（税抜き）</t>
  </si>
  <si>
    <t>（税込み）</t>
  </si>
  <si>
    <t>（税抜き）</t>
  </si>
  <si>
    <t>Ａ</t>
  </si>
  <si>
    <t>Ｂ</t>
  </si>
  <si>
    <t>(ａ)</t>
  </si>
  <si>
    <t>（ア）</t>
  </si>
  <si>
    <t>（イ）</t>
  </si>
  <si>
    <t>(Ａ)</t>
  </si>
  <si>
    <t>変更額　チェックシート(変更後の補助金額が予算額のそれと比較して２０%を超える場合は変更申請が必要となります。)</t>
  </si>
  <si>
    <t>変更前の補助金－変更後の補助金</t>
  </si>
  <si>
    <t>変更前の補助金×２０%</t>
  </si>
  <si>
    <t>補助対象経費</t>
  </si>
  <si>
    <t>補助金の額</t>
  </si>
  <si>
    <t>様式第3-1の別紙2</t>
  </si>
  <si>
    <t>原材料費</t>
  </si>
  <si>
    <t>外注加工費</t>
  </si>
  <si>
    <t>委託費</t>
  </si>
  <si>
    <t>知的財産権等関連経費</t>
  </si>
  <si>
    <t>クラウド利用費</t>
  </si>
  <si>
    <t>様式３－１の別紙１　経費明細表を作成して下さい。</t>
  </si>
  <si>
    <t>●「変更後」の「事業に要する経費（税込み）」「事業に要する経費（税抜き）」「補助対象経費（税抜き）：変更申請額」欄の金額は、</t>
  </si>
  <si>
    <t>　　各費目のシート（費目別経費支出明細書）からリンク表示されます。</t>
  </si>
  <si>
    <t>　　「変更後」の「補助対象経費（税抜き）」合計額は、「変更前」の「補助対象経費（税抜き）」合計額を超えることはできません。</t>
  </si>
  <si>
    <t>　　（越えた場合は、基本的に機械装置費以外で減額調整を行ってください。）</t>
  </si>
  <si>
    <t>●提出用・ファイリング用として印刷してください。</t>
  </si>
  <si>
    <r>
      <rPr>
        <b/>
        <sz val="12"/>
        <rFont val="ＭＳ ゴシック"/>
        <family val="3"/>
      </rPr>
      <t>「費目別経費支出明細書」の「補助対象経費（税抜き）：上限調整後」（セルＮ欄）</t>
    </r>
    <r>
      <rPr>
        <sz val="12"/>
        <rFont val="ＭＳ ゴシック"/>
        <family val="3"/>
      </rPr>
      <t>に、</t>
    </r>
    <r>
      <rPr>
        <b/>
        <sz val="12"/>
        <rFont val="ＭＳ ゴシック"/>
        <family val="3"/>
      </rPr>
      <t>「経費明細表」</t>
    </r>
    <r>
      <rPr>
        <sz val="12"/>
        <rFont val="ＭＳ ゴシック"/>
        <family val="3"/>
      </rPr>
      <t>で作成した</t>
    </r>
  </si>
  <si>
    <t>「補助対象経費（税抜き）：上限調整後」の金額になるように経費内訳を入力してください。</t>
  </si>
  <si>
    <t>●「経費明細表」で上限調整により増減した場合は、「費目別経費支出明細書」でも増減額を反映させる必要があります。</t>
  </si>
  <si>
    <t>●変更申請額と同額の場合も、入力が必要です。</t>
  </si>
  <si>
    <t>補助対象経費</t>
  </si>
  <si>
    <r>
      <t>●「変更前」の</t>
    </r>
    <r>
      <rPr>
        <sz val="11"/>
        <color indexed="26"/>
        <rFont val="ＭＳ Ｐゴシック"/>
        <family val="3"/>
      </rPr>
      <t>■</t>
    </r>
    <r>
      <rPr>
        <sz val="11"/>
        <color theme="1"/>
        <rFont val="Calibri"/>
        <family val="3"/>
      </rPr>
      <t>欄に、交付申請（決定）時の金額を入力してください。</t>
    </r>
  </si>
  <si>
    <r>
      <t xml:space="preserve">●「変更後」の「補助対象経費（税抜き）：上限調整後 」 </t>
    </r>
    <r>
      <rPr>
        <sz val="11"/>
        <color indexed="26"/>
        <rFont val="ＭＳ Ｐゴシック"/>
        <family val="3"/>
      </rPr>
      <t>■</t>
    </r>
    <r>
      <rPr>
        <sz val="11"/>
        <color theme="1"/>
        <rFont val="Calibri"/>
        <family val="3"/>
      </rPr>
      <t>欄に、下記の調整事項を考慮し入力してください。</t>
    </r>
  </si>
  <si>
    <t>このエクセルは事務処理の手引きの計画変更承認申請書　様式第３－１別紙１　新旧対比表</t>
  </si>
  <si>
    <t>を作成するために用意したものです。</t>
  </si>
  <si>
    <t>「様式第２ 交付決定通知書」の補助対象経費と補助金交付決定額を入力してください。</t>
  </si>
  <si>
    <t>（B)補助対象経費</t>
  </si>
  <si>
    <t>（C)補助金交付申請額</t>
  </si>
  <si>
    <t>（単位：円）</t>
  </si>
  <si>
    <t>企業等の名称
（自社に◎）</t>
  </si>
  <si>
    <t>（Ｃ）補助金交付申請額（税抜き）</t>
  </si>
  <si>
    <t>基本補助上限額
（1,000万円以内）</t>
  </si>
  <si>
    <t>計</t>
  </si>
  <si>
    <t>幹事企業</t>
  </si>
  <si>
    <t>Ｙ金属株式会社</t>
  </si>
  <si>
    <t>Ｚ金属株式会社</t>
  </si>
  <si>
    <t>クラウド利用費</t>
  </si>
  <si>
    <t>クラウド利用費</t>
  </si>
  <si>
    <t>補助上限額</t>
  </si>
  <si>
    <t>専門家活動</t>
  </si>
  <si>
    <t>金額</t>
  </si>
  <si>
    <t>補助率</t>
  </si>
  <si>
    <t>率</t>
  </si>
  <si>
    <t>２／３</t>
  </si>
  <si>
    <t>一般型</t>
  </si>
  <si>
    <t>１／２</t>
  </si>
  <si>
    <t>（設備投資のみ）</t>
  </si>
  <si>
    <t>（試作開発等）</t>
  </si>
  <si>
    <t>公募時の補助対象経費を超えていないか</t>
  </si>
  <si>
    <t>判定８</t>
  </si>
  <si>
    <t>公募時の補助金交付申請額を超えていないか</t>
  </si>
  <si>
    <t>技術導入費が補助対象経費の1/3を超えていないか</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</si>
  <si>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</si>
  <si>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</si>
  <si>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</si>
  <si>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</si>
  <si>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</si>
  <si>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</si>
  <si>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</si>
  <si>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</si>
  <si>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</si>
  <si>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</si>
  <si>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</si>
  <si>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</si>
  <si>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○○株式会社</t>
  </si>
  <si>
    <t>初期費用</t>
  </si>
  <si>
    <t>件</t>
  </si>
  <si>
    <t>固定料金費用</t>
  </si>
  <si>
    <t>従量制料金費用</t>
  </si>
  <si>
    <t>ＴＢ</t>
  </si>
  <si>
    <t>判定８</t>
  </si>
  <si>
    <t>技、外、委、知は補助対象経費総額の1/3・1/2・1/2/・1/3以内か</t>
  </si>
  <si>
    <t>生産性向上専門家活用チェック有で３０万円増額の全部または一部を生産性向上専門家活用の経費で使用しているか（通常の専門家経費は専門家活用チェックなくとも使用可）</t>
  </si>
  <si>
    <t>「×」の場合、判定１～判定８参照</t>
  </si>
  <si>
    <t>※上記（Ｂ）と（Ｃ）は必ず入力してください。</t>
  </si>
  <si>
    <t>「機械装置費（50万円以上）」から「知的財産権等関連経費」まで該当の「費目別経費支出明細書」へ見積書等の証拠書類をもとに入力してください。</t>
  </si>
  <si>
    <t>原材料費、外注加工費、委託費、知的財産権等関連経費</t>
  </si>
  <si>
    <t>専門家活用なし</t>
  </si>
  <si>
    <t>専門家活用あり</t>
  </si>
  <si>
    <r>
      <t>Ｂ金属株式会社</t>
    </r>
    <r>
      <rPr>
        <sz val="11"/>
        <rFont val="ＭＳ Ｐゴシック"/>
        <family val="3"/>
      </rPr>
      <t>◎</t>
    </r>
  </si>
  <si>
    <t>補助事業に要する経費
＜支払額＞</t>
  </si>
  <si>
    <t>上限調整前</t>
  </si>
  <si>
    <t>上限調整後申請額</t>
  </si>
  <si>
    <t>上限調整後申請額
（税抜き）</t>
  </si>
  <si>
    <t>上限調整前
（税抜き）</t>
  </si>
  <si>
    <t xml:space="preserve"> （注１）金額の修正は経費明細表ではなく、費目別経費支出明細書のシートで修正してください。</t>
  </si>
  <si>
    <t>公募で採択された、共同申請者全体の「（B)補助対象経費」「（C)補助金交付申請額」の総額を下表に入力下さい。</t>
  </si>
  <si>
    <t>&lt;別表&gt; 共同申請者全体の配分表（記載例：「一般形」の共同申請者の場合）</t>
  </si>
  <si>
    <t>生産性向上
専門化活用
増額分
（共通申請者全体で30万円）</t>
  </si>
  <si>
    <t>注.共同申請への参加事業者数の上限はありません。共同申請者内の各事業者の補助金額は個々に交付決定時に定められるため、</t>
  </si>
  <si>
    <t xml:space="preserve">　　交付決定後に共同申請者内で流用することはできません。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</si>
</sst>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s>
  <fonts count="120">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b/>
      <sz val="12"/>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4"/>
      <color indexed="10"/>
      <name val="ＭＳ Ｐゴシック"/>
      <family val="3"/>
    </font>
    <font>
      <sz val="12"/>
      <color indexed="10"/>
      <name val="ＭＳ Ｐゴシック"/>
      <family val="3"/>
    </font>
    <font>
      <sz val="14"/>
      <name val="ＭＳ ゴシック"/>
      <family val="3"/>
    </font>
    <font>
      <sz val="14"/>
      <color indexed="47"/>
      <name val="ＭＳ Ｐゴシック"/>
      <family val="3"/>
    </font>
    <font>
      <b/>
      <sz val="12"/>
      <color indexed="10"/>
      <name val="ＭＳ Ｐゴシック"/>
      <family val="3"/>
    </font>
    <font>
      <b/>
      <sz val="14"/>
      <color indexed="10"/>
      <name val="ＭＳ Ｐゴシック"/>
      <family val="3"/>
    </font>
    <font>
      <sz val="11"/>
      <color indexed="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16"/>
      <color indexed="10"/>
      <name val="ＭＳ Ｐゴシック"/>
      <family val="3"/>
    </font>
    <font>
      <sz val="12"/>
      <color indexed="47"/>
      <name val="ＭＳ ゴシック"/>
      <family val="3"/>
    </font>
    <font>
      <sz val="12"/>
      <color indexed="10"/>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sz val="10"/>
      <color indexed="8"/>
      <name val="ＭＳ 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sz val="14"/>
      <name val="Calibri"/>
      <family val="3"/>
    </font>
    <font>
      <sz val="9"/>
      <name val="Calibri"/>
      <family val="3"/>
    </font>
    <font>
      <b/>
      <sz val="9"/>
      <name val="Calibri"/>
      <family val="3"/>
    </font>
    <font>
      <b/>
      <sz val="16"/>
      <color rgb="FFFF0000"/>
      <name val="Calibri"/>
      <family val="3"/>
    </font>
    <font>
      <sz val="11"/>
      <name val="Calibri"/>
      <family val="3"/>
    </font>
    <font>
      <sz val="12"/>
      <color theme="9" tint="0.7999799847602844"/>
      <name val="ＭＳ ゴシック"/>
      <family val="3"/>
    </font>
    <font>
      <sz val="12"/>
      <color rgb="FFFF0000"/>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sz val="16"/>
      <name val="Calibri"/>
      <family val="3"/>
    </font>
    <font>
      <sz val="10"/>
      <color theme="1"/>
      <name val="ＭＳ ゴシック"/>
      <family val="3"/>
    </font>
    <font>
      <b/>
      <sz val="14"/>
      <color rgb="FF002060"/>
      <name val="ＭＳ Ｐゴシック"/>
      <family val="3"/>
    </font>
    <font>
      <sz val="14"/>
      <color rgb="FF002060"/>
      <name val="ＭＳ Ｐゴシック"/>
      <family val="3"/>
    </font>
    <font>
      <b/>
      <sz val="16"/>
      <color rgb="FFFF000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92D050"/>
        <bgColor indexed="64"/>
      </patternFill>
    </fill>
    <fill>
      <patternFill patternType="solid">
        <fgColor rgb="FFB7DEE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right/>
      <top/>
      <bottom style="medium"/>
    </border>
    <border>
      <left style="thick"/>
      <right style="thin"/>
      <top style="thick"/>
      <bottom style="hair"/>
    </border>
    <border>
      <left style="thick"/>
      <right style="thin"/>
      <top style="hair"/>
      <bottom style="hair"/>
    </border>
    <border>
      <left style="thick"/>
      <right style="thin"/>
      <top style="hair"/>
      <bottom style="thick"/>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thin"/>
      <bottom/>
    </border>
    <border>
      <left style="thin"/>
      <right style="thin"/>
      <top/>
      <bottom/>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left style="thin"/>
      <right/>
      <top style="thin"/>
      <bottom style="thin"/>
    </border>
    <border>
      <left>
        <color indexed="63"/>
      </left>
      <right style="thick"/>
      <top style="hair"/>
      <bottom style="thick"/>
    </border>
    <border>
      <left style="thin"/>
      <right style="medium"/>
      <top style="medium"/>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thin"/>
      <right/>
      <top/>
      <bottom/>
    </border>
    <border>
      <left/>
      <right/>
      <top/>
      <bottom style="thin"/>
    </border>
    <border>
      <left style="double"/>
      <right style="double"/>
      <top/>
      <bottom style="thin"/>
    </border>
    <border>
      <left/>
      <right/>
      <top style="thin"/>
      <bottom/>
    </border>
    <border>
      <left style="thin"/>
      <right style="thin"/>
      <top style="medium"/>
      <bottom style="medium"/>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style="thin"/>
      <right/>
      <top style="thin"/>
      <bottom/>
    </border>
    <border>
      <left/>
      <right style="thin"/>
      <top/>
      <bottom/>
    </border>
    <border>
      <left style="thin"/>
      <right/>
      <top/>
      <bottom style="thin"/>
    </border>
    <border diagonalUp="1">
      <left style="thin"/>
      <right style="thin"/>
      <top>
        <color indexed="63"/>
      </top>
      <bottom style="thin"/>
      <diagonal style="thin"/>
    </border>
    <border>
      <left style="thin"/>
      <right style="double"/>
      <top>
        <color indexed="63"/>
      </top>
      <bottom>
        <color indexed="63"/>
      </bottom>
    </border>
    <border>
      <left style="double"/>
      <right style="double"/>
      <top>
        <color indexed="63"/>
      </top>
      <bottom/>
    </border>
    <border>
      <left style="double"/>
      <right style="thin"/>
      <top>
        <color indexed="63"/>
      </top>
      <bottom/>
    </border>
    <border diagonalUp="1">
      <left style="thin"/>
      <right style="thin"/>
      <top style="thin"/>
      <bottom style="thin"/>
      <diagonal style="thin"/>
    </border>
    <border>
      <left style="double"/>
      <right>
        <color indexed="63"/>
      </right>
      <top style="thin"/>
      <bottom>
        <color indexed="63"/>
      </bottom>
    </border>
    <border>
      <left style="double"/>
      <right style="thin"/>
      <top/>
      <bottom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color indexed="63"/>
      </left>
      <right>
        <color indexed="63"/>
      </right>
      <top style="hair"/>
      <bottom style="hair"/>
    </border>
    <border>
      <left style="thin"/>
      <right>
        <color indexed="63"/>
      </right>
      <top style="hair"/>
      <bottom style="thick"/>
    </border>
    <border>
      <left>
        <color indexed="63"/>
      </left>
      <right>
        <color indexed="63"/>
      </right>
      <top style="hair"/>
      <bottom style="thick"/>
    </border>
    <border>
      <left style="thin"/>
      <right style="double"/>
      <top style="thin"/>
      <bottom>
        <color indexed="63"/>
      </bottom>
    </border>
    <border>
      <left style="thin"/>
      <right style="double"/>
      <top>
        <color indexed="63"/>
      </top>
      <bottom style="double"/>
    </border>
    <border>
      <left style="thin"/>
      <right style="thick">
        <color theme="8" tint="-0.4999699890613556"/>
      </right>
      <top style="thin"/>
      <bottom/>
    </border>
    <border>
      <left style="thin"/>
      <right style="thick">
        <color theme="8" tint="-0.4999699890613556"/>
      </right>
      <top/>
      <bottom/>
    </border>
    <border>
      <left style="thin"/>
      <right style="thick">
        <color theme="8" tint="-0.4999699890613556"/>
      </right>
      <top>
        <color indexed="63"/>
      </top>
      <bottom style="thin"/>
    </border>
    <border>
      <left>
        <color indexed="63"/>
      </left>
      <right style="double"/>
      <top style="thin"/>
      <bottom style="thin"/>
    </border>
    <border>
      <left style="double"/>
      <right/>
      <top style="thin"/>
      <bottom style="thin"/>
    </border>
    <border>
      <left>
        <color indexed="63"/>
      </left>
      <right>
        <color indexed="63"/>
      </right>
      <top style="thin"/>
      <bottom style="hair"/>
    </border>
    <border>
      <left style="double"/>
      <right style="double"/>
      <top style="thin"/>
      <bottom/>
    </border>
    <border>
      <left style="double"/>
      <right style="thin"/>
      <top style="thin"/>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double"/>
      <top style="hair"/>
      <bottom style="thin"/>
    </border>
    <border>
      <left style="double"/>
      <right style="double"/>
      <top style="hair"/>
      <bottom style="thin"/>
    </border>
    <border>
      <left style="double"/>
      <right style="thin"/>
      <top style="hair"/>
      <bottom style="thin"/>
    </border>
    <border>
      <left/>
      <right style="thin"/>
      <top style="medium"/>
      <bottom/>
    </border>
    <border>
      <left style="medium"/>
      <right/>
      <top/>
      <bottom style="medium"/>
    </border>
    <border>
      <left/>
      <right/>
      <top style="medium"/>
      <bottom/>
    </border>
    <border>
      <left style="thin"/>
      <right style="medium"/>
      <top style="medium"/>
      <bottom>
        <color indexed="63"/>
      </bottom>
    </border>
    <border>
      <left style="thin"/>
      <right style="medium"/>
      <top/>
      <bottom style="medium"/>
    </border>
    <border>
      <left style="medium"/>
      <right style="thin"/>
      <top style="medium"/>
      <bottom>
        <color indexed="63"/>
      </bottom>
    </border>
    <border>
      <left style="medium"/>
      <right style="thin"/>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650">
    <xf numFmtId="0" fontId="0" fillId="0" borderId="0" xfId="0" applyFont="1" applyAlignment="1">
      <alignment vertical="center"/>
    </xf>
    <xf numFmtId="0" fontId="0" fillId="0" borderId="0" xfId="0" applyAlignment="1">
      <alignment horizontal="left" vertical="center"/>
    </xf>
    <xf numFmtId="0" fontId="0" fillId="0" borderId="0" xfId="0" applyAlignment="1" applyProtection="1">
      <alignment vertical="center"/>
      <protection locked="0"/>
    </xf>
    <xf numFmtId="0" fontId="89" fillId="0" borderId="0" xfId="0" applyFont="1" applyAlignment="1" applyProtection="1">
      <alignment vertical="center"/>
      <protection locked="0"/>
    </xf>
    <xf numFmtId="38" fontId="8" fillId="0" borderId="10" xfId="50" applyFont="1" applyBorder="1" applyAlignment="1">
      <alignment vertical="center"/>
    </xf>
    <xf numFmtId="184" fontId="8" fillId="0" borderId="11" xfId="0" applyNumberFormat="1" applyFont="1" applyBorder="1" applyAlignment="1">
      <alignment horizontal="right" vertical="center" wrapText="1"/>
    </xf>
    <xf numFmtId="38" fontId="8" fillId="0" borderId="11" xfId="50" applyFont="1" applyBorder="1" applyAlignment="1">
      <alignment vertical="center"/>
    </xf>
    <xf numFmtId="184" fontId="8" fillId="0" borderId="11" xfId="0" applyNumberFormat="1" applyFont="1" applyBorder="1" applyAlignment="1">
      <alignment horizontal="right" vertical="center"/>
    </xf>
    <xf numFmtId="184" fontId="8" fillId="0" borderId="12" xfId="0" applyNumberFormat="1" applyFont="1" applyBorder="1" applyAlignment="1">
      <alignment horizontal="right" vertical="center" wrapText="1"/>
    </xf>
    <xf numFmtId="38" fontId="8" fillId="0" borderId="12" xfId="50" applyFont="1" applyBorder="1" applyAlignment="1">
      <alignment vertical="center"/>
    </xf>
    <xf numFmtId="190" fontId="8" fillId="0" borderId="13" xfId="50" applyNumberFormat="1" applyFont="1" applyBorder="1" applyAlignment="1">
      <alignment vertical="center"/>
    </xf>
    <xf numFmtId="191" fontId="8" fillId="0" borderId="13" xfId="50" applyNumberFormat="1" applyFont="1" applyBorder="1" applyAlignment="1">
      <alignment vertical="center"/>
    </xf>
    <xf numFmtId="0" fontId="90" fillId="0" borderId="0" xfId="0" applyFont="1" applyAlignment="1" applyProtection="1">
      <alignment vertical="center"/>
      <protection locked="0"/>
    </xf>
    <xf numFmtId="0" fontId="4" fillId="0" borderId="0" xfId="0" applyFont="1" applyAlignment="1" applyProtection="1">
      <alignment vertical="center"/>
      <protection locked="0"/>
    </xf>
    <xf numFmtId="38" fontId="8" fillId="0" borderId="11" xfId="50" applyFont="1" applyBorder="1" applyAlignment="1">
      <alignment horizontal="center" vertical="center"/>
    </xf>
    <xf numFmtId="184" fontId="8" fillId="0" borderId="12" xfId="0" applyNumberFormat="1" applyFont="1" applyBorder="1" applyAlignment="1">
      <alignment horizontal="right" vertical="center"/>
    </xf>
    <xf numFmtId="38" fontId="8" fillId="0" borderId="13" xfId="50" applyFont="1" applyBorder="1" applyAlignment="1">
      <alignment vertical="center"/>
    </xf>
    <xf numFmtId="0" fontId="91" fillId="0" borderId="0" xfId="0" applyFont="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3" xfId="0" applyBorder="1" applyAlignment="1">
      <alignment horizontal="center" vertical="center"/>
    </xf>
    <xf numFmtId="0" fontId="75" fillId="0" borderId="13" xfId="44" applyBorder="1" applyAlignment="1" applyProtection="1">
      <alignment vertical="center"/>
      <protection/>
    </xf>
    <xf numFmtId="184" fontId="92" fillId="0" borderId="16" xfId="0" applyNumberFormat="1" applyFont="1" applyBorder="1" applyAlignment="1">
      <alignment vertical="center" shrinkToFit="1"/>
    </xf>
    <xf numFmtId="186" fontId="92" fillId="33" borderId="16" xfId="0" applyNumberFormat="1" applyFont="1" applyFill="1" applyBorder="1" applyAlignment="1">
      <alignment vertical="center" shrinkToFit="1"/>
    </xf>
    <xf numFmtId="184" fontId="6" fillId="0" borderId="17" xfId="0" applyNumberFormat="1" applyFont="1" applyBorder="1" applyAlignment="1">
      <alignment vertical="center" shrinkToFit="1"/>
    </xf>
    <xf numFmtId="184" fontId="6" fillId="0" borderId="13" xfId="0" applyNumberFormat="1" applyFont="1" applyBorder="1" applyAlignment="1">
      <alignment vertical="center" shrinkToFit="1"/>
    </xf>
    <xf numFmtId="184" fontId="6" fillId="0" borderId="18" xfId="0" applyNumberFormat="1" applyFont="1" applyBorder="1" applyAlignment="1">
      <alignment vertical="center" shrinkToFit="1"/>
    </xf>
    <xf numFmtId="184" fontId="6" fillId="0" borderId="19" xfId="0" applyNumberFormat="1" applyFont="1" applyBorder="1" applyAlignment="1">
      <alignment vertical="center" shrinkToFit="1"/>
    </xf>
    <xf numFmtId="186" fontId="92" fillId="33" borderId="20" xfId="0" applyNumberFormat="1" applyFont="1" applyFill="1" applyBorder="1" applyAlignment="1">
      <alignment vertical="center" shrinkToFit="1"/>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8" fillId="0" borderId="10" xfId="50" applyFont="1" applyBorder="1" applyAlignment="1">
      <alignment horizontal="center" vertical="center"/>
    </xf>
    <xf numFmtId="190" fontId="12" fillId="0" borderId="0" xfId="50" applyNumberFormat="1" applyFont="1" applyAlignment="1">
      <alignment vertical="center" wrapText="1"/>
    </xf>
    <xf numFmtId="190" fontId="15" fillId="0" borderId="15" xfId="50" applyNumberFormat="1" applyFont="1" applyBorder="1" applyAlignment="1">
      <alignment vertical="center" wrapText="1"/>
    </xf>
    <xf numFmtId="190" fontId="15" fillId="0" borderId="13" xfId="50" applyNumberFormat="1" applyFont="1" applyBorder="1" applyAlignment="1">
      <alignment vertical="center" wrapText="1"/>
    </xf>
    <xf numFmtId="0" fontId="93" fillId="0" borderId="0" xfId="0" applyFont="1" applyAlignment="1">
      <alignment horizontal="center" vertical="center" wrapText="1" shrinkToFit="1"/>
    </xf>
    <xf numFmtId="0" fontId="93" fillId="0" borderId="0" xfId="0" applyFont="1" applyAlignment="1">
      <alignment horizontal="center" vertical="center"/>
    </xf>
    <xf numFmtId="184" fontId="5" fillId="0" borderId="0" xfId="0" applyNumberFormat="1" applyFont="1" applyAlignment="1">
      <alignment horizontal="right" vertical="center" wrapText="1"/>
    </xf>
    <xf numFmtId="184" fontId="14" fillId="0" borderId="0" xfId="0" applyNumberFormat="1" applyFont="1" applyAlignment="1">
      <alignment horizontal="left" vertical="center" wrapText="1" indent="3"/>
    </xf>
    <xf numFmtId="0" fontId="21" fillId="33" borderId="0" xfId="0" applyFont="1" applyFill="1" applyAlignment="1">
      <alignment vertical="center"/>
    </xf>
    <xf numFmtId="0" fontId="21" fillId="0" borderId="0" xfId="0" applyFont="1" applyAlignment="1">
      <alignment horizontal="center" vertical="center"/>
    </xf>
    <xf numFmtId="184" fontId="9" fillId="0" borderId="0" xfId="0" applyNumberFormat="1" applyFont="1" applyAlignment="1">
      <alignment horizontal="right" vertical="center" wrapText="1"/>
    </xf>
    <xf numFmtId="0" fontId="5" fillId="0" borderId="0" xfId="0" applyFont="1" applyAlignment="1">
      <alignment vertical="center"/>
    </xf>
    <xf numFmtId="190" fontId="15" fillId="0" borderId="0" xfId="50" applyNumberFormat="1" applyFont="1" applyAlignment="1">
      <alignment vertical="center" wrapText="1"/>
    </xf>
    <xf numFmtId="0" fontId="15" fillId="0" borderId="0" xfId="0" applyFont="1" applyAlignment="1">
      <alignment horizontal="center" vertical="center" wrapText="1"/>
    </xf>
    <xf numFmtId="190" fontId="18" fillId="0" borderId="0" xfId="50" applyNumberFormat="1" applyFont="1" applyAlignment="1">
      <alignment horizontal="right" vertical="center"/>
    </xf>
    <xf numFmtId="0" fontId="9" fillId="33" borderId="21" xfId="0" applyFont="1" applyFill="1" applyBorder="1" applyAlignment="1">
      <alignment vertical="center"/>
    </xf>
    <xf numFmtId="0" fontId="9" fillId="33" borderId="22" xfId="0" applyFont="1" applyFill="1" applyBorder="1" applyAlignment="1">
      <alignmen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75" fillId="0" borderId="0" xfId="44" applyAlignment="1" applyProtection="1">
      <alignment vertical="center"/>
      <protection/>
    </xf>
    <xf numFmtId="0" fontId="94" fillId="0" borderId="0" xfId="0" applyFont="1" applyAlignment="1">
      <alignment vertical="center"/>
    </xf>
    <xf numFmtId="0" fontId="14" fillId="0" borderId="11" xfId="0" applyFont="1" applyBorder="1" applyAlignment="1">
      <alignment horizontal="center" vertical="center"/>
    </xf>
    <xf numFmtId="190" fontId="14" fillId="0" borderId="11" xfId="0" applyNumberFormat="1" applyFont="1" applyBorder="1" applyAlignment="1">
      <alignment horizontal="center" vertical="center"/>
    </xf>
    <xf numFmtId="0" fontId="95" fillId="0" borderId="0" xfId="0" applyFont="1" applyAlignment="1">
      <alignment horizontal="center" vertical="center"/>
    </xf>
    <xf numFmtId="0" fontId="95" fillId="0" borderId="0" xfId="0" applyFont="1" applyAlignment="1">
      <alignment vertical="center"/>
    </xf>
    <xf numFmtId="0" fontId="95" fillId="0" borderId="0" xfId="0" applyFont="1" applyAlignment="1">
      <alignment horizontal="left" vertical="center" shrinkToFit="1"/>
    </xf>
    <xf numFmtId="0" fontId="95" fillId="0" borderId="0" xfId="0" applyFont="1" applyAlignment="1">
      <alignment horizontal="left" vertical="center"/>
    </xf>
    <xf numFmtId="0" fontId="95" fillId="0" borderId="0" xfId="0" applyFont="1" applyAlignment="1">
      <alignment vertical="center"/>
    </xf>
    <xf numFmtId="0" fontId="20" fillId="0" borderId="0" xfId="0" applyFont="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0" fillId="0" borderId="0" xfId="0" applyFont="1" applyAlignment="1">
      <alignment vertical="center"/>
    </xf>
    <xf numFmtId="0" fontId="17" fillId="0" borderId="0" xfId="0" applyFont="1" applyAlignment="1">
      <alignment vertical="center"/>
    </xf>
    <xf numFmtId="0" fontId="17" fillId="0" borderId="0" xfId="0" applyFont="1" applyAlignment="1">
      <alignment horizontal="right" vertical="center"/>
    </xf>
    <xf numFmtId="190" fontId="12" fillId="0" borderId="24" xfId="50" applyNumberFormat="1" applyFont="1" applyBorder="1" applyAlignment="1">
      <alignment horizontal="right" vertical="center" wrapText="1"/>
    </xf>
    <xf numFmtId="0" fontId="9" fillId="0" borderId="25" xfId="0" applyFont="1" applyBorder="1" applyAlignment="1">
      <alignment vertical="center" wrapText="1"/>
    </xf>
    <xf numFmtId="38" fontId="8" fillId="0" borderId="26" xfId="50" applyFont="1" applyBorder="1" applyAlignment="1">
      <alignment horizontal="right" vertical="center"/>
    </xf>
    <xf numFmtId="38" fontId="8" fillId="0" borderId="25" xfId="50" applyFont="1" applyBorder="1" applyAlignment="1">
      <alignment horizontal="right" vertical="center"/>
    </xf>
    <xf numFmtId="184" fontId="8" fillId="0" borderId="26" xfId="0" applyNumberFormat="1" applyFont="1" applyBorder="1" applyAlignment="1">
      <alignment horizontal="right" vertical="center" wrapText="1"/>
    </xf>
    <xf numFmtId="184" fontId="8" fillId="0" borderId="25" xfId="0" applyNumberFormat="1" applyFont="1" applyBorder="1" applyAlignment="1">
      <alignment horizontal="right" vertical="center" wrapText="1"/>
    </xf>
    <xf numFmtId="0" fontId="9" fillId="0" borderId="27" xfId="0" applyFont="1" applyBorder="1" applyAlignment="1">
      <alignment vertical="center" wrapText="1"/>
    </xf>
    <xf numFmtId="38" fontId="8" fillId="0" borderId="28" xfId="50" applyFont="1" applyBorder="1" applyAlignment="1">
      <alignment horizontal="right" vertical="center"/>
    </xf>
    <xf numFmtId="38" fontId="8" fillId="0" borderId="27" xfId="50" applyFont="1" applyBorder="1" applyAlignment="1">
      <alignment horizontal="right" vertical="center"/>
    </xf>
    <xf numFmtId="184" fontId="8" fillId="0" borderId="28" xfId="0" applyNumberFormat="1" applyFont="1" applyBorder="1" applyAlignment="1">
      <alignment horizontal="right" vertical="center" wrapText="1"/>
    </xf>
    <xf numFmtId="184" fontId="8" fillId="0" borderId="27" xfId="0" applyNumberFormat="1" applyFont="1" applyBorder="1" applyAlignment="1">
      <alignment horizontal="right" vertical="center" wrapText="1"/>
    </xf>
    <xf numFmtId="0" fontId="9" fillId="0" borderId="0" xfId="0" applyFont="1" applyAlignment="1">
      <alignment vertical="center"/>
    </xf>
    <xf numFmtId="0" fontId="96" fillId="0" borderId="0" xfId="0" applyFont="1" applyAlignment="1">
      <alignment vertical="center"/>
    </xf>
    <xf numFmtId="0" fontId="9" fillId="0" borderId="29" xfId="0" applyFont="1" applyBorder="1" applyAlignment="1">
      <alignment vertical="center" wrapText="1"/>
    </xf>
    <xf numFmtId="38" fontId="8" fillId="0" borderId="30" xfId="50" applyFont="1" applyBorder="1" applyAlignment="1">
      <alignment horizontal="right" vertical="center"/>
    </xf>
    <xf numFmtId="38" fontId="8" fillId="0" borderId="29" xfId="50" applyFont="1" applyBorder="1" applyAlignment="1">
      <alignment horizontal="right" vertical="center"/>
    </xf>
    <xf numFmtId="184" fontId="8" fillId="0" borderId="30" xfId="0" applyNumberFormat="1" applyFont="1" applyBorder="1" applyAlignment="1">
      <alignment horizontal="right" vertical="center" wrapText="1"/>
    </xf>
    <xf numFmtId="184" fontId="8" fillId="0" borderId="29" xfId="0" applyNumberFormat="1" applyFont="1" applyBorder="1" applyAlignment="1">
      <alignment horizontal="right" vertical="center" wrapText="1"/>
    </xf>
    <xf numFmtId="0" fontId="97" fillId="0" borderId="0" xfId="0" applyFont="1" applyAlignment="1">
      <alignment vertical="center"/>
    </xf>
    <xf numFmtId="0" fontId="21" fillId="0" borderId="0" xfId="0" applyFont="1" applyAlignment="1">
      <alignment vertical="center"/>
    </xf>
    <xf numFmtId="0" fontId="98" fillId="0" borderId="0" xfId="0" applyFont="1" applyAlignment="1">
      <alignment vertical="center"/>
    </xf>
    <xf numFmtId="0" fontId="9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9" fillId="0" borderId="13" xfId="0" applyFont="1" applyBorder="1" applyAlignment="1">
      <alignment horizontal="center" vertical="center"/>
    </xf>
    <xf numFmtId="0" fontId="5" fillId="0" borderId="0" xfId="0" applyFont="1" applyAlignment="1">
      <alignment horizontal="center" vertical="center" textRotation="255"/>
    </xf>
    <xf numFmtId="0" fontId="9" fillId="0" borderId="31" xfId="0" applyFont="1" applyBorder="1" applyAlignment="1">
      <alignment horizontal="center" vertical="top" wrapText="1"/>
    </xf>
    <xf numFmtId="0" fontId="9" fillId="0" borderId="3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9" fillId="0" borderId="17" xfId="0" applyFont="1" applyBorder="1" applyAlignment="1">
      <alignment horizontal="center" vertical="center" wrapText="1"/>
    </xf>
    <xf numFmtId="0" fontId="15" fillId="0" borderId="35" xfId="0" applyFont="1" applyBorder="1" applyAlignment="1">
      <alignment vertical="center"/>
    </xf>
    <xf numFmtId="190" fontId="15" fillId="0" borderId="36" xfId="50" applyNumberFormat="1" applyFont="1" applyBorder="1" applyAlignment="1">
      <alignment vertical="center" wrapText="1"/>
    </xf>
    <xf numFmtId="0" fontId="15" fillId="0" borderId="15" xfId="0" applyFont="1" applyBorder="1" applyAlignment="1">
      <alignment horizontal="center" vertical="center"/>
    </xf>
    <xf numFmtId="0" fontId="15" fillId="0" borderId="35" xfId="0" applyFont="1" applyBorder="1" applyAlignment="1">
      <alignment horizontal="center" vertical="center"/>
    </xf>
    <xf numFmtId="190" fontId="15" fillId="0" borderId="17" xfId="50" applyNumberFormat="1" applyFont="1" applyBorder="1" applyAlignment="1">
      <alignment vertical="center" wrapText="1"/>
    </xf>
    <xf numFmtId="0" fontId="15" fillId="0" borderId="17" xfId="50" applyNumberFormat="1" applyFont="1" applyBorder="1" applyAlignment="1">
      <alignment horizontal="center" vertical="center" wrapText="1"/>
    </xf>
    <xf numFmtId="0" fontId="99" fillId="0" borderId="0" xfId="0" applyFont="1" applyAlignment="1">
      <alignment horizontal="right" vertical="center"/>
    </xf>
    <xf numFmtId="0" fontId="14" fillId="0" borderId="0" xfId="0" applyFont="1" applyAlignment="1">
      <alignment horizontal="center" vertical="center"/>
    </xf>
    <xf numFmtId="0" fontId="15" fillId="0" borderId="37" xfId="0" applyFont="1" applyBorder="1" applyAlignment="1">
      <alignment vertical="center"/>
    </xf>
    <xf numFmtId="190" fontId="15" fillId="0" borderId="38" xfId="50" applyNumberFormat="1" applyFont="1" applyBorder="1" applyAlignment="1">
      <alignment vertical="center" wrapText="1"/>
    </xf>
    <xf numFmtId="0" fontId="15" fillId="0" borderId="13" xfId="0" applyFont="1" applyBorder="1" applyAlignment="1">
      <alignment horizontal="center" vertical="center"/>
    </xf>
    <xf numFmtId="0" fontId="15" fillId="0" borderId="39" xfId="0" applyFont="1" applyBorder="1" applyAlignment="1">
      <alignment horizontal="center" vertical="center"/>
    </xf>
    <xf numFmtId="0" fontId="15" fillId="0" borderId="39" xfId="0" applyFont="1" applyBorder="1" applyAlignment="1">
      <alignment vertical="center"/>
    </xf>
    <xf numFmtId="0" fontId="15" fillId="0" borderId="38" xfId="0" applyFont="1" applyBorder="1" applyAlignment="1">
      <alignment vertical="center" wrapText="1"/>
    </xf>
    <xf numFmtId="0" fontId="15" fillId="34" borderId="13" xfId="0" applyFont="1" applyFill="1" applyBorder="1" applyAlignment="1" quotePrefix="1">
      <alignment horizontal="center" vertical="center" wrapText="1"/>
    </xf>
    <xf numFmtId="0" fontId="15" fillId="34" borderId="13" xfId="0" applyFont="1" applyFill="1" applyBorder="1" applyAlignment="1" quotePrefix="1">
      <alignment horizontal="center" vertical="center" wrapText="1"/>
    </xf>
    <xf numFmtId="0" fontId="15" fillId="0" borderId="13" xfId="0" applyFont="1" applyBorder="1" applyAlignment="1">
      <alignment vertical="center" wrapText="1"/>
    </xf>
    <xf numFmtId="0" fontId="15" fillId="0" borderId="39" xfId="0" applyFont="1" applyBorder="1" applyAlignment="1">
      <alignment vertical="center" wrapText="1"/>
    </xf>
    <xf numFmtId="0" fontId="15" fillId="34" borderId="38" xfId="0" applyFont="1" applyFill="1" applyBorder="1" applyAlignment="1" quotePrefix="1">
      <alignment horizontal="center" vertical="center" wrapText="1"/>
    </xf>
    <xf numFmtId="0" fontId="15" fillId="34" borderId="39" xfId="0" applyFont="1" applyFill="1" applyBorder="1" applyAlignment="1" quotePrefix="1">
      <alignment horizontal="center" vertical="center" wrapText="1"/>
    </xf>
    <xf numFmtId="0" fontId="99" fillId="0" borderId="0" xfId="0" applyFont="1" applyAlignment="1">
      <alignment horizontal="right" vertical="center" wrapText="1"/>
    </xf>
    <xf numFmtId="0" fontId="15" fillId="0" borderId="40" xfId="0" applyFont="1" applyBorder="1" applyAlignment="1">
      <alignment horizontal="center" vertical="center"/>
    </xf>
    <xf numFmtId="184" fontId="9" fillId="0" borderId="0" xfId="0" applyNumberFormat="1" applyFont="1" applyAlignment="1">
      <alignment vertical="center" wrapText="1"/>
    </xf>
    <xf numFmtId="184" fontId="5" fillId="0" borderId="13" xfId="0" applyNumberFormat="1" applyFont="1" applyBorder="1" applyAlignment="1">
      <alignment vertical="center" wrapText="1"/>
    </xf>
    <xf numFmtId="184" fontId="8" fillId="0" borderId="13" xfId="0" applyNumberFormat="1" applyFont="1" applyBorder="1" applyAlignment="1">
      <alignment vertical="center" wrapText="1"/>
    </xf>
    <xf numFmtId="0" fontId="99" fillId="0" borderId="0" xfId="0" applyFont="1" applyAlignment="1">
      <alignment vertical="center"/>
    </xf>
    <xf numFmtId="0" fontId="15" fillId="0" borderId="0" xfId="0" applyFont="1" applyAlignment="1">
      <alignment horizontal="center" vertical="center"/>
    </xf>
    <xf numFmtId="0" fontId="100" fillId="0" borderId="0" xfId="0" applyFont="1" applyAlignment="1">
      <alignment vertical="center"/>
    </xf>
    <xf numFmtId="0" fontId="100" fillId="0" borderId="0" xfId="0" applyFont="1" applyAlignment="1">
      <alignment vertical="center"/>
    </xf>
    <xf numFmtId="0" fontId="9" fillId="0" borderId="0" xfId="0" applyFont="1" applyAlignment="1">
      <alignment vertical="center" wrapText="1"/>
    </xf>
    <xf numFmtId="0" fontId="5" fillId="0" borderId="13" xfId="0" applyFont="1" applyBorder="1" applyAlignment="1">
      <alignment vertical="center" wrapText="1"/>
    </xf>
    <xf numFmtId="0" fontId="5" fillId="0" borderId="13" xfId="0" applyFont="1" applyBorder="1" applyAlignment="1">
      <alignment vertical="center"/>
    </xf>
    <xf numFmtId="0" fontId="95" fillId="0" borderId="0" xfId="0" applyFont="1" applyAlignment="1">
      <alignment vertical="center"/>
    </xf>
    <xf numFmtId="0" fontId="95" fillId="0" borderId="0" xfId="0" applyFont="1" applyAlignment="1">
      <alignment vertical="center"/>
    </xf>
    <xf numFmtId="0" fontId="15" fillId="0" borderId="0" xfId="0" applyFont="1" applyAlignment="1">
      <alignment vertical="center" wrapText="1"/>
    </xf>
    <xf numFmtId="190" fontId="18" fillId="0" borderId="0" xfId="50" applyNumberFormat="1" applyFont="1" applyAlignment="1">
      <alignment horizontal="center" vertical="center"/>
    </xf>
    <xf numFmtId="190" fontId="9" fillId="0" borderId="41" xfId="0" applyNumberFormat="1" applyFont="1" applyBorder="1" applyAlignment="1">
      <alignment horizontal="center" vertical="center"/>
    </xf>
    <xf numFmtId="0" fontId="23" fillId="0" borderId="0" xfId="0" applyFont="1" applyAlignment="1">
      <alignment vertical="top" wrapText="1"/>
    </xf>
    <xf numFmtId="0" fontId="16" fillId="0" borderId="0" xfId="0" applyFont="1" applyAlignment="1">
      <alignment vertical="center"/>
    </xf>
    <xf numFmtId="0" fontId="101" fillId="0" borderId="0" xfId="0" applyFont="1" applyAlignment="1">
      <alignment vertical="center"/>
    </xf>
    <xf numFmtId="190" fontId="15" fillId="0" borderId="13" xfId="0" applyNumberFormat="1" applyFont="1" applyBorder="1" applyAlignment="1">
      <alignment vertical="center"/>
    </xf>
    <xf numFmtId="190" fontId="15" fillId="34" borderId="13" xfId="0" applyNumberFormat="1" applyFont="1" applyFill="1" applyBorder="1" applyAlignment="1" quotePrefix="1">
      <alignment horizontal="center" vertical="center" wrapText="1"/>
    </xf>
    <xf numFmtId="0" fontId="90" fillId="0" borderId="0" xfId="0" applyFont="1" applyAlignment="1" applyProtection="1">
      <alignment vertical="center"/>
      <protection locked="0"/>
    </xf>
    <xf numFmtId="184" fontId="6" fillId="0" borderId="42" xfId="0" applyNumberFormat="1" applyFont="1" applyBorder="1" applyAlignment="1">
      <alignment vertical="center" shrinkToFit="1"/>
    </xf>
    <xf numFmtId="184" fontId="5" fillId="0" borderId="13" xfId="0" applyNumberFormat="1" applyFont="1" applyBorder="1" applyAlignment="1">
      <alignment vertical="center" shrinkToFit="1"/>
    </xf>
    <xf numFmtId="0" fontId="90" fillId="0" borderId="0" xfId="0" applyFont="1" applyAlignment="1">
      <alignment vertical="center"/>
    </xf>
    <xf numFmtId="0" fontId="4" fillId="0" borderId="0" xfId="0" applyFont="1" applyAlignment="1">
      <alignment vertical="center"/>
    </xf>
    <xf numFmtId="0" fontId="90" fillId="0" borderId="0" xfId="0" applyFont="1" applyAlignment="1">
      <alignment vertical="center"/>
    </xf>
    <xf numFmtId="0" fontId="90" fillId="0" borderId="0" xfId="0" applyFont="1" applyAlignment="1">
      <alignment vertical="center"/>
    </xf>
    <xf numFmtId="0" fontId="0" fillId="0" borderId="0" xfId="0" applyAlignment="1">
      <alignment vertical="center"/>
    </xf>
    <xf numFmtId="0" fontId="89" fillId="0" borderId="0" xfId="0" applyFont="1" applyAlignment="1">
      <alignment vertical="center"/>
    </xf>
    <xf numFmtId="0" fontId="102" fillId="0" borderId="0" xfId="0" applyFont="1" applyAlignment="1">
      <alignment vertical="center"/>
    </xf>
    <xf numFmtId="0" fontId="102" fillId="0" borderId="0" xfId="0" applyFont="1" applyAlignment="1" applyProtection="1">
      <alignment vertical="center"/>
      <protection locked="0"/>
    </xf>
    <xf numFmtId="0" fontId="0" fillId="0" borderId="0" xfId="0" applyAlignment="1">
      <alignment horizontal="center" vertical="center"/>
    </xf>
    <xf numFmtId="0" fontId="0" fillId="0" borderId="0" xfId="0" applyAlignment="1">
      <alignment horizontal="left" vertical="center" shrinkToFit="1"/>
    </xf>
    <xf numFmtId="0" fontId="0" fillId="0" borderId="0" xfId="0" applyAlignment="1">
      <alignment vertical="center"/>
    </xf>
    <xf numFmtId="0" fontId="0" fillId="0" borderId="0" xfId="0" applyAlignment="1">
      <alignment vertical="center"/>
    </xf>
    <xf numFmtId="0" fontId="102" fillId="0" borderId="0" xfId="0" applyFont="1" applyAlignment="1">
      <alignment horizontal="center" vertical="center"/>
    </xf>
    <xf numFmtId="0" fontId="102" fillId="0" borderId="0" xfId="0" applyFont="1" applyAlignment="1">
      <alignment horizontal="left" vertical="center" shrinkToFit="1"/>
    </xf>
    <xf numFmtId="0" fontId="102" fillId="0" borderId="0" xfId="0" applyFont="1" applyAlignment="1">
      <alignment vertical="center"/>
    </xf>
    <xf numFmtId="0" fontId="102" fillId="0" borderId="0" xfId="0" applyFont="1" applyAlignment="1">
      <alignment horizontal="left" vertical="center"/>
    </xf>
    <xf numFmtId="0" fontId="102" fillId="0" borderId="0" xfId="0" applyFont="1" applyAlignment="1">
      <alignment horizontal="center" vertical="center"/>
    </xf>
    <xf numFmtId="0" fontId="102" fillId="0" borderId="0" xfId="0" applyFont="1" applyAlignment="1">
      <alignment horizontal="left" vertical="center" shrinkToFit="1"/>
    </xf>
    <xf numFmtId="14" fontId="0" fillId="0" borderId="0" xfId="0" applyNumberFormat="1" applyAlignment="1">
      <alignment vertical="center"/>
    </xf>
    <xf numFmtId="0" fontId="0" fillId="0" borderId="0" xfId="0" applyAlignment="1">
      <alignment horizontal="right" vertical="center"/>
    </xf>
    <xf numFmtId="0" fontId="102" fillId="0" borderId="43" xfId="0" applyFont="1" applyBorder="1" applyAlignment="1">
      <alignment horizontal="center" vertical="top" shrinkToFit="1"/>
    </xf>
    <xf numFmtId="0" fontId="102" fillId="0" borderId="43" xfId="0" applyFont="1" applyBorder="1" applyAlignment="1">
      <alignment horizontal="center" vertical="top" wrapText="1"/>
    </xf>
    <xf numFmtId="0" fontId="102" fillId="0" borderId="44" xfId="0" applyFont="1" applyBorder="1" applyAlignment="1">
      <alignment horizontal="center" vertical="top" wrapText="1"/>
    </xf>
    <xf numFmtId="0" fontId="0" fillId="0" borderId="20" xfId="0" applyBorder="1" applyAlignment="1">
      <alignment horizontal="center" vertical="top" wrapText="1"/>
    </xf>
    <xf numFmtId="0" fontId="0" fillId="0" borderId="45" xfId="0" applyBorder="1" applyAlignment="1">
      <alignment horizontal="center" vertical="top" wrapText="1"/>
    </xf>
    <xf numFmtId="0" fontId="102" fillId="0" borderId="16" xfId="0" applyFont="1" applyBorder="1" applyAlignment="1">
      <alignment horizontal="left" vertical="center" shrinkToFit="1"/>
    </xf>
    <xf numFmtId="0" fontId="0" fillId="0" borderId="16" xfId="0" applyBorder="1" applyAlignment="1">
      <alignment horizontal="center" vertical="top" wrapText="1"/>
    </xf>
    <xf numFmtId="0" fontId="102" fillId="0" borderId="16" xfId="0" applyFont="1" applyBorder="1" applyAlignment="1">
      <alignment horizontal="center" vertical="center" wrapText="1"/>
    </xf>
    <xf numFmtId="0" fontId="102" fillId="0" borderId="46" xfId="0" applyFont="1" applyBorder="1" applyAlignment="1">
      <alignment horizontal="center" vertical="center" wrapText="1"/>
    </xf>
    <xf numFmtId="0" fontId="0" fillId="33" borderId="0" xfId="0" applyFill="1" applyAlignment="1">
      <alignment vertical="center"/>
    </xf>
    <xf numFmtId="0" fontId="0" fillId="33" borderId="0" xfId="0" applyFill="1" applyAlignment="1">
      <alignment horizontal="center" vertical="center"/>
    </xf>
    <xf numFmtId="0" fontId="103" fillId="33" borderId="20" xfId="0" applyFont="1" applyFill="1" applyBorder="1" applyAlignment="1">
      <alignment horizontal="center" vertical="center" wrapText="1"/>
    </xf>
    <xf numFmtId="186" fontId="92" fillId="33" borderId="0" xfId="0" applyNumberFormat="1" applyFont="1" applyFill="1" applyAlignment="1">
      <alignment horizontal="center" vertical="center" wrapText="1"/>
    </xf>
    <xf numFmtId="0" fontId="92" fillId="0" borderId="0" xfId="0" applyFont="1" applyAlignment="1">
      <alignment horizontal="right" vertical="center"/>
    </xf>
    <xf numFmtId="184" fontId="92" fillId="0" borderId="0" xfId="0" applyNumberFormat="1" applyFont="1" applyAlignment="1">
      <alignment vertical="center"/>
    </xf>
    <xf numFmtId="0" fontId="102" fillId="0" borderId="0" xfId="0" applyFont="1" applyAlignment="1">
      <alignment horizontal="justify" vertical="center"/>
    </xf>
    <xf numFmtId="38" fontId="0" fillId="0" borderId="0" xfId="50" applyAlignment="1">
      <alignment vertical="center"/>
    </xf>
    <xf numFmtId="38" fontId="0" fillId="0" borderId="0" xfId="0" applyNumberFormat="1" applyAlignment="1">
      <alignment vertical="center"/>
    </xf>
    <xf numFmtId="0" fontId="102" fillId="0" borderId="0" xfId="0" applyFont="1" applyAlignment="1">
      <alignment horizontal="center" vertical="center" wrapText="1"/>
    </xf>
    <xf numFmtId="0" fontId="102" fillId="0" borderId="47" xfId="0" applyFont="1" applyBorder="1" applyAlignment="1">
      <alignment horizontal="center" vertical="center" wrapText="1"/>
    </xf>
    <xf numFmtId="0" fontId="102" fillId="0" borderId="48" xfId="0" applyFont="1" applyBorder="1" applyAlignment="1">
      <alignment horizontal="center" vertical="center" wrapText="1"/>
    </xf>
    <xf numFmtId="0" fontId="102" fillId="33" borderId="48" xfId="0" applyFont="1" applyFill="1" applyBorder="1" applyAlignment="1">
      <alignment horizontal="center" vertical="center" wrapText="1"/>
    </xf>
    <xf numFmtId="0" fontId="102" fillId="33" borderId="0" xfId="0" applyFont="1" applyFill="1" applyAlignment="1">
      <alignment horizontal="center" vertical="center" wrapText="1"/>
    </xf>
    <xf numFmtId="0" fontId="102" fillId="33" borderId="47" xfId="0" applyFont="1" applyFill="1" applyBorder="1" applyAlignment="1">
      <alignment horizontal="center" vertical="center" wrapText="1"/>
    </xf>
    <xf numFmtId="0" fontId="102" fillId="0" borderId="49" xfId="0" applyFont="1" applyBorder="1" applyAlignment="1">
      <alignment horizontal="center" vertical="center" wrapText="1"/>
    </xf>
    <xf numFmtId="0" fontId="102" fillId="0" borderId="0" xfId="0" applyFont="1" applyAlignment="1">
      <alignment horizontal="left" vertical="center"/>
    </xf>
    <xf numFmtId="0" fontId="102" fillId="0" borderId="16" xfId="0" applyFont="1" applyBorder="1" applyAlignment="1">
      <alignment horizontal="left" vertical="center" wrapText="1"/>
    </xf>
    <xf numFmtId="38" fontId="102" fillId="0" borderId="43" xfId="50" applyFont="1" applyBorder="1" applyAlignment="1">
      <alignment horizontal="center" vertical="top" wrapText="1"/>
    </xf>
    <xf numFmtId="38" fontId="103" fillId="33" borderId="20" xfId="50" applyFont="1" applyFill="1" applyBorder="1" applyAlignment="1">
      <alignment horizontal="center" vertical="center" wrapText="1"/>
    </xf>
    <xf numFmtId="38" fontId="92" fillId="0" borderId="0" xfId="5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190" fontId="9" fillId="35" borderId="50" xfId="0" applyNumberFormat="1" applyFont="1" applyFill="1" applyBorder="1" applyAlignment="1">
      <alignment horizontal="center" vertical="center"/>
    </xf>
    <xf numFmtId="0" fontId="102" fillId="35" borderId="47" xfId="0" applyFont="1" applyFill="1" applyBorder="1" applyAlignment="1" applyProtection="1">
      <alignment horizontal="center" vertical="center" wrapText="1"/>
      <protection locked="0"/>
    </xf>
    <xf numFmtId="0" fontId="102" fillId="35" borderId="48" xfId="0" applyFont="1" applyFill="1" applyBorder="1" applyAlignment="1" applyProtection="1">
      <alignment horizontal="center" vertical="center" wrapText="1"/>
      <protection locked="0"/>
    </xf>
    <xf numFmtId="0" fontId="102" fillId="35" borderId="49" xfId="0" applyFont="1" applyFill="1" applyBorder="1" applyAlignment="1" applyProtection="1">
      <alignment horizontal="center" vertical="center" wrapText="1"/>
      <protection locked="0"/>
    </xf>
    <xf numFmtId="0" fontId="92" fillId="35" borderId="19" xfId="0" applyFont="1" applyFill="1" applyBorder="1" applyAlignment="1" applyProtection="1">
      <alignment horizontal="left" vertical="center" wrapText="1"/>
      <protection locked="0"/>
    </xf>
    <xf numFmtId="0" fontId="92" fillId="35" borderId="17" xfId="0" applyFont="1" applyFill="1" applyBorder="1" applyAlignment="1" applyProtection="1">
      <alignment horizontal="left" vertical="center" wrapText="1"/>
      <protection locked="0"/>
    </xf>
    <xf numFmtId="188" fontId="6" fillId="35" borderId="17" xfId="0" applyNumberFormat="1" applyFont="1" applyFill="1" applyBorder="1" applyAlignment="1" applyProtection="1">
      <alignment vertical="center" shrinkToFit="1"/>
      <protection locked="0"/>
    </xf>
    <xf numFmtId="185" fontId="6" fillId="35" borderId="17" xfId="0" applyNumberFormat="1" applyFont="1" applyFill="1" applyBorder="1" applyAlignment="1" applyProtection="1">
      <alignment horizontal="center" vertical="center" shrinkToFit="1"/>
      <protection locked="0"/>
    </xf>
    <xf numFmtId="188" fontId="6" fillId="35" borderId="13" xfId="0" applyNumberFormat="1" applyFont="1" applyFill="1" applyBorder="1" applyAlignment="1" applyProtection="1">
      <alignment vertical="center" shrinkToFit="1"/>
      <protection locked="0"/>
    </xf>
    <xf numFmtId="0" fontId="92" fillId="35" borderId="13"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92" fillId="35" borderId="18" xfId="0" applyFont="1" applyFill="1" applyBorder="1" applyAlignment="1" applyProtection="1">
      <alignment horizontal="left" vertical="center" wrapText="1"/>
      <protection locked="0"/>
    </xf>
    <xf numFmtId="188" fontId="6" fillId="35" borderId="18" xfId="0" applyNumberFormat="1" applyFont="1" applyFill="1" applyBorder="1" applyAlignment="1" applyProtection="1">
      <alignment vertical="center" shrinkToFit="1"/>
      <protection locked="0"/>
    </xf>
    <xf numFmtId="185" fontId="6" fillId="35" borderId="18" xfId="0" applyNumberFormat="1" applyFont="1" applyFill="1" applyBorder="1" applyAlignment="1" applyProtection="1">
      <alignment horizontal="center" vertical="center" shrinkToFit="1"/>
      <protection locked="0"/>
    </xf>
    <xf numFmtId="184" fontId="6" fillId="35" borderId="17" xfId="0" applyNumberFormat="1" applyFont="1" applyFill="1" applyBorder="1" applyAlignment="1" applyProtection="1">
      <alignment vertical="center" shrinkToFit="1"/>
      <protection locked="0"/>
    </xf>
    <xf numFmtId="184" fontId="6" fillId="35" borderId="18" xfId="0" applyNumberFormat="1" applyFont="1" applyFill="1" applyBorder="1" applyAlignment="1" applyProtection="1">
      <alignment vertical="center" shrinkToFit="1"/>
      <protection locked="0"/>
    </xf>
    <xf numFmtId="0" fontId="0" fillId="35" borderId="51" xfId="0" applyFill="1" applyBorder="1" applyAlignment="1" applyProtection="1">
      <alignment horizontal="center" vertical="center"/>
      <protection locked="0"/>
    </xf>
    <xf numFmtId="0" fontId="0" fillId="35" borderId="52" xfId="0" applyFill="1" applyBorder="1" applyAlignment="1" applyProtection="1">
      <alignment horizontal="center" vertical="center"/>
      <protection locked="0"/>
    </xf>
    <xf numFmtId="0" fontId="102" fillId="35" borderId="53" xfId="0" applyFont="1" applyFill="1" applyBorder="1" applyAlignment="1" applyProtection="1">
      <alignment horizontal="center" vertical="center" wrapText="1"/>
      <protection locked="0"/>
    </xf>
    <xf numFmtId="188" fontId="6" fillId="35" borderId="19" xfId="0" applyNumberFormat="1" applyFont="1" applyFill="1" applyBorder="1" applyAlignment="1" applyProtection="1">
      <alignment vertical="center" shrinkToFit="1"/>
      <protection locked="0"/>
    </xf>
    <xf numFmtId="185" fontId="6" fillId="35" borderId="19" xfId="0" applyNumberFormat="1" applyFont="1" applyFill="1" applyBorder="1" applyAlignment="1" applyProtection="1">
      <alignment horizontal="center" vertical="center" shrinkToFit="1"/>
      <protection locked="0"/>
    </xf>
    <xf numFmtId="185" fontId="6" fillId="35" borderId="13" xfId="0" applyNumberFormat="1" applyFont="1" applyFill="1" applyBorder="1" applyAlignment="1" applyProtection="1">
      <alignment horizontal="center" vertical="center" shrinkToFit="1"/>
      <protection locked="0"/>
    </xf>
    <xf numFmtId="184" fontId="6" fillId="35" borderId="19" xfId="0" applyNumberFormat="1" applyFont="1" applyFill="1" applyBorder="1" applyAlignment="1" applyProtection="1">
      <alignment vertical="center" shrinkToFit="1"/>
      <protection locked="0"/>
    </xf>
    <xf numFmtId="184" fontId="6" fillId="35" borderId="13" xfId="0" applyNumberFormat="1" applyFont="1" applyFill="1" applyBorder="1" applyAlignment="1" applyProtection="1">
      <alignment vertical="center" shrinkToFit="1"/>
      <protection locked="0"/>
    </xf>
    <xf numFmtId="0" fontId="0" fillId="35" borderId="54" xfId="0" applyFill="1" applyBorder="1" applyAlignment="1" applyProtection="1">
      <alignment horizontal="center" vertical="center"/>
      <protection locked="0"/>
    </xf>
    <xf numFmtId="0" fontId="0" fillId="35" borderId="55" xfId="0" applyFill="1" applyBorder="1" applyAlignment="1" applyProtection="1">
      <alignment horizontal="center" vertical="center"/>
      <protection locked="0"/>
    </xf>
    <xf numFmtId="0" fontId="92" fillId="35" borderId="38" xfId="0" applyFont="1" applyFill="1" applyBorder="1" applyAlignment="1" applyProtection="1">
      <alignment horizontal="left" vertical="center" wrapText="1"/>
      <protection locked="0"/>
    </xf>
    <xf numFmtId="0" fontId="92" fillId="35" borderId="56" xfId="0" applyFont="1" applyFill="1" applyBorder="1" applyAlignment="1" applyProtection="1">
      <alignment horizontal="left" vertical="center" wrapText="1"/>
      <protection locked="0"/>
    </xf>
    <xf numFmtId="0" fontId="0" fillId="35" borderId="57" xfId="0" applyFill="1" applyBorder="1" applyAlignment="1" applyProtection="1">
      <alignment horizontal="center" vertical="center"/>
      <protection locked="0"/>
    </xf>
    <xf numFmtId="0" fontId="0" fillId="35" borderId="58" xfId="0" applyFill="1" applyBorder="1" applyAlignment="1" applyProtection="1">
      <alignment horizontal="center" vertical="center"/>
      <protection locked="0"/>
    </xf>
    <xf numFmtId="0" fontId="92" fillId="35" borderId="59" xfId="0" applyFont="1" applyFill="1" applyBorder="1" applyAlignment="1" applyProtection="1">
      <alignment horizontal="left" vertical="center" wrapText="1"/>
      <protection locked="0"/>
    </xf>
    <xf numFmtId="184" fontId="92" fillId="35" borderId="19" xfId="0" applyNumberFormat="1" applyFont="1" applyFill="1" applyBorder="1" applyAlignment="1" applyProtection="1">
      <alignment vertical="center" shrinkToFit="1"/>
      <protection locked="0"/>
    </xf>
    <xf numFmtId="0" fontId="92" fillId="35" borderId="13" xfId="0" applyFont="1" applyFill="1" applyBorder="1" applyAlignment="1" applyProtection="1">
      <alignment horizontal="left" vertical="center" wrapText="1" shrinkToFit="1"/>
      <protection locked="0"/>
    </xf>
    <xf numFmtId="0" fontId="92" fillId="35" borderId="18" xfId="0" applyFont="1" applyFill="1" applyBorder="1" applyAlignment="1" applyProtection="1">
      <alignment horizontal="left" vertical="center" wrapText="1" shrinkToFit="1"/>
      <protection locked="0"/>
    </xf>
    <xf numFmtId="0" fontId="17" fillId="0" borderId="0" xfId="0" applyFont="1" applyAlignment="1">
      <alignment horizontal="center" vertical="center"/>
    </xf>
    <xf numFmtId="0" fontId="104" fillId="0" borderId="0" xfId="0" applyFont="1" applyAlignment="1" applyProtection="1">
      <alignment vertical="center"/>
      <protection locked="0"/>
    </xf>
    <xf numFmtId="0" fontId="105" fillId="0" borderId="0" xfId="0" applyFont="1" applyAlignment="1" applyProtection="1">
      <alignment vertical="center"/>
      <protection locked="0"/>
    </xf>
    <xf numFmtId="0" fontId="104" fillId="0" borderId="0" xfId="0" applyFont="1" applyAlignment="1">
      <alignment horizontal="center" vertical="center"/>
    </xf>
    <xf numFmtId="0" fontId="104" fillId="0" borderId="0" xfId="0" applyFont="1" applyAlignment="1" applyProtection="1">
      <alignment vertical="center"/>
      <protection locked="0"/>
    </xf>
    <xf numFmtId="0" fontId="105" fillId="0" borderId="0" xfId="0" applyFont="1" applyAlignment="1" applyProtection="1">
      <alignment vertical="center"/>
      <protection locked="0"/>
    </xf>
    <xf numFmtId="0" fontId="104" fillId="0" borderId="0" xfId="0" applyFont="1" applyAlignment="1" applyProtection="1">
      <alignment horizontal="right" vertical="center"/>
      <protection locked="0"/>
    </xf>
    <xf numFmtId="0" fontId="17" fillId="0" borderId="60" xfId="0" applyFont="1" applyBorder="1" applyAlignment="1">
      <alignment vertical="center"/>
    </xf>
    <xf numFmtId="0" fontId="96" fillId="0" borderId="0" xfId="0" applyFont="1" applyAlignment="1">
      <alignment vertical="center"/>
    </xf>
    <xf numFmtId="0" fontId="23" fillId="0" borderId="17" xfId="0" applyFont="1" applyBorder="1" applyAlignment="1">
      <alignment vertical="top" wrapText="1"/>
    </xf>
    <xf numFmtId="0" fontId="4" fillId="0" borderId="17" xfId="0" applyFont="1" applyBorder="1" applyAlignment="1" quotePrefix="1">
      <alignment horizontal="right" vertical="center" wrapText="1"/>
    </xf>
    <xf numFmtId="0" fontId="23" fillId="0" borderId="37" xfId="0" applyFont="1" applyBorder="1" applyAlignment="1">
      <alignment vertical="top" wrapText="1"/>
    </xf>
    <xf numFmtId="0" fontId="8" fillId="0" borderId="61" xfId="0" applyFont="1" applyBorder="1" applyAlignment="1" quotePrefix="1">
      <alignment horizontal="center" vertical="center" wrapText="1"/>
    </xf>
    <xf numFmtId="0" fontId="23" fillId="0" borderId="62" xfId="0" applyFont="1" applyBorder="1" applyAlignment="1">
      <alignment vertical="top" wrapText="1"/>
    </xf>
    <xf numFmtId="184" fontId="23" fillId="0" borderId="17" xfId="0" applyNumberFormat="1" applyFont="1" applyBorder="1" applyAlignment="1">
      <alignment vertical="top" wrapText="1"/>
    </xf>
    <xf numFmtId="0" fontId="106" fillId="0" borderId="0" xfId="0" applyFont="1" applyAlignment="1" applyProtection="1">
      <alignment vertical="center"/>
      <protection locked="0"/>
    </xf>
    <xf numFmtId="38" fontId="9" fillId="0" borderId="13" xfId="50" applyFont="1" applyBorder="1" applyAlignment="1">
      <alignment horizontal="right" vertical="center" indent="1"/>
    </xf>
    <xf numFmtId="0" fontId="107" fillId="0" borderId="13" xfId="0" applyFont="1" applyBorder="1" applyAlignment="1">
      <alignment horizontal="center" vertical="center"/>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17" xfId="0" applyFont="1" applyBorder="1" applyAlignment="1">
      <alignment vertical="center" wrapText="1"/>
    </xf>
    <xf numFmtId="0" fontId="3" fillId="0" borderId="13" xfId="0" applyFont="1" applyBorder="1" applyAlignment="1">
      <alignment vertical="center" shrinkToFit="1"/>
    </xf>
    <xf numFmtId="0" fontId="3" fillId="0" borderId="63" xfId="0" applyFont="1" applyBorder="1" applyAlignment="1">
      <alignment vertical="center" wrapText="1"/>
    </xf>
    <xf numFmtId="0" fontId="3" fillId="0" borderId="13" xfId="0" applyFont="1" applyBorder="1" applyAlignment="1">
      <alignment vertical="center" wrapText="1"/>
    </xf>
    <xf numFmtId="0" fontId="108" fillId="0" borderId="0" xfId="0" applyFont="1" applyAlignment="1">
      <alignment vertical="center"/>
    </xf>
    <xf numFmtId="184" fontId="6" fillId="0" borderId="64" xfId="0" applyNumberFormat="1" applyFont="1" applyBorder="1" applyAlignment="1">
      <alignment vertical="center" shrinkToFit="1"/>
    </xf>
    <xf numFmtId="38" fontId="8" fillId="35" borderId="26" xfId="50" applyFont="1" applyFill="1" applyBorder="1" applyAlignment="1" applyProtection="1">
      <alignment horizontal="right" vertical="center"/>
      <protection locked="0"/>
    </xf>
    <xf numFmtId="38" fontId="8" fillId="35" borderId="25" xfId="50" applyFont="1" applyFill="1" applyBorder="1" applyAlignment="1" applyProtection="1">
      <alignment horizontal="right" vertical="center"/>
      <protection locked="0"/>
    </xf>
    <xf numFmtId="184" fontId="8" fillId="35" borderId="26" xfId="0" applyNumberFormat="1" applyFont="1" applyFill="1" applyBorder="1" applyAlignment="1" applyProtection="1">
      <alignment horizontal="right" vertical="center" wrapText="1"/>
      <protection locked="0"/>
    </xf>
    <xf numFmtId="184" fontId="8" fillId="35" borderId="25" xfId="0" applyNumberFormat="1" applyFont="1" applyFill="1" applyBorder="1" applyAlignment="1" applyProtection="1">
      <alignment horizontal="right" vertical="center" wrapText="1"/>
      <protection locked="0"/>
    </xf>
    <xf numFmtId="184" fontId="8" fillId="35" borderId="65" xfId="0" applyNumberFormat="1" applyFont="1" applyFill="1" applyBorder="1" applyAlignment="1" applyProtection="1">
      <alignment horizontal="right" vertical="center" wrapText="1"/>
      <protection locked="0"/>
    </xf>
    <xf numFmtId="38" fontId="8" fillId="35" borderId="28" xfId="50" applyFont="1" applyFill="1" applyBorder="1" applyAlignment="1" applyProtection="1">
      <alignment horizontal="right" vertical="center"/>
      <protection locked="0"/>
    </xf>
    <xf numFmtId="38" fontId="8" fillId="35" borderId="27" xfId="50" applyFont="1" applyFill="1" applyBorder="1" applyAlignment="1" applyProtection="1">
      <alignment horizontal="right" vertical="center"/>
      <protection locked="0"/>
    </xf>
    <xf numFmtId="184" fontId="8" fillId="35" borderId="28" xfId="0" applyNumberFormat="1" applyFont="1" applyFill="1" applyBorder="1" applyAlignment="1" applyProtection="1">
      <alignment horizontal="right" vertical="center" wrapText="1"/>
      <protection locked="0"/>
    </xf>
    <xf numFmtId="184" fontId="8" fillId="35" borderId="27" xfId="0" applyNumberFormat="1" applyFont="1" applyFill="1" applyBorder="1" applyAlignment="1" applyProtection="1">
      <alignment horizontal="right" vertical="center" wrapText="1"/>
      <protection locked="0"/>
    </xf>
    <xf numFmtId="184" fontId="8" fillId="35" borderId="66" xfId="0" applyNumberFormat="1" applyFont="1" applyFill="1" applyBorder="1" applyAlignment="1" applyProtection="1">
      <alignment horizontal="right" vertical="center" wrapText="1"/>
      <protection locked="0"/>
    </xf>
    <xf numFmtId="38" fontId="8" fillId="35" borderId="30" xfId="50" applyFont="1" applyFill="1" applyBorder="1" applyAlignment="1" applyProtection="1">
      <alignment horizontal="right" vertical="center"/>
      <protection locked="0"/>
    </xf>
    <xf numFmtId="38" fontId="8" fillId="35" borderId="29" xfId="50" applyFont="1" applyFill="1" applyBorder="1" applyAlignment="1" applyProtection="1">
      <alignment horizontal="right" vertical="center"/>
      <protection locked="0"/>
    </xf>
    <xf numFmtId="184" fontId="8" fillId="35" borderId="30" xfId="0" applyNumberFormat="1" applyFont="1" applyFill="1" applyBorder="1" applyAlignment="1" applyProtection="1">
      <alignment horizontal="right" vertical="center" wrapText="1"/>
      <protection locked="0"/>
    </xf>
    <xf numFmtId="184" fontId="8" fillId="35" borderId="29" xfId="0" applyNumberFormat="1" applyFont="1" applyFill="1" applyBorder="1" applyAlignment="1" applyProtection="1">
      <alignment horizontal="right" vertical="center" wrapText="1"/>
      <protection locked="0"/>
    </xf>
    <xf numFmtId="184" fontId="8" fillId="35" borderId="67" xfId="0" applyNumberFormat="1" applyFont="1" applyFill="1" applyBorder="1" applyAlignment="1" applyProtection="1">
      <alignment horizontal="right" vertical="center" wrapText="1"/>
      <protection locked="0"/>
    </xf>
    <xf numFmtId="186" fontId="92" fillId="33" borderId="64" xfId="0" applyNumberFormat="1" applyFont="1" applyFill="1" applyBorder="1" applyAlignment="1">
      <alignment vertical="center" shrinkToFit="1"/>
    </xf>
    <xf numFmtId="184" fontId="92" fillId="0" borderId="64" xfId="0" applyNumberFormat="1" applyFont="1" applyBorder="1" applyAlignment="1">
      <alignment vertical="center" shrinkToFit="1"/>
    </xf>
    <xf numFmtId="184" fontId="8" fillId="36" borderId="26" xfId="0" applyNumberFormat="1" applyFont="1" applyFill="1" applyBorder="1" applyAlignment="1">
      <alignment horizontal="right" vertical="center" wrapText="1"/>
    </xf>
    <xf numFmtId="184" fontId="8" fillId="36" borderId="28" xfId="0" applyNumberFormat="1" applyFont="1" applyFill="1" applyBorder="1" applyAlignment="1">
      <alignment horizontal="right" vertical="center" wrapText="1"/>
    </xf>
    <xf numFmtId="184" fontId="8" fillId="36" borderId="30" xfId="0" applyNumberFormat="1" applyFont="1" applyFill="1" applyBorder="1" applyAlignment="1">
      <alignment horizontal="right" vertical="center" wrapText="1"/>
    </xf>
    <xf numFmtId="0" fontId="91" fillId="0" borderId="0" xfId="0" applyFont="1" applyAlignment="1">
      <alignment vertical="center"/>
    </xf>
    <xf numFmtId="0" fontId="91" fillId="0" borderId="0" xfId="0" applyFont="1" applyAlignment="1">
      <alignment vertical="center"/>
    </xf>
    <xf numFmtId="0" fontId="90" fillId="0" borderId="0" xfId="0" applyFont="1" applyAlignment="1">
      <alignment vertical="center"/>
    </xf>
    <xf numFmtId="189" fontId="4" fillId="33" borderId="0" xfId="0" applyNumberFormat="1" applyFont="1" applyFill="1" applyAlignment="1">
      <alignment horizontal="left" vertical="center"/>
    </xf>
    <xf numFmtId="0" fontId="90" fillId="33" borderId="0" xfId="0" applyFont="1" applyFill="1" applyAlignment="1">
      <alignment vertical="center"/>
    </xf>
    <xf numFmtId="0" fontId="25" fillId="0" borderId="0" xfId="0" applyFont="1" applyAlignment="1">
      <alignment horizontal="left" vertical="center"/>
    </xf>
    <xf numFmtId="0" fontId="4" fillId="0" borderId="0" xfId="0" applyFont="1" applyAlignment="1">
      <alignment horizontal="left" vertical="center"/>
    </xf>
    <xf numFmtId="0" fontId="109" fillId="35" borderId="68" xfId="0" applyFont="1" applyFill="1" applyBorder="1" applyAlignment="1">
      <alignment horizontal="left" vertical="center"/>
    </xf>
    <xf numFmtId="0" fontId="110" fillId="35" borderId="63" xfId="0" applyFont="1" applyFill="1" applyBorder="1" applyAlignment="1">
      <alignment vertical="center"/>
    </xf>
    <xf numFmtId="0" fontId="90" fillId="35" borderId="63" xfId="0" applyFont="1" applyFill="1" applyBorder="1" applyAlignment="1">
      <alignment vertical="center"/>
    </xf>
    <xf numFmtId="0" fontId="90" fillId="35" borderId="24" xfId="0" applyFont="1" applyFill="1" applyBorder="1" applyAlignment="1">
      <alignment vertical="center"/>
    </xf>
    <xf numFmtId="0" fontId="109" fillId="35" borderId="60" xfId="0" applyFont="1" applyFill="1" applyBorder="1" applyAlignment="1">
      <alignment vertical="center"/>
    </xf>
    <xf numFmtId="0" fontId="110" fillId="35" borderId="0" xfId="0" applyFont="1" applyFill="1" applyAlignment="1">
      <alignment vertical="center"/>
    </xf>
    <xf numFmtId="0" fontId="90" fillId="35" borderId="0" xfId="0" applyFont="1" applyFill="1" applyAlignment="1">
      <alignment vertical="center"/>
    </xf>
    <xf numFmtId="0" fontId="90" fillId="35" borderId="69" xfId="0" applyFont="1" applyFill="1" applyBorder="1" applyAlignment="1">
      <alignment vertical="center"/>
    </xf>
    <xf numFmtId="0" fontId="90" fillId="35" borderId="70" xfId="0" applyFont="1" applyFill="1" applyBorder="1" applyAlignment="1">
      <alignment vertical="center"/>
    </xf>
    <xf numFmtId="0" fontId="90" fillId="35" borderId="61" xfId="0" applyFont="1" applyFill="1" applyBorder="1" applyAlignment="1">
      <alignment vertical="center"/>
    </xf>
    <xf numFmtId="0" fontId="90" fillId="35" borderId="59" xfId="0" applyFont="1" applyFill="1" applyBorder="1" applyAlignment="1">
      <alignment vertical="center"/>
    </xf>
    <xf numFmtId="0" fontId="4" fillId="33" borderId="0" xfId="0" applyFont="1" applyFill="1" applyAlignment="1">
      <alignment vertical="center"/>
    </xf>
    <xf numFmtId="0" fontId="90" fillId="0" borderId="0" xfId="0" applyFont="1" applyAlignment="1">
      <alignment vertical="center"/>
    </xf>
    <xf numFmtId="0" fontId="110" fillId="0" borderId="0" xfId="0" applyFont="1" applyAlignment="1">
      <alignment vertical="center"/>
    </xf>
    <xf numFmtId="0" fontId="24" fillId="0" borderId="0" xfId="0" applyFont="1" applyAlignment="1">
      <alignment vertical="center"/>
    </xf>
    <xf numFmtId="0" fontId="111" fillId="0" borderId="0" xfId="0" applyFont="1" applyAlignment="1">
      <alignment vertical="center"/>
    </xf>
    <xf numFmtId="0" fontId="90" fillId="0" borderId="0" xfId="0" applyFont="1" applyAlignment="1">
      <alignment horizontal="left" vertical="center"/>
    </xf>
    <xf numFmtId="0" fontId="112" fillId="33" borderId="0" xfId="0" applyFont="1" applyFill="1" applyAlignment="1">
      <alignment vertical="center"/>
    </xf>
    <xf numFmtId="0" fontId="91" fillId="0" borderId="0" xfId="0" applyFont="1" applyAlignment="1">
      <alignment vertical="center"/>
    </xf>
    <xf numFmtId="0" fontId="90" fillId="0" borderId="0" xfId="0" applyFont="1" applyAlignment="1">
      <alignment horizontal="center" vertical="center"/>
    </xf>
    <xf numFmtId="0" fontId="102" fillId="0" borderId="0" xfId="0" applyFont="1" applyAlignment="1">
      <alignment vertical="center"/>
    </xf>
    <xf numFmtId="0" fontId="102" fillId="0" borderId="0" xfId="0" applyFont="1" applyAlignment="1">
      <alignment horizontal="center" vertical="center"/>
    </xf>
    <xf numFmtId="0" fontId="102" fillId="0" borderId="0" xfId="0" applyFont="1" applyAlignment="1">
      <alignment vertical="center"/>
    </xf>
    <xf numFmtId="0" fontId="75" fillId="37" borderId="68" xfId="44" applyFill="1" applyBorder="1" applyAlignment="1" applyProtection="1">
      <alignment horizontal="left" vertical="center" indent="1"/>
      <protection/>
    </xf>
    <xf numFmtId="0" fontId="102" fillId="37" borderId="63" xfId="0" applyFont="1" applyFill="1" applyBorder="1" applyAlignment="1">
      <alignment vertical="center"/>
    </xf>
    <xf numFmtId="0" fontId="90" fillId="37" borderId="24" xfId="0" applyFont="1" applyFill="1" applyBorder="1" applyAlignment="1">
      <alignment vertical="center"/>
    </xf>
    <xf numFmtId="0" fontId="75" fillId="37" borderId="60" xfId="44" applyFill="1" applyBorder="1" applyAlignment="1" applyProtection="1">
      <alignment horizontal="left" vertical="center" indent="1"/>
      <protection/>
    </xf>
    <xf numFmtId="0" fontId="102" fillId="37" borderId="0" xfId="0" applyFont="1" applyFill="1" applyAlignment="1">
      <alignment vertical="center"/>
    </xf>
    <xf numFmtId="0" fontId="90" fillId="37" borderId="69" xfId="0" applyFont="1" applyFill="1" applyBorder="1" applyAlignment="1">
      <alignment vertical="center"/>
    </xf>
    <xf numFmtId="0" fontId="75" fillId="38" borderId="60" xfId="44" applyFill="1" applyBorder="1" applyAlignment="1" applyProtection="1">
      <alignment horizontal="left" vertical="center" indent="1"/>
      <protection/>
    </xf>
    <xf numFmtId="0" fontId="75" fillId="38" borderId="0" xfId="44" applyFill="1" applyAlignment="1" applyProtection="1">
      <alignment vertical="center"/>
      <protection/>
    </xf>
    <xf numFmtId="0" fontId="102" fillId="38" borderId="0" xfId="0" applyFont="1" applyFill="1" applyAlignment="1">
      <alignment vertical="center"/>
    </xf>
    <xf numFmtId="0" fontId="90" fillId="38" borderId="69" xfId="0" applyFont="1" applyFill="1" applyBorder="1" applyAlignment="1">
      <alignment vertical="center"/>
    </xf>
    <xf numFmtId="0" fontId="75" fillId="38" borderId="70" xfId="44" applyFill="1" applyBorder="1" applyAlignment="1" applyProtection="1">
      <alignment horizontal="left" vertical="center" indent="1"/>
      <protection/>
    </xf>
    <xf numFmtId="0" fontId="75" fillId="38" borderId="61" xfId="44" applyFill="1" applyBorder="1" applyAlignment="1" applyProtection="1">
      <alignment vertical="center"/>
      <protection/>
    </xf>
    <xf numFmtId="0" fontId="102" fillId="38" borderId="61" xfId="0" applyFont="1" applyFill="1" applyBorder="1" applyAlignment="1">
      <alignment vertical="center"/>
    </xf>
    <xf numFmtId="0" fontId="90" fillId="38" borderId="59" xfId="0" applyFont="1" applyFill="1" applyBorder="1" applyAlignment="1">
      <alignment vertical="center"/>
    </xf>
    <xf numFmtId="0" fontId="113" fillId="0" borderId="0" xfId="0" applyFont="1" applyAlignment="1">
      <alignment vertical="center"/>
    </xf>
    <xf numFmtId="0" fontId="9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184" fontId="8" fillId="39" borderId="10" xfId="0" applyNumberFormat="1" applyFont="1" applyFill="1" applyBorder="1" applyAlignment="1">
      <alignment horizontal="right" vertical="center" wrapText="1"/>
    </xf>
    <xf numFmtId="184" fontId="8" fillId="39" borderId="11" xfId="0" applyNumberFormat="1" applyFont="1" applyFill="1" applyBorder="1" applyAlignment="1">
      <alignment horizontal="right" vertical="center" wrapText="1"/>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3" xfId="50" applyBorder="1" applyAlignment="1">
      <alignment horizontal="center" vertical="center" wrapText="1"/>
    </xf>
    <xf numFmtId="0" fontId="0" fillId="0" borderId="13" xfId="0" applyBorder="1" applyAlignment="1">
      <alignment horizontal="center" vertical="center" wrapText="1"/>
    </xf>
    <xf numFmtId="38" fontId="0" fillId="35" borderId="13" xfId="50" applyFill="1" applyBorder="1" applyAlignment="1" applyProtection="1">
      <alignment vertical="center" wrapText="1"/>
      <protection locked="0"/>
    </xf>
    <xf numFmtId="0" fontId="0" fillId="0" borderId="13" xfId="0" applyBorder="1" applyAlignment="1">
      <alignment vertical="center" wrapText="1"/>
    </xf>
    <xf numFmtId="204" fontId="0" fillId="0" borderId="13" xfId="50" applyNumberFormat="1" applyBorder="1" applyAlignment="1">
      <alignment horizontal="center" vertical="center" wrapText="1"/>
    </xf>
    <xf numFmtId="38" fontId="0" fillId="0" borderId="13" xfId="50" applyBorder="1" applyAlignment="1">
      <alignment vertical="center" wrapText="1"/>
    </xf>
    <xf numFmtId="0" fontId="0" fillId="0" borderId="0" xfId="0" applyAlignment="1">
      <alignment vertical="center"/>
    </xf>
    <xf numFmtId="0" fontId="110" fillId="0" borderId="0" xfId="0" applyFont="1" applyAlignment="1" applyProtection="1">
      <alignment vertical="center"/>
      <protection locked="0"/>
    </xf>
    <xf numFmtId="0" fontId="24" fillId="0" borderId="0" xfId="0" applyFont="1" applyAlignment="1" applyProtection="1">
      <alignment vertical="center"/>
      <protection locked="0"/>
    </xf>
    <xf numFmtId="0" fontId="24" fillId="0" borderId="63" xfId="0" applyFont="1" applyBorder="1" applyAlignment="1" applyProtection="1">
      <alignment vertical="center"/>
      <protection locked="0"/>
    </xf>
    <xf numFmtId="0" fontId="90" fillId="0" borderId="0" xfId="0" applyFont="1" applyAlignment="1">
      <alignment vertical="center"/>
    </xf>
    <xf numFmtId="0" fontId="90" fillId="0" borderId="0" xfId="0" applyFont="1" applyAlignment="1" applyProtection="1">
      <alignment vertical="center"/>
      <protection locked="0"/>
    </xf>
    <xf numFmtId="0" fontId="90" fillId="0" borderId="0" xfId="0" applyFont="1" applyAlignment="1">
      <alignment vertical="center"/>
    </xf>
    <xf numFmtId="0" fontId="109" fillId="35" borderId="68" xfId="0" applyFont="1" applyFill="1" applyBorder="1" applyAlignment="1" applyProtection="1">
      <alignment horizontal="left" vertical="center"/>
      <protection locked="0"/>
    </xf>
    <xf numFmtId="0" fontId="110" fillId="35" borderId="63" xfId="0" applyFont="1" applyFill="1" applyBorder="1" applyAlignment="1" applyProtection="1">
      <alignment vertical="center"/>
      <protection locked="0"/>
    </xf>
    <xf numFmtId="0" fontId="90" fillId="35" borderId="63" xfId="0" applyFont="1" applyFill="1" applyBorder="1" applyAlignment="1" applyProtection="1">
      <alignment vertical="center"/>
      <protection locked="0"/>
    </xf>
    <xf numFmtId="0" fontId="90" fillId="35" borderId="24" xfId="0" applyFont="1" applyFill="1" applyBorder="1" applyAlignment="1" applyProtection="1">
      <alignment vertical="center"/>
      <protection locked="0"/>
    </xf>
    <xf numFmtId="0" fontId="109" fillId="35" borderId="60" xfId="0" applyFont="1" applyFill="1" applyBorder="1" applyAlignment="1" applyProtection="1">
      <alignment vertical="center"/>
      <protection locked="0"/>
    </xf>
    <xf numFmtId="0" fontId="110" fillId="35" borderId="0" xfId="0" applyFont="1" applyFill="1" applyAlignment="1" applyProtection="1">
      <alignment vertical="center"/>
      <protection locked="0"/>
    </xf>
    <xf numFmtId="0" fontId="90" fillId="35" borderId="0" xfId="0" applyFont="1" applyFill="1" applyAlignment="1" applyProtection="1">
      <alignment vertical="center"/>
      <protection locked="0"/>
    </xf>
    <xf numFmtId="0" fontId="90" fillId="35" borderId="69" xfId="0" applyFont="1" applyFill="1" applyBorder="1" applyAlignment="1" applyProtection="1">
      <alignment vertical="center"/>
      <protection locked="0"/>
    </xf>
    <xf numFmtId="0" fontId="25" fillId="0" borderId="0" xfId="0" applyFont="1" applyAlignment="1">
      <alignment vertical="center"/>
    </xf>
    <xf numFmtId="0" fontId="90" fillId="35" borderId="70" xfId="0" applyFont="1" applyFill="1" applyBorder="1" applyAlignment="1" applyProtection="1">
      <alignment vertical="center"/>
      <protection locked="0"/>
    </xf>
    <xf numFmtId="0" fontId="90" fillId="35" borderId="61" xfId="0" applyFont="1" applyFill="1" applyBorder="1" applyAlignment="1" applyProtection="1">
      <alignment vertical="center"/>
      <protection locked="0"/>
    </xf>
    <xf numFmtId="0" fontId="90" fillId="35" borderId="59" xfId="0" applyFont="1" applyFill="1" applyBorder="1" applyAlignment="1" applyProtection="1">
      <alignment vertical="center"/>
      <protection locked="0"/>
    </xf>
    <xf numFmtId="0" fontId="109" fillId="0" borderId="0" xfId="0" applyFont="1" applyAlignment="1" applyProtection="1">
      <alignment horizontal="center" vertical="center"/>
      <protection locked="0"/>
    </xf>
    <xf numFmtId="0" fontId="110" fillId="0" borderId="0" xfId="0" applyFont="1" applyAlignment="1" applyProtection="1">
      <alignment vertical="center"/>
      <protection locked="0"/>
    </xf>
    <xf numFmtId="0" fontId="75" fillId="40" borderId="60" xfId="44" applyFill="1" applyBorder="1" applyAlignment="1" applyProtection="1">
      <alignment horizontal="left" vertical="center" indent="1"/>
      <protection/>
    </xf>
    <xf numFmtId="0" fontId="102" fillId="40" borderId="0" xfId="0" applyFont="1" applyFill="1" applyAlignment="1">
      <alignment vertical="center"/>
    </xf>
    <xf numFmtId="0" fontId="90" fillId="40" borderId="69" xfId="0" applyFont="1" applyFill="1" applyBorder="1" applyAlignment="1">
      <alignment vertical="center"/>
    </xf>
    <xf numFmtId="0" fontId="75" fillId="40" borderId="70" xfId="44" applyFill="1" applyBorder="1" applyAlignment="1" applyProtection="1">
      <alignment horizontal="left" vertical="center" indent="1"/>
      <protection/>
    </xf>
    <xf numFmtId="0" fontId="75" fillId="40" borderId="61" xfId="44" applyFill="1" applyBorder="1" applyAlignment="1" applyProtection="1">
      <alignment vertical="center"/>
      <protection/>
    </xf>
    <xf numFmtId="0" fontId="102" fillId="40" borderId="61" xfId="0" applyFont="1" applyFill="1" applyBorder="1" applyAlignment="1">
      <alignment vertical="center"/>
    </xf>
    <xf numFmtId="0" fontId="90" fillId="40" borderId="59" xfId="0" applyFont="1" applyFill="1" applyBorder="1" applyAlignment="1">
      <alignment vertical="center"/>
    </xf>
    <xf numFmtId="0" fontId="75" fillId="38" borderId="68" xfId="44" applyFill="1" applyBorder="1" applyAlignment="1" applyProtection="1">
      <alignment horizontal="left" vertical="center" indent="1"/>
      <protection/>
    </xf>
    <xf numFmtId="0" fontId="75" fillId="38" borderId="63" xfId="44" applyFill="1" applyBorder="1" applyAlignment="1" applyProtection="1">
      <alignment vertical="center"/>
      <protection/>
    </xf>
    <xf numFmtId="0" fontId="102" fillId="38" borderId="63" xfId="0" applyFont="1" applyFill="1" applyBorder="1" applyAlignment="1">
      <alignment vertical="center"/>
    </xf>
    <xf numFmtId="0" fontId="90" fillId="38" borderId="24" xfId="0" applyFont="1" applyFill="1" applyBorder="1" applyAlignment="1">
      <alignment vertical="center"/>
    </xf>
    <xf numFmtId="0" fontId="9" fillId="0" borderId="17" xfId="0" applyFont="1" applyBorder="1" applyAlignment="1">
      <alignment horizontal="center" vertical="center"/>
    </xf>
    <xf numFmtId="184" fontId="8" fillId="0" borderId="17" xfId="0" applyNumberFormat="1" applyFont="1" applyBorder="1" applyAlignment="1">
      <alignment horizontal="right" vertical="center" wrapText="1"/>
    </xf>
    <xf numFmtId="184" fontId="8" fillId="0" borderId="71" xfId="0" applyNumberFormat="1" applyFont="1" applyBorder="1" applyAlignment="1">
      <alignment horizontal="right" vertical="center" wrapText="1"/>
    </xf>
    <xf numFmtId="184" fontId="8" fillId="0" borderId="70" xfId="0" applyNumberFormat="1" applyFont="1" applyBorder="1" applyAlignment="1">
      <alignment horizontal="right" vertical="center" wrapText="1"/>
    </xf>
    <xf numFmtId="0" fontId="8" fillId="0" borderId="71" xfId="0" applyFont="1" applyBorder="1" applyAlignment="1">
      <alignment horizontal="center" vertical="center"/>
    </xf>
    <xf numFmtId="0" fontId="99" fillId="0" borderId="0" xfId="0" applyFont="1" applyAlignment="1">
      <alignment horizontal="center" vertical="center"/>
    </xf>
    <xf numFmtId="38" fontId="8" fillId="0" borderId="12" xfId="50" applyFont="1" applyBorder="1" applyAlignment="1">
      <alignment horizontal="center" vertical="center"/>
    </xf>
    <xf numFmtId="190" fontId="14" fillId="0" borderId="12" xfId="0" applyNumberFormat="1" applyFont="1" applyBorder="1" applyAlignment="1">
      <alignment horizontal="center" vertical="center"/>
    </xf>
    <xf numFmtId="38" fontId="0" fillId="0" borderId="0" xfId="50" applyAlignment="1">
      <alignment vertical="center"/>
    </xf>
    <xf numFmtId="40" fontId="0" fillId="0" borderId="0" xfId="50" applyNumberFormat="1" applyAlignment="1">
      <alignment vertical="center"/>
    </xf>
    <xf numFmtId="38" fontId="0" fillId="0" borderId="13" xfId="50" applyBorder="1" applyAlignment="1">
      <alignment horizontal="center" vertical="center"/>
    </xf>
    <xf numFmtId="40" fontId="0" fillId="0" borderId="13" xfId="50" applyNumberFormat="1" applyBorder="1" applyAlignment="1">
      <alignment horizontal="center" vertical="center"/>
    </xf>
    <xf numFmtId="38" fontId="0" fillId="0" borderId="13" xfId="50" applyBorder="1" applyAlignment="1" quotePrefix="1">
      <alignment vertical="center"/>
    </xf>
    <xf numFmtId="38" fontId="0" fillId="0" borderId="13" xfId="50" applyBorder="1" applyAlignment="1" quotePrefix="1">
      <alignment horizontal="center" vertical="center"/>
    </xf>
    <xf numFmtId="40" fontId="0" fillId="0" borderId="13" xfId="50" applyNumberFormat="1" applyBorder="1" applyAlignment="1" quotePrefix="1">
      <alignment vertical="center"/>
    </xf>
    <xf numFmtId="38" fontId="0" fillId="0" borderId="13" xfId="50" applyBorder="1" applyAlignment="1">
      <alignment vertical="center"/>
    </xf>
    <xf numFmtId="40" fontId="0" fillId="0" borderId="13" xfId="50" applyNumberFormat="1" applyBorder="1" applyAlignment="1">
      <alignment vertical="center"/>
    </xf>
    <xf numFmtId="205" fontId="9" fillId="0" borderId="27" xfId="0" applyNumberFormat="1" applyFont="1" applyBorder="1" applyAlignment="1">
      <alignment horizontal="center" vertical="center"/>
    </xf>
    <xf numFmtId="184" fontId="8" fillId="0" borderId="32" xfId="0" applyNumberFormat="1" applyFont="1" applyBorder="1" applyAlignment="1">
      <alignment horizontal="right" vertical="center" wrapText="1"/>
    </xf>
    <xf numFmtId="0" fontId="5" fillId="0" borderId="32" xfId="0" applyFont="1" applyBorder="1" applyAlignment="1" quotePrefix="1">
      <alignment horizontal="center" vertical="center" wrapText="1"/>
    </xf>
    <xf numFmtId="184" fontId="8" fillId="0" borderId="72" xfId="0" applyNumberFormat="1" applyFont="1" applyBorder="1" applyAlignment="1">
      <alignment horizontal="right" vertical="center" wrapText="1"/>
    </xf>
    <xf numFmtId="0" fontId="8" fillId="0" borderId="73" xfId="0" applyFont="1" applyBorder="1" applyAlignment="1" quotePrefix="1">
      <alignment horizontal="center" vertical="center" wrapText="1"/>
    </xf>
    <xf numFmtId="184" fontId="8" fillId="0" borderId="74" xfId="0" applyNumberFormat="1" applyFont="1" applyBorder="1" applyAlignment="1">
      <alignment horizontal="right" vertical="center" wrapText="1"/>
    </xf>
    <xf numFmtId="0" fontId="8" fillId="0" borderId="32" xfId="0" applyFont="1" applyBorder="1" applyAlignment="1" quotePrefix="1">
      <alignment horizontal="center" vertical="center" wrapText="1"/>
    </xf>
    <xf numFmtId="0" fontId="104" fillId="0" borderId="68" xfId="0" applyFont="1" applyBorder="1" applyAlignment="1">
      <alignment horizontal="center" vertical="center"/>
    </xf>
    <xf numFmtId="0" fontId="108" fillId="0" borderId="38" xfId="0" applyFont="1" applyBorder="1" applyAlignment="1">
      <alignment horizontal="center" vertical="center"/>
    </xf>
    <xf numFmtId="0" fontId="108" fillId="0" borderId="13" xfId="0" applyFont="1" applyBorder="1" applyAlignment="1">
      <alignment vertical="center"/>
    </xf>
    <xf numFmtId="0" fontId="108" fillId="0" borderId="75" xfId="0" applyFont="1" applyBorder="1" applyAlignment="1">
      <alignment horizontal="center" vertical="center"/>
    </xf>
    <xf numFmtId="0" fontId="108" fillId="0" borderId="76" xfId="0" applyFont="1" applyBorder="1" applyAlignment="1">
      <alignment horizontal="center" vertical="center"/>
    </xf>
    <xf numFmtId="0" fontId="108" fillId="0" borderId="13" xfId="0" applyFont="1" applyBorder="1" applyAlignment="1">
      <alignment horizontal="center" vertical="center"/>
    </xf>
    <xf numFmtId="0" fontId="23" fillId="0" borderId="77" xfId="0" applyFont="1" applyBorder="1" applyAlignment="1">
      <alignment vertical="top" wrapText="1"/>
    </xf>
    <xf numFmtId="0" fontId="19" fillId="0" borderId="31" xfId="0" applyFont="1" applyBorder="1" applyAlignment="1">
      <alignment horizontal="center" vertical="center"/>
    </xf>
    <xf numFmtId="0" fontId="14" fillId="0" borderId="68" xfId="0" applyFont="1" applyBorder="1" applyAlignment="1">
      <alignment vertical="center"/>
    </xf>
    <xf numFmtId="0" fontId="14" fillId="0" borderId="63" xfId="0" applyFont="1" applyBorder="1" applyAlignment="1">
      <alignment horizontal="right"/>
    </xf>
    <xf numFmtId="0" fontId="17" fillId="0" borderId="24" xfId="0" applyFont="1" applyBorder="1" applyAlignment="1">
      <alignment horizontal="center" vertical="center"/>
    </xf>
    <xf numFmtId="0" fontId="19" fillId="0" borderId="68" xfId="0" applyFont="1" applyBorder="1" applyAlignment="1">
      <alignment horizontal="center" vertical="center"/>
    </xf>
    <xf numFmtId="0" fontId="17" fillId="0" borderId="63" xfId="0" applyFont="1" applyBorder="1" applyAlignment="1">
      <alignment vertical="center"/>
    </xf>
    <xf numFmtId="0" fontId="19" fillId="0" borderId="70" xfId="0" applyFont="1" applyBorder="1" applyAlignment="1">
      <alignment horizontal="center" vertical="center"/>
    </xf>
    <xf numFmtId="0" fontId="14" fillId="0" borderId="70" xfId="0" applyFont="1" applyBorder="1" applyAlignment="1">
      <alignment vertical="center"/>
    </xf>
    <xf numFmtId="0" fontId="17" fillId="0" borderId="61" xfId="0" applyFont="1" applyBorder="1" applyAlignment="1">
      <alignment vertical="center"/>
    </xf>
    <xf numFmtId="190" fontId="19" fillId="0" borderId="70" xfId="0" applyNumberFormat="1" applyFont="1" applyBorder="1" applyAlignment="1">
      <alignment horizontal="center" vertical="center"/>
    </xf>
    <xf numFmtId="184" fontId="8" fillId="0" borderId="10" xfId="0" applyNumberFormat="1" applyFont="1" applyBorder="1" applyAlignment="1">
      <alignment horizontal="right"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190" fontId="14" fillId="0" borderId="25" xfId="0" applyNumberFormat="1" applyFont="1" applyBorder="1" applyAlignment="1">
      <alignment horizontal="center" vertical="center"/>
    </xf>
    <xf numFmtId="190" fontId="14" fillId="0" borderId="27" xfId="0" applyNumberFormat="1" applyFont="1" applyBorder="1" applyAlignment="1">
      <alignment horizontal="center" vertical="center"/>
    </xf>
    <xf numFmtId="190" fontId="14" fillId="0" borderId="29" xfId="0" applyNumberFormat="1" applyFont="1" applyBorder="1" applyAlignment="1">
      <alignment horizontal="center" vertical="center"/>
    </xf>
    <xf numFmtId="190" fontId="14" fillId="0" borderId="10" xfId="0" applyNumberFormat="1" applyFont="1" applyBorder="1" applyAlignment="1">
      <alignment horizontal="center" vertical="center"/>
    </xf>
    <xf numFmtId="190" fontId="14" fillId="0" borderId="78" xfId="0" applyNumberFormat="1" applyFont="1" applyBorder="1" applyAlignment="1">
      <alignment horizontal="center" vertical="center"/>
    </xf>
    <xf numFmtId="190" fontId="14" fillId="0" borderId="79" xfId="0" applyNumberFormat="1" applyFont="1" applyBorder="1" applyAlignment="1">
      <alignment horizontal="center" vertical="center"/>
    </xf>
    <xf numFmtId="190" fontId="14" fillId="0" borderId="80" xfId="0" applyNumberFormat="1" applyFont="1" applyBorder="1" applyAlignment="1">
      <alignment horizontal="center" vertical="center"/>
    </xf>
    <xf numFmtId="190" fontId="19" fillId="0" borderId="17" xfId="0" applyNumberFormat="1" applyFont="1" applyBorder="1" applyAlignment="1">
      <alignment horizontal="center" vertical="center"/>
    </xf>
    <xf numFmtId="0" fontId="19" fillId="0" borderId="60" xfId="0" applyFont="1" applyBorder="1" applyAlignment="1">
      <alignment horizontal="center" vertical="center"/>
    </xf>
    <xf numFmtId="0" fontId="19" fillId="0" borderId="32" xfId="0" applyFont="1" applyBorder="1" applyAlignment="1">
      <alignment horizontal="center" vertical="center"/>
    </xf>
    <xf numFmtId="0" fontId="19" fillId="0" borderId="63" xfId="0" applyFont="1" applyBorder="1" applyAlignment="1">
      <alignment horizontal="center" vertical="center"/>
    </xf>
    <xf numFmtId="190" fontId="19" fillId="0" borderId="0" xfId="0" applyNumberFormat="1" applyFont="1" applyAlignment="1">
      <alignment horizontal="center" vertical="center"/>
    </xf>
    <xf numFmtId="0" fontId="114" fillId="0" borderId="13" xfId="0" applyFont="1" applyBorder="1" applyAlignment="1">
      <alignment horizontal="center" vertical="center"/>
    </xf>
    <xf numFmtId="38" fontId="9" fillId="0" borderId="68" xfId="50" applyFont="1" applyBorder="1" applyAlignment="1">
      <alignment horizontal="right" vertical="center" indent="1"/>
    </xf>
    <xf numFmtId="0" fontId="108" fillId="0" borderId="0" xfId="0" applyFont="1" applyAlignment="1">
      <alignment vertical="center"/>
    </xf>
    <xf numFmtId="190" fontId="17" fillId="0" borderId="59" xfId="50" applyNumberFormat="1" applyFont="1" applyBorder="1" applyAlignment="1">
      <alignment horizontal="right" vertical="center" wrapText="1"/>
    </xf>
    <xf numFmtId="0" fontId="111" fillId="0" borderId="0" xfId="0" applyFont="1" applyAlignment="1" applyProtection="1">
      <alignment vertical="center"/>
      <protection locked="0"/>
    </xf>
    <xf numFmtId="190" fontId="15" fillId="0" borderId="59" xfId="50" applyNumberFormat="1" applyFont="1" applyBorder="1" applyAlignment="1">
      <alignment vertical="center" wrapText="1"/>
    </xf>
    <xf numFmtId="38" fontId="0" fillId="0" borderId="13" xfId="50" applyBorder="1" applyAlignment="1" quotePrefix="1">
      <alignment vertical="center"/>
    </xf>
    <xf numFmtId="38" fontId="0" fillId="0" borderId="13" xfId="50" applyBorder="1" applyAlignment="1">
      <alignment vertical="center"/>
    </xf>
    <xf numFmtId="184" fontId="6" fillId="35" borderId="81" xfId="0" applyNumberFormat="1" applyFont="1" applyFill="1" applyBorder="1" applyAlignment="1" applyProtection="1">
      <alignment horizontal="right" vertical="center" wrapText="1"/>
      <protection locked="0"/>
    </xf>
    <xf numFmtId="184" fontId="6" fillId="35" borderId="82" xfId="0" applyNumberFormat="1" applyFont="1" applyFill="1" applyBorder="1" applyAlignment="1" applyProtection="1">
      <alignment horizontal="right" vertical="center" wrapText="1"/>
      <protection locked="0"/>
    </xf>
    <xf numFmtId="186" fontId="92" fillId="39" borderId="83" xfId="0" applyNumberFormat="1" applyFont="1" applyFill="1" applyBorder="1" applyAlignment="1" applyProtection="1">
      <alignment horizontal="right" vertical="center" wrapText="1"/>
      <protection locked="0"/>
    </xf>
    <xf numFmtId="0" fontId="102" fillId="0" borderId="84" xfId="0" applyFont="1" applyBorder="1" applyAlignment="1">
      <alignment horizontal="center" vertical="top" wrapText="1"/>
    </xf>
    <xf numFmtId="38" fontId="108" fillId="35" borderId="13" xfId="50" applyFont="1" applyFill="1" applyBorder="1" applyAlignment="1" applyProtection="1">
      <alignment vertical="center" wrapText="1"/>
      <protection locked="0"/>
    </xf>
    <xf numFmtId="0" fontId="115" fillId="0" borderId="46" xfId="0" applyFont="1" applyBorder="1" applyAlignment="1" applyProtection="1">
      <alignment horizontal="center" vertical="center" wrapText="1"/>
      <protection locked="0"/>
    </xf>
    <xf numFmtId="0" fontId="115" fillId="0" borderId="16" xfId="0" applyFont="1" applyBorder="1" applyAlignment="1">
      <alignment horizontal="center" vertical="center" wrapText="1"/>
    </xf>
    <xf numFmtId="0" fontId="115" fillId="0" borderId="45" xfId="0" applyFont="1" applyBorder="1" applyAlignment="1">
      <alignment horizontal="center" vertical="center" wrapText="1"/>
    </xf>
    <xf numFmtId="0" fontId="115" fillId="0" borderId="46" xfId="0" applyFont="1" applyBorder="1" applyAlignment="1">
      <alignment horizontal="center" vertical="center" wrapText="1"/>
    </xf>
    <xf numFmtId="0" fontId="115" fillId="0" borderId="83" xfId="0" applyFont="1"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4" fillId="0" borderId="13" xfId="0" applyFont="1" applyBorder="1" applyAlignment="1">
      <alignment vertical="center"/>
    </xf>
    <xf numFmtId="38" fontId="90" fillId="35" borderId="40" xfId="50" applyFont="1" applyFill="1" applyBorder="1" applyAlignment="1" applyProtection="1">
      <alignment vertical="center" shrinkToFit="1"/>
      <protection locked="0"/>
    </xf>
    <xf numFmtId="38" fontId="90" fillId="35" borderId="38" xfId="50" applyFont="1" applyFill="1" applyBorder="1" applyAlignment="1" applyProtection="1">
      <alignment vertical="center" shrinkToFit="1"/>
      <protection locked="0"/>
    </xf>
    <xf numFmtId="0" fontId="0" fillId="0" borderId="31" xfId="0" applyBorder="1" applyAlignment="1">
      <alignment horizontal="center" vertical="center" wrapText="1"/>
    </xf>
    <xf numFmtId="0" fontId="0" fillId="0" borderId="17" xfId="0" applyBorder="1" applyAlignment="1">
      <alignment horizontal="center" vertical="center" wrapText="1"/>
    </xf>
    <xf numFmtId="38" fontId="0" fillId="0" borderId="31" xfId="50" applyBorder="1" applyAlignment="1">
      <alignment horizontal="center" vertical="center" wrapText="1"/>
    </xf>
    <xf numFmtId="38" fontId="0" fillId="0" borderId="17" xfId="50" applyBorder="1" applyAlignment="1">
      <alignment horizontal="center" vertical="center" wrapText="1"/>
    </xf>
    <xf numFmtId="38" fontId="0" fillId="0" borderId="40" xfId="50" applyBorder="1" applyAlignment="1">
      <alignment horizontal="center" vertical="center" wrapText="1"/>
    </xf>
    <xf numFmtId="38" fontId="0" fillId="0" borderId="85" xfId="50" applyBorder="1" applyAlignment="1">
      <alignment horizontal="center" vertical="center" wrapText="1"/>
    </xf>
    <xf numFmtId="38" fontId="0" fillId="0" borderId="38" xfId="50" applyBorder="1" applyAlignment="1">
      <alignment horizontal="center" vertical="center" wrapText="1"/>
    </xf>
    <xf numFmtId="189" fontId="4" fillId="35" borderId="40" xfId="0" applyNumberFormat="1" applyFont="1" applyFill="1" applyBorder="1" applyAlignment="1" applyProtection="1">
      <alignment vertical="center" shrinkToFit="1"/>
      <protection locked="0"/>
    </xf>
    <xf numFmtId="189" fontId="4" fillId="35" borderId="85" xfId="0" applyNumberFormat="1" applyFont="1" applyFill="1" applyBorder="1" applyAlignment="1" applyProtection="1">
      <alignment vertical="center" shrinkToFit="1"/>
      <protection locked="0"/>
    </xf>
    <xf numFmtId="189" fontId="4" fillId="35" borderId="38" xfId="0" applyNumberFormat="1" applyFont="1" applyFill="1" applyBorder="1" applyAlignment="1" applyProtection="1">
      <alignment vertical="center" shrinkToFit="1"/>
      <protection locked="0"/>
    </xf>
    <xf numFmtId="0" fontId="4" fillId="35" borderId="60" xfId="0" applyFont="1" applyFill="1" applyBorder="1" applyAlignment="1">
      <alignment horizontal="center" vertical="center"/>
    </xf>
    <xf numFmtId="0" fontId="4" fillId="35" borderId="0" xfId="0" applyFont="1" applyFill="1" applyAlignment="1">
      <alignment horizontal="center" vertical="center"/>
    </xf>
    <xf numFmtId="0" fontId="4" fillId="35" borderId="70" xfId="0" applyFont="1" applyFill="1" applyBorder="1" applyAlignment="1">
      <alignment horizontal="center" vertical="center"/>
    </xf>
    <xf numFmtId="0" fontId="4" fillId="35" borderId="61" xfId="0" applyFont="1" applyFill="1" applyBorder="1" applyAlignment="1">
      <alignment horizontal="center" vertical="center"/>
    </xf>
    <xf numFmtId="0" fontId="24" fillId="35" borderId="68" xfId="0" applyFont="1" applyFill="1" applyBorder="1" applyAlignment="1" applyProtection="1">
      <alignment horizontal="center" vertical="top"/>
      <protection locked="0"/>
    </xf>
    <xf numFmtId="0" fontId="24" fillId="35" borderId="63" xfId="0" applyFont="1" applyFill="1" applyBorder="1" applyAlignment="1" applyProtection="1">
      <alignment horizontal="center" vertical="top"/>
      <protection locked="0"/>
    </xf>
    <xf numFmtId="0" fontId="24" fillId="35" borderId="24" xfId="0" applyFont="1" applyFill="1" applyBorder="1" applyAlignment="1" applyProtection="1">
      <alignment horizontal="center" vertical="top"/>
      <protection locked="0"/>
    </xf>
    <xf numFmtId="0" fontId="24" fillId="35" borderId="60" xfId="0" applyFont="1" applyFill="1" applyBorder="1" applyAlignment="1" applyProtection="1">
      <alignment horizontal="center" vertical="top"/>
      <protection locked="0"/>
    </xf>
    <xf numFmtId="0" fontId="24" fillId="35" borderId="0" xfId="0" applyFont="1" applyFill="1" applyAlignment="1" applyProtection="1">
      <alignment horizontal="center" vertical="top"/>
      <protection locked="0"/>
    </xf>
    <xf numFmtId="0" fontId="24" fillId="35" borderId="69" xfId="0" applyFont="1" applyFill="1" applyBorder="1" applyAlignment="1" applyProtection="1">
      <alignment horizontal="center" vertical="top"/>
      <protection locked="0"/>
    </xf>
    <xf numFmtId="0" fontId="24" fillId="35" borderId="70" xfId="0" applyFont="1" applyFill="1" applyBorder="1" applyAlignment="1" applyProtection="1">
      <alignment horizontal="center" vertical="top"/>
      <protection locked="0"/>
    </xf>
    <xf numFmtId="0" fontId="24" fillId="35" borderId="61" xfId="0" applyFont="1" applyFill="1" applyBorder="1" applyAlignment="1" applyProtection="1">
      <alignment horizontal="center" vertical="top"/>
      <protection locked="0"/>
    </xf>
    <xf numFmtId="0" fontId="24" fillId="35" borderId="59" xfId="0" applyFont="1" applyFill="1" applyBorder="1" applyAlignment="1" applyProtection="1">
      <alignment horizontal="center" vertical="top"/>
      <protection locked="0"/>
    </xf>
    <xf numFmtId="0" fontId="4" fillId="0" borderId="40"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0" fillId="0" borderId="40" xfId="0" applyBorder="1" applyAlignment="1">
      <alignment horizontal="center" vertical="center"/>
    </xf>
    <xf numFmtId="0" fontId="0" fillId="0" borderId="38" xfId="0" applyBorder="1" applyAlignment="1">
      <alignment horizontal="center" vertical="center"/>
    </xf>
    <xf numFmtId="0" fontId="22" fillId="0" borderId="86" xfId="0" applyFont="1" applyBorder="1" applyAlignment="1">
      <alignment horizontal="center" vertical="center"/>
    </xf>
    <xf numFmtId="0" fontId="22" fillId="0" borderId="87" xfId="0" applyFont="1" applyBorder="1" applyAlignment="1">
      <alignment horizontal="center" vertical="center"/>
    </xf>
    <xf numFmtId="0" fontId="22" fillId="0" borderId="88" xfId="0" applyFont="1" applyBorder="1" applyAlignment="1">
      <alignment horizontal="center" vertical="center"/>
    </xf>
    <xf numFmtId="190" fontId="14" fillId="0" borderId="68" xfId="0" applyNumberFormat="1" applyFont="1" applyBorder="1" applyAlignment="1">
      <alignment vertical="center" shrinkToFit="1"/>
    </xf>
    <xf numFmtId="190" fontId="14" fillId="0" borderId="63" xfId="0" applyNumberFormat="1" applyFont="1" applyBorder="1" applyAlignment="1">
      <alignment vertical="center" shrinkToFit="1"/>
    </xf>
    <xf numFmtId="190" fontId="14" fillId="0" borderId="24" xfId="0" applyNumberFormat="1" applyFont="1" applyBorder="1" applyAlignment="1">
      <alignment vertical="center" shrinkToFit="1"/>
    </xf>
    <xf numFmtId="190" fontId="14" fillId="0" borderId="70" xfId="0" applyNumberFormat="1" applyFont="1" applyBorder="1" applyAlignment="1">
      <alignment vertical="center" shrinkToFit="1"/>
    </xf>
    <xf numFmtId="190" fontId="14" fillId="0" borderId="61" xfId="0" applyNumberFormat="1" applyFont="1" applyBorder="1" applyAlignment="1">
      <alignment vertical="center" shrinkToFit="1"/>
    </xf>
    <xf numFmtId="190" fontId="14" fillId="0" borderId="59" xfId="0" applyNumberFormat="1" applyFont="1" applyBorder="1" applyAlignment="1">
      <alignment vertical="center" shrinkToFit="1"/>
    </xf>
    <xf numFmtId="0" fontId="20" fillId="0" borderId="68" xfId="0" applyFont="1" applyBorder="1" applyAlignment="1">
      <alignment horizontal="center" vertical="center"/>
    </xf>
    <xf numFmtId="0" fontId="20" fillId="0" borderId="63" xfId="0" applyFont="1" applyBorder="1" applyAlignment="1">
      <alignment horizontal="center" vertical="center"/>
    </xf>
    <xf numFmtId="0" fontId="20" fillId="0" borderId="24" xfId="0" applyFont="1" applyBorder="1" applyAlignment="1">
      <alignment horizontal="center" vertical="center"/>
    </xf>
    <xf numFmtId="0" fontId="20" fillId="0" borderId="70" xfId="0" applyFont="1" applyBorder="1" applyAlignment="1">
      <alignment horizontal="center" vertical="center"/>
    </xf>
    <xf numFmtId="0" fontId="20" fillId="0" borderId="61" xfId="0" applyFont="1" applyBorder="1" applyAlignment="1">
      <alignment horizontal="center" vertical="center"/>
    </xf>
    <xf numFmtId="0" fontId="20" fillId="0" borderId="59" xfId="0" applyFont="1" applyBorder="1" applyAlignment="1">
      <alignment horizontal="center" vertical="center"/>
    </xf>
    <xf numFmtId="0" fontId="14" fillId="0" borderId="68" xfId="0" applyFont="1" applyBorder="1" applyAlignment="1">
      <alignment vertical="center"/>
    </xf>
    <xf numFmtId="0" fontId="14" fillId="0" borderId="63" xfId="0" applyFont="1" applyBorder="1" applyAlignment="1">
      <alignment vertical="center"/>
    </xf>
    <xf numFmtId="0" fontId="14" fillId="0" borderId="24" xfId="0" applyFont="1" applyBorder="1" applyAlignment="1">
      <alignment vertical="center"/>
    </xf>
    <xf numFmtId="196" fontId="17" fillId="0" borderId="70" xfId="50" applyNumberFormat="1" applyFont="1" applyBorder="1" applyAlignment="1">
      <alignment vertical="center" wrapText="1"/>
    </xf>
    <xf numFmtId="196" fontId="17" fillId="0" borderId="61" xfId="50" applyNumberFormat="1" applyFont="1" applyBorder="1" applyAlignment="1">
      <alignment vertical="center" wrapText="1"/>
    </xf>
    <xf numFmtId="196" fontId="17" fillId="0" borderId="59" xfId="50" applyNumberFormat="1" applyFont="1" applyBorder="1" applyAlignment="1">
      <alignment vertical="center" wrapText="1"/>
    </xf>
    <xf numFmtId="195" fontId="17" fillId="0" borderId="70" xfId="50" applyNumberFormat="1" applyFont="1" applyBorder="1" applyAlignment="1">
      <alignment vertical="center" wrapText="1"/>
    </xf>
    <xf numFmtId="195" fontId="17" fillId="0" borderId="61" xfId="50" applyNumberFormat="1" applyFont="1" applyBorder="1" applyAlignment="1">
      <alignment vertical="center" wrapText="1"/>
    </xf>
    <xf numFmtId="195" fontId="17" fillId="0" borderId="59" xfId="50" applyNumberFormat="1" applyFont="1" applyBorder="1" applyAlignment="1">
      <alignment vertical="center" wrapText="1"/>
    </xf>
    <xf numFmtId="0" fontId="20" fillId="0" borderId="31" xfId="0" applyFont="1" applyBorder="1" applyAlignment="1">
      <alignment horizontal="center" vertical="center"/>
    </xf>
    <xf numFmtId="0" fontId="20" fillId="0" borderId="17" xfId="0" applyFont="1" applyBorder="1" applyAlignment="1">
      <alignment horizontal="center" vertical="center"/>
    </xf>
    <xf numFmtId="0" fontId="116" fillId="0" borderId="0" xfId="0" applyFont="1" applyAlignment="1">
      <alignment horizontal="center" vertical="center"/>
    </xf>
    <xf numFmtId="0" fontId="15" fillId="0" borderId="85" xfId="0" applyFont="1" applyBorder="1" applyAlignment="1">
      <alignment horizontal="center" vertical="center"/>
    </xf>
    <xf numFmtId="0" fontId="15" fillId="0" borderId="38" xfId="0" applyFont="1" applyBorder="1" applyAlignment="1">
      <alignment horizontal="center" vertical="center"/>
    </xf>
    <xf numFmtId="0" fontId="15" fillId="0" borderId="13" xfId="0" applyFont="1" applyBorder="1" applyAlignment="1">
      <alignment horizontal="center" vertical="center" wrapText="1"/>
    </xf>
    <xf numFmtId="0" fontId="15" fillId="0" borderId="39" xfId="0" applyFont="1" applyBorder="1" applyAlignment="1">
      <alignment horizontal="center"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27" xfId="0" applyFont="1" applyBorder="1" applyAlignment="1">
      <alignment horizontal="center" vertical="center"/>
    </xf>
    <xf numFmtId="0" fontId="9" fillId="0" borderId="89" xfId="0" applyFont="1" applyBorder="1" applyAlignment="1">
      <alignment horizontal="center" vertical="center"/>
    </xf>
    <xf numFmtId="0" fontId="9" fillId="0" borderId="50" xfId="0" applyFont="1" applyBorder="1" applyAlignment="1">
      <alignment horizontal="center" vertical="center"/>
    </xf>
    <xf numFmtId="0" fontId="15" fillId="0" borderId="40"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38" xfId="0" applyFont="1" applyBorder="1" applyAlignment="1">
      <alignment horizontal="center" vertical="center" wrapText="1"/>
    </xf>
    <xf numFmtId="0" fontId="5" fillId="36" borderId="31" xfId="0" applyFont="1" applyFill="1" applyBorder="1" applyAlignment="1">
      <alignment horizontal="center" vertical="center" textRotation="255"/>
    </xf>
    <xf numFmtId="0" fontId="5" fillId="36" borderId="32" xfId="0" applyFont="1" applyFill="1" applyBorder="1" applyAlignment="1">
      <alignment horizontal="center" vertical="center" textRotation="255"/>
    </xf>
    <xf numFmtId="0" fontId="5" fillId="36" borderId="17" xfId="0" applyFont="1" applyFill="1" applyBorder="1" applyAlignment="1">
      <alignment horizontal="center" vertical="center" textRotation="255"/>
    </xf>
    <xf numFmtId="195" fontId="17" fillId="0" borderId="0" xfId="50" applyNumberFormat="1" applyFont="1" applyAlignment="1">
      <alignment vertical="center" wrapText="1"/>
    </xf>
    <xf numFmtId="205" fontId="9" fillId="0" borderId="89" xfId="0" applyNumberFormat="1" applyFont="1" applyBorder="1" applyAlignment="1">
      <alignment horizontal="center" vertical="center"/>
    </xf>
    <xf numFmtId="205" fontId="9" fillId="0" borderId="50" xfId="0" applyNumberFormat="1" applyFont="1" applyBorder="1" applyAlignment="1">
      <alignment horizontal="center" vertical="center"/>
    </xf>
    <xf numFmtId="0" fontId="117" fillId="0" borderId="0" xfId="0" applyFont="1" applyAlignment="1">
      <alignment vertical="center" wrapText="1" shrinkToFit="1"/>
    </xf>
    <xf numFmtId="9" fontId="9" fillId="0" borderId="27" xfId="0" applyNumberFormat="1" applyFont="1" applyBorder="1" applyAlignment="1">
      <alignment horizontal="center" vertical="center"/>
    </xf>
    <xf numFmtId="9" fontId="9" fillId="0" borderId="89" xfId="0" applyNumberFormat="1" applyFont="1" applyBorder="1" applyAlignment="1">
      <alignment horizontal="center" vertical="center"/>
    </xf>
    <xf numFmtId="9" fontId="9" fillId="0" borderId="50" xfId="0" applyNumberFormat="1" applyFont="1" applyBorder="1" applyAlignment="1">
      <alignment horizontal="center" vertical="center"/>
    </xf>
    <xf numFmtId="0" fontId="5" fillId="36" borderId="31"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17" xfId="0" applyFont="1" applyFill="1" applyBorder="1" applyAlignment="1">
      <alignment horizontal="center" vertical="center"/>
    </xf>
    <xf numFmtId="0" fontId="118" fillId="0" borderId="0" xfId="0" applyFont="1" applyAlignment="1">
      <alignment horizontal="right" vertical="center"/>
    </xf>
    <xf numFmtId="3" fontId="9" fillId="35" borderId="27" xfId="0" applyNumberFormat="1" applyFont="1" applyFill="1" applyBorder="1" applyAlignment="1" applyProtection="1">
      <alignment vertical="center"/>
      <protection locked="0"/>
    </xf>
    <xf numFmtId="3" fontId="9" fillId="35" borderId="89" xfId="0" applyNumberFormat="1" applyFont="1" applyFill="1" applyBorder="1" applyAlignment="1" applyProtection="1">
      <alignment vertical="center"/>
      <protection locked="0"/>
    </xf>
    <xf numFmtId="3" fontId="9" fillId="0" borderId="90" xfId="0" applyNumberFormat="1" applyFont="1" applyBorder="1" applyAlignment="1">
      <alignment vertical="center"/>
    </xf>
    <xf numFmtId="3" fontId="9" fillId="0" borderId="91" xfId="0" applyNumberFormat="1" applyFont="1" applyBorder="1" applyAlignment="1">
      <alignment vertical="center"/>
    </xf>
    <xf numFmtId="0" fontId="15" fillId="0" borderId="92" xfId="0" applyFont="1" applyBorder="1" applyAlignment="1">
      <alignment horizontal="center" vertical="center" wrapText="1"/>
    </xf>
    <xf numFmtId="0" fontId="15" fillId="0" borderId="93" xfId="0" applyFont="1" applyBorder="1" applyAlignment="1">
      <alignment horizontal="center" vertical="center" wrapText="1"/>
    </xf>
    <xf numFmtId="0" fontId="5" fillId="36" borderId="94" xfId="0" applyFont="1" applyFill="1" applyBorder="1" applyAlignment="1">
      <alignment horizontal="center" vertical="center"/>
    </xf>
    <xf numFmtId="0" fontId="5" fillId="36" borderId="95" xfId="0" applyFont="1" applyFill="1" applyBorder="1" applyAlignment="1">
      <alignment horizontal="center" vertical="center"/>
    </xf>
    <xf numFmtId="0" fontId="5" fillId="36" borderId="96" xfId="0" applyFont="1" applyFill="1" applyBorder="1" applyAlignment="1">
      <alignment horizontal="center" vertical="center"/>
    </xf>
    <xf numFmtId="0" fontId="14" fillId="6" borderId="86" xfId="0" applyFont="1" applyFill="1" applyBorder="1" applyAlignment="1">
      <alignment horizontal="center" vertical="center" textRotation="255"/>
    </xf>
    <xf numFmtId="0" fontId="14" fillId="6" borderId="87" xfId="0" applyFont="1" applyFill="1" applyBorder="1" applyAlignment="1">
      <alignment horizontal="center" vertical="center" textRotation="255"/>
    </xf>
    <xf numFmtId="0" fontId="14" fillId="6" borderId="88" xfId="0" applyFont="1" applyFill="1" applyBorder="1" applyAlignment="1">
      <alignment horizontal="center" vertical="center" textRotation="255"/>
    </xf>
    <xf numFmtId="0" fontId="19" fillId="0" borderId="31" xfId="0" applyFont="1" applyBorder="1" applyAlignment="1">
      <alignment horizontal="center" vertical="center"/>
    </xf>
    <xf numFmtId="0" fontId="19" fillId="0" borderId="17" xfId="0" applyFont="1" applyBorder="1" applyAlignment="1">
      <alignment horizontal="center" vertical="center"/>
    </xf>
    <xf numFmtId="0" fontId="9" fillId="6" borderId="31" xfId="0" applyFont="1" applyFill="1" applyBorder="1" applyAlignment="1">
      <alignment horizontal="center" vertical="center"/>
    </xf>
    <xf numFmtId="0" fontId="9" fillId="6" borderId="32" xfId="0" applyFont="1" applyFill="1" applyBorder="1" applyAlignment="1">
      <alignment horizontal="center" vertical="center"/>
    </xf>
    <xf numFmtId="0" fontId="9" fillId="6" borderId="17" xfId="0" applyFont="1" applyFill="1" applyBorder="1" applyAlignment="1">
      <alignment horizontal="center" vertical="center"/>
    </xf>
    <xf numFmtId="0" fontId="17" fillId="0" borderId="60"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59" xfId="0" applyFont="1" applyBorder="1" applyAlignment="1">
      <alignment horizontal="center" vertical="center" wrapText="1"/>
    </xf>
    <xf numFmtId="0" fontId="8" fillId="0" borderId="61" xfId="0" applyFont="1" applyBorder="1" applyAlignment="1">
      <alignment horizontal="right" vertical="center"/>
    </xf>
    <xf numFmtId="0" fontId="17" fillId="0" borderId="0" xfId="0" applyFont="1" applyAlignment="1">
      <alignment vertical="center"/>
    </xf>
    <xf numFmtId="0" fontId="14" fillId="0" borderId="68" xfId="0" applyFont="1" applyBorder="1" applyAlignment="1">
      <alignment vertical="center" wrapText="1"/>
    </xf>
    <xf numFmtId="0" fontId="14" fillId="0" borderId="63" xfId="0" applyFont="1" applyBorder="1" applyAlignment="1">
      <alignment vertical="center" wrapText="1"/>
    </xf>
    <xf numFmtId="0" fontId="14" fillId="0" borderId="24" xfId="0" applyFont="1" applyBorder="1" applyAlignment="1">
      <alignment vertical="center" wrapText="1"/>
    </xf>
    <xf numFmtId="0" fontId="14" fillId="0" borderId="70" xfId="0" applyFont="1" applyBorder="1" applyAlignment="1">
      <alignment vertical="center" wrapText="1"/>
    </xf>
    <xf numFmtId="0" fontId="14" fillId="0" borderId="61" xfId="0" applyFont="1" applyBorder="1" applyAlignment="1">
      <alignment vertical="center" wrapText="1"/>
    </xf>
    <xf numFmtId="0" fontId="14" fillId="0" borderId="59" xfId="0" applyFont="1" applyBorder="1" applyAlignment="1">
      <alignment vertical="center" wrapText="1"/>
    </xf>
    <xf numFmtId="190" fontId="14" fillId="0" borderId="68" xfId="0" applyNumberFormat="1" applyFont="1" applyBorder="1" applyAlignment="1">
      <alignment vertical="center" wrapText="1" shrinkToFit="1"/>
    </xf>
    <xf numFmtId="190" fontId="14" fillId="0" borderId="63" xfId="0" applyNumberFormat="1" applyFont="1" applyBorder="1" applyAlignment="1">
      <alignment vertical="center" wrapText="1" shrinkToFit="1"/>
    </xf>
    <xf numFmtId="190" fontId="14" fillId="0" borderId="24" xfId="0" applyNumberFormat="1" applyFont="1" applyBorder="1" applyAlignment="1">
      <alignment vertical="center" wrapText="1" shrinkToFit="1"/>
    </xf>
    <xf numFmtId="190" fontId="14" fillId="0" borderId="70" xfId="0" applyNumberFormat="1" applyFont="1" applyBorder="1" applyAlignment="1">
      <alignment vertical="center" wrapText="1" shrinkToFit="1"/>
    </xf>
    <xf numFmtId="190" fontId="14" fillId="0" borderId="61" xfId="0" applyNumberFormat="1" applyFont="1" applyBorder="1" applyAlignment="1">
      <alignment vertical="center" wrapText="1" shrinkToFit="1"/>
    </xf>
    <xf numFmtId="190" fontId="14" fillId="0" borderId="59" xfId="0" applyNumberFormat="1" applyFont="1" applyBorder="1" applyAlignment="1">
      <alignment vertical="center" wrapText="1" shrinkToFit="1"/>
    </xf>
    <xf numFmtId="190" fontId="17" fillId="0" borderId="70" xfId="0" applyNumberFormat="1" applyFont="1" applyBorder="1" applyAlignment="1">
      <alignment horizontal="center" vertical="center" shrinkToFit="1"/>
    </xf>
    <xf numFmtId="190" fontId="17" fillId="0" borderId="61" xfId="0" applyNumberFormat="1" applyFont="1" applyBorder="1" applyAlignment="1">
      <alignment horizontal="center" vertical="center" shrinkToFit="1"/>
    </xf>
    <xf numFmtId="190" fontId="17" fillId="0" borderId="59" xfId="0" applyNumberFormat="1" applyFont="1" applyBorder="1" applyAlignment="1">
      <alignment horizontal="center" vertical="center" shrinkToFit="1"/>
    </xf>
    <xf numFmtId="0" fontId="104" fillId="0" borderId="13" xfId="0" applyFont="1" applyBorder="1" applyAlignment="1">
      <alignment horizontal="center" vertical="center"/>
    </xf>
    <xf numFmtId="0" fontId="28" fillId="0" borderId="13" xfId="0" applyFont="1" applyBorder="1" applyAlignment="1">
      <alignment vertical="center"/>
    </xf>
    <xf numFmtId="0" fontId="4" fillId="0" borderId="6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59" xfId="0" applyFont="1" applyBorder="1" applyAlignment="1">
      <alignment horizontal="center" vertical="center" wrapText="1"/>
    </xf>
    <xf numFmtId="0" fontId="104" fillId="0" borderId="40" xfId="0" applyFont="1" applyBorder="1" applyAlignment="1">
      <alignment horizontal="center" vertical="center"/>
    </xf>
    <xf numFmtId="0" fontId="104" fillId="0" borderId="85" xfId="0" applyFont="1" applyBorder="1" applyAlignment="1">
      <alignment horizontal="center" vertical="center"/>
    </xf>
    <xf numFmtId="0" fontId="104" fillId="0" borderId="97" xfId="0" applyFont="1" applyBorder="1" applyAlignment="1">
      <alignment horizontal="center" vertical="center"/>
    </xf>
    <xf numFmtId="0" fontId="104" fillId="0" borderId="98" xfId="0" applyFont="1" applyBorder="1" applyAlignment="1">
      <alignment horizontal="center" vertical="center"/>
    </xf>
    <xf numFmtId="0" fontId="104" fillId="0" borderId="38" xfId="0" applyFont="1" applyBorder="1" applyAlignment="1">
      <alignment horizontal="center" vertical="center"/>
    </xf>
    <xf numFmtId="0" fontId="108" fillId="0" borderId="40" xfId="0" applyFont="1" applyBorder="1" applyAlignment="1">
      <alignment horizontal="center" vertical="center"/>
    </xf>
    <xf numFmtId="0" fontId="108" fillId="0" borderId="38" xfId="0" applyFont="1" applyBorder="1" applyAlignment="1">
      <alignment horizontal="center" vertical="center"/>
    </xf>
    <xf numFmtId="0" fontId="108" fillId="0" borderId="97" xfId="0" applyFont="1" applyBorder="1" applyAlignment="1">
      <alignment horizontal="center" vertical="center"/>
    </xf>
    <xf numFmtId="0" fontId="5" fillId="0" borderId="25" xfId="0" applyFont="1" applyBorder="1" applyAlignment="1">
      <alignment horizontal="center" vertical="center"/>
    </xf>
    <xf numFmtId="0" fontId="5" fillId="0" borderId="99" xfId="0" applyFont="1" applyBorder="1" applyAlignment="1">
      <alignment horizontal="center" vertical="center"/>
    </xf>
    <xf numFmtId="0" fontId="5" fillId="0" borderId="26" xfId="0" applyFont="1" applyBorder="1" applyAlignment="1">
      <alignment horizontal="center" vertical="center"/>
    </xf>
    <xf numFmtId="0" fontId="5" fillId="0" borderId="68"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9" fillId="0" borderId="25" xfId="0" applyFont="1" applyBorder="1" applyAlignment="1">
      <alignment vertical="center" wrapText="1"/>
    </xf>
    <xf numFmtId="0" fontId="9" fillId="0" borderId="26" xfId="0" applyFont="1" applyBorder="1" applyAlignment="1">
      <alignment vertical="center" wrapText="1"/>
    </xf>
    <xf numFmtId="0" fontId="105" fillId="6" borderId="13" xfId="0" applyFont="1" applyFill="1" applyBorder="1" applyAlignment="1" applyProtection="1">
      <alignment horizontal="center" vertical="center" wrapText="1"/>
      <protection locked="0"/>
    </xf>
    <xf numFmtId="0" fontId="5" fillId="0" borderId="92"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7" xfId="0" applyFont="1" applyBorder="1" applyAlignment="1">
      <alignment horizontal="center" vertical="center" wrapText="1"/>
    </xf>
    <xf numFmtId="0" fontId="23" fillId="0" borderId="0" xfId="0" applyFont="1" applyAlignment="1">
      <alignment vertical="top" wrapText="1"/>
    </xf>
    <xf numFmtId="203" fontId="17" fillId="0" borderId="63" xfId="0" applyNumberFormat="1" applyFont="1" applyBorder="1" applyAlignment="1">
      <alignment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105" fillId="6" borderId="13" xfId="0" applyFont="1" applyFill="1" applyBorder="1" applyAlignment="1" applyProtection="1">
      <alignment horizontal="center" vertical="center"/>
      <protection locked="0"/>
    </xf>
    <xf numFmtId="0" fontId="14" fillId="0" borderId="70" xfId="0" applyFont="1" applyBorder="1" applyAlignment="1">
      <alignment vertical="center" shrinkToFit="1"/>
    </xf>
    <xf numFmtId="0" fontId="14" fillId="0" borderId="61" xfId="0" applyFont="1" applyBorder="1" applyAlignment="1">
      <alignment vertical="center" shrinkToFit="1"/>
    </xf>
    <xf numFmtId="0" fontId="14" fillId="0" borderId="59" xfId="0" applyFont="1" applyBorder="1" applyAlignment="1">
      <alignment vertical="center" shrinkToFit="1"/>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14" fontId="92" fillId="35" borderId="17" xfId="0" applyNumberFormat="1" applyFont="1" applyFill="1" applyBorder="1" applyAlignment="1" applyProtection="1">
      <alignment horizontal="center" vertical="center" wrapText="1"/>
      <protection locked="0"/>
    </xf>
    <xf numFmtId="0" fontId="92" fillId="35" borderId="17" xfId="0" applyFont="1" applyFill="1" applyBorder="1" applyAlignment="1" applyProtection="1">
      <alignment horizontal="center" vertical="center" wrapText="1"/>
      <protection locked="0"/>
    </xf>
    <xf numFmtId="0" fontId="102" fillId="0" borderId="44" xfId="0" applyFont="1" applyBorder="1" applyAlignment="1" applyProtection="1">
      <alignment horizontal="center" vertical="top" wrapText="1"/>
      <protection locked="0"/>
    </xf>
    <xf numFmtId="0" fontId="102" fillId="0" borderId="108" xfId="0" applyFont="1" applyBorder="1" applyAlignment="1" applyProtection="1">
      <alignment horizontal="center" vertical="top" wrapText="1"/>
      <protection locked="0"/>
    </xf>
    <xf numFmtId="0" fontId="103" fillId="33" borderId="109" xfId="0" applyFont="1" applyFill="1" applyBorder="1" applyAlignment="1">
      <alignment horizontal="center" vertical="center" wrapText="1"/>
    </xf>
    <xf numFmtId="0" fontId="103" fillId="33" borderId="20" xfId="0" applyFont="1" applyFill="1" applyBorder="1" applyAlignment="1">
      <alignment horizontal="center" vertical="center" wrapText="1"/>
    </xf>
    <xf numFmtId="0" fontId="102" fillId="0" borderId="110" xfId="0" applyFont="1" applyBorder="1" applyAlignment="1">
      <alignment horizontal="center" vertical="top" wrapText="1"/>
    </xf>
    <xf numFmtId="0" fontId="102" fillId="0" borderId="108" xfId="0" applyFont="1" applyBorder="1" applyAlignment="1">
      <alignment horizontal="center" vertical="top" wrapText="1"/>
    </xf>
    <xf numFmtId="14" fontId="92" fillId="35" borderId="18" xfId="0" applyNumberFormat="1" applyFont="1" applyFill="1" applyBorder="1" applyAlignment="1" applyProtection="1">
      <alignment horizontal="center" vertical="center" wrapText="1"/>
      <protection locked="0"/>
    </xf>
    <xf numFmtId="0" fontId="92" fillId="35" borderId="18" xfId="0" applyFont="1" applyFill="1" applyBorder="1" applyAlignment="1" applyProtection="1">
      <alignment horizontal="center" vertical="center" wrapText="1"/>
      <protection locked="0"/>
    </xf>
    <xf numFmtId="0" fontId="0" fillId="0" borderId="85" xfId="0" applyBorder="1" applyAlignment="1">
      <alignment horizontal="center" vertical="center"/>
    </xf>
    <xf numFmtId="0" fontId="102" fillId="0" borderId="111" xfId="0" applyFont="1" applyBorder="1" applyAlignment="1">
      <alignment horizontal="center" vertical="center" wrapText="1"/>
    </xf>
    <xf numFmtId="0" fontId="102" fillId="0" borderId="112" xfId="0" applyFont="1" applyBorder="1" applyAlignment="1">
      <alignment horizontal="center" vertical="center" wrapText="1"/>
    </xf>
    <xf numFmtId="0" fontId="75" fillId="0" borderId="0" xfId="44" applyAlignment="1" applyProtection="1">
      <alignment vertical="center"/>
      <protection/>
    </xf>
    <xf numFmtId="0" fontId="102" fillId="0" borderId="0" xfId="0" applyFont="1" applyAlignment="1">
      <alignment horizontal="left" vertical="center"/>
    </xf>
    <xf numFmtId="0" fontId="102" fillId="0" borderId="113" xfId="0" applyFont="1" applyBorder="1" applyAlignment="1">
      <alignment horizontal="center" vertical="center" wrapText="1"/>
    </xf>
    <xf numFmtId="0" fontId="102" fillId="0" borderId="114" xfId="0" applyFont="1" applyBorder="1" applyAlignment="1">
      <alignment horizontal="center" vertical="center" wrapText="1"/>
    </xf>
    <xf numFmtId="0" fontId="0" fillId="0" borderId="40" xfId="0" applyBorder="1" applyAlignment="1">
      <alignment horizontal="center" vertical="center" shrinkToFit="1"/>
    </xf>
    <xf numFmtId="0" fontId="0" fillId="0" borderId="85" xfId="0" applyBorder="1" applyAlignment="1">
      <alignment horizontal="center" vertical="center" shrinkToFit="1"/>
    </xf>
    <xf numFmtId="0" fontId="0" fillId="0" borderId="38" xfId="0" applyBorder="1" applyAlignment="1">
      <alignment horizontal="center" vertical="center" shrinkToFit="1"/>
    </xf>
    <xf numFmtId="14" fontId="92" fillId="35" borderId="13" xfId="0" applyNumberFormat="1" applyFont="1" applyFill="1" applyBorder="1" applyAlignment="1" applyProtection="1">
      <alignment horizontal="center" vertical="center" wrapText="1"/>
      <protection locked="0"/>
    </xf>
    <xf numFmtId="0" fontId="92" fillId="35" borderId="13" xfId="0" applyFont="1" applyFill="1" applyBorder="1" applyAlignment="1" applyProtection="1">
      <alignment horizontal="center" vertical="center" wrapText="1"/>
      <protection locked="0"/>
    </xf>
    <xf numFmtId="0" fontId="102" fillId="0" borderId="43" xfId="0" applyFont="1" applyBorder="1" applyAlignment="1">
      <alignment horizontal="center" vertical="center" wrapText="1"/>
    </xf>
    <xf numFmtId="0" fontId="102" fillId="0" borderId="16" xfId="0" applyFont="1" applyBorder="1" applyAlignment="1">
      <alignment horizontal="center" vertical="center" wrapText="1"/>
    </xf>
    <xf numFmtId="14" fontId="92" fillId="35" borderId="19" xfId="0" applyNumberFormat="1" applyFont="1" applyFill="1" applyBorder="1" applyAlignment="1" applyProtection="1">
      <alignment horizontal="center" vertical="center" wrapText="1"/>
      <protection locked="0"/>
    </xf>
    <xf numFmtId="0" fontId="92" fillId="35" borderId="19" xfId="0" applyFont="1" applyFill="1" applyBorder="1" applyAlignment="1" applyProtection="1">
      <alignment horizontal="center" vertical="center" wrapText="1"/>
      <protection locked="0"/>
    </xf>
    <xf numFmtId="0" fontId="102" fillId="0" borderId="44" xfId="0" applyFont="1" applyBorder="1" applyAlignment="1">
      <alignment horizontal="center" vertical="top" wrapText="1"/>
    </xf>
    <xf numFmtId="0" fontId="92" fillId="35" borderId="70" xfId="0" applyFont="1" applyFill="1" applyBorder="1" applyAlignment="1" applyProtection="1">
      <alignment horizontal="center" vertical="center" wrapText="1"/>
      <protection locked="0"/>
    </xf>
    <xf numFmtId="0" fontId="92" fillId="35" borderId="115"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6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20</xdr:row>
      <xdr:rowOff>123825</xdr:rowOff>
    </xdr:from>
    <xdr:ext cx="457200" cy="238125"/>
    <xdr:sp>
      <xdr:nvSpPr>
        <xdr:cNvPr id="1" name="テキスト ボックス 1"/>
        <xdr:cNvSpPr txBox="1">
          <a:spLocks noChangeArrowheads="1"/>
        </xdr:cNvSpPr>
      </xdr:nvSpPr>
      <xdr:spPr>
        <a:xfrm>
          <a:off x="457200" y="4124325"/>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4</xdr:col>
      <xdr:colOff>885825</xdr:colOff>
      <xdr:row>20</xdr:row>
      <xdr:rowOff>123825</xdr:rowOff>
    </xdr:from>
    <xdr:ext cx="1104900" cy="238125"/>
    <xdr:sp>
      <xdr:nvSpPr>
        <xdr:cNvPr id="2" name="テキスト ボックス 12"/>
        <xdr:cNvSpPr txBox="1">
          <a:spLocks noChangeArrowheads="1"/>
        </xdr:cNvSpPr>
      </xdr:nvSpPr>
      <xdr:spPr>
        <a:xfrm>
          <a:off x="3133725" y="4124325"/>
          <a:ext cx="110490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3"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38125"/>
    <xdr:sp>
      <xdr:nvSpPr>
        <xdr:cNvPr id="4"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104775</xdr:rowOff>
    </xdr:from>
    <xdr:ext cx="666750" cy="238125"/>
    <xdr:sp>
      <xdr:nvSpPr>
        <xdr:cNvPr id="5" name="テキスト ボックス 33"/>
        <xdr:cNvSpPr txBox="1">
          <a:spLocks noChangeArrowheads="1"/>
        </xdr:cNvSpPr>
      </xdr:nvSpPr>
      <xdr:spPr>
        <a:xfrm>
          <a:off x="457200" y="590550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1</xdr:col>
      <xdr:colOff>228600</xdr:colOff>
      <xdr:row>25</xdr:row>
      <xdr:rowOff>9525</xdr:rowOff>
    </xdr:from>
    <xdr:ext cx="457200" cy="238125"/>
    <xdr:sp>
      <xdr:nvSpPr>
        <xdr:cNvPr id="6" name="テキスト ボックス 37"/>
        <xdr:cNvSpPr txBox="1">
          <a:spLocks noChangeArrowheads="1"/>
        </xdr:cNvSpPr>
      </xdr:nvSpPr>
      <xdr:spPr>
        <a:xfrm>
          <a:off x="457200"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41</xdr:row>
      <xdr:rowOff>0</xdr:rowOff>
    </xdr:from>
    <xdr:to>
      <xdr:col>30</xdr:col>
      <xdr:colOff>9525</xdr:colOff>
      <xdr:row>41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5774650" y="14811375"/>
          <a:ext cx="9525" cy="9525"/>
        </a:xfrm>
        <a:prstGeom prst="rect">
          <a:avLst/>
        </a:prstGeom>
        <a:noFill/>
        <a:ln w="9525" cmpd="sng">
          <a:noFill/>
        </a:ln>
      </xdr:spPr>
    </xdr:pic>
    <xdr:clientData/>
  </xdr:twoCellAnchor>
  <xdr:twoCellAnchor editAs="oneCell">
    <xdr:from>
      <xdr:col>30</xdr:col>
      <xdr:colOff>19050</xdr:colOff>
      <xdr:row>41</xdr:row>
      <xdr:rowOff>0</xdr:rowOff>
    </xdr:from>
    <xdr:to>
      <xdr:col>30</xdr:col>
      <xdr:colOff>28575</xdr:colOff>
      <xdr:row>41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5793700" y="14811375"/>
          <a:ext cx="9525" cy="9525"/>
        </a:xfrm>
        <a:prstGeom prst="rect">
          <a:avLst/>
        </a:prstGeom>
        <a:noFill/>
        <a:ln w="9525" cmpd="sng">
          <a:noFill/>
        </a:ln>
      </xdr:spPr>
    </xdr:pic>
    <xdr:clientData/>
  </xdr:twoCellAnchor>
  <xdr:twoCellAnchor editAs="oneCell">
    <xdr:from>
      <xdr:col>30</xdr:col>
      <xdr:colOff>38100</xdr:colOff>
      <xdr:row>41</xdr:row>
      <xdr:rowOff>0</xdr:rowOff>
    </xdr:from>
    <xdr:to>
      <xdr:col>30</xdr:col>
      <xdr:colOff>47625</xdr:colOff>
      <xdr:row>41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5812750" y="14811375"/>
          <a:ext cx="9525" cy="9525"/>
        </a:xfrm>
        <a:prstGeom prst="rect">
          <a:avLst/>
        </a:prstGeom>
        <a:noFill/>
        <a:ln w="9525" cmpd="sng">
          <a:noFill/>
        </a:ln>
      </xdr:spPr>
    </xdr:pic>
    <xdr:clientData/>
  </xdr:twoCellAnchor>
  <xdr:twoCellAnchor editAs="oneCell">
    <xdr:from>
      <xdr:col>29</xdr:col>
      <xdr:colOff>0</xdr:colOff>
      <xdr:row>41</xdr:row>
      <xdr:rowOff>0</xdr:rowOff>
    </xdr:from>
    <xdr:to>
      <xdr:col>29</xdr:col>
      <xdr:colOff>9525</xdr:colOff>
      <xdr:row>41</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3612475" y="14811375"/>
          <a:ext cx="9525" cy="9525"/>
        </a:xfrm>
        <a:prstGeom prst="rect">
          <a:avLst/>
        </a:prstGeom>
        <a:noFill/>
        <a:ln w="9525" cmpd="sng">
          <a:noFill/>
        </a:ln>
      </xdr:spPr>
    </xdr:pic>
    <xdr:clientData/>
  </xdr:twoCellAnchor>
  <xdr:twoCellAnchor editAs="oneCell">
    <xdr:from>
      <xdr:col>29</xdr:col>
      <xdr:colOff>19050</xdr:colOff>
      <xdr:row>41</xdr:row>
      <xdr:rowOff>0</xdr:rowOff>
    </xdr:from>
    <xdr:to>
      <xdr:col>29</xdr:col>
      <xdr:colOff>28575</xdr:colOff>
      <xdr:row>41</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3631525" y="14811375"/>
          <a:ext cx="9525" cy="9525"/>
        </a:xfrm>
        <a:prstGeom prst="rect">
          <a:avLst/>
        </a:prstGeom>
        <a:noFill/>
        <a:ln w="9525" cmpd="sng">
          <a:noFill/>
        </a:ln>
      </xdr:spPr>
    </xdr:pic>
    <xdr:clientData/>
  </xdr:twoCellAnchor>
  <xdr:twoCellAnchor editAs="oneCell">
    <xdr:from>
      <xdr:col>29</xdr:col>
      <xdr:colOff>38100</xdr:colOff>
      <xdr:row>41</xdr:row>
      <xdr:rowOff>0</xdr:rowOff>
    </xdr:from>
    <xdr:to>
      <xdr:col>29</xdr:col>
      <xdr:colOff>57150</xdr:colOff>
      <xdr:row>41</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3650575" y="14811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27096;&#24335;&#31532;&#65297;&#12398;&#21029;&#32025;&#12288;&#32076;&#36027;&#26126;&#32048;&#34920;&#12539;&#36039;&#37329;&#35519;&#36948;&#20869;&#35379;&#12411;&#12363;(&#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7" t="s">
        <v>87</v>
      </c>
      <c r="D1" s="12"/>
      <c r="E1" s="12"/>
    </row>
    <row r="2" spans="2:5" ht="19.5" customHeight="1">
      <c r="B2" s="17"/>
      <c r="D2" s="12"/>
      <c r="E2" s="12"/>
    </row>
    <row r="3" spans="2:5" ht="19.5" customHeight="1">
      <c r="B3" t="s">
        <v>89</v>
      </c>
      <c r="C3" s="12"/>
      <c r="D3" s="12"/>
      <c r="E3" s="12"/>
    </row>
    <row r="4" spans="2:3" ht="19.5" customHeight="1" thickBot="1">
      <c r="B4" s="18" t="s">
        <v>27</v>
      </c>
      <c r="C4" s="18" t="s">
        <v>88</v>
      </c>
    </row>
    <row r="5" spans="2:3" ht="19.5" customHeight="1" thickTop="1">
      <c r="B5" s="19">
        <v>1</v>
      </c>
      <c r="C5" s="20" t="s">
        <v>87</v>
      </c>
    </row>
    <row r="6" spans="2:3" ht="19.5" customHeight="1">
      <c r="B6" s="21">
        <v>2</v>
      </c>
      <c r="C6" s="22" t="s">
        <v>108</v>
      </c>
    </row>
    <row r="7" spans="2:3" ht="19.5" customHeight="1">
      <c r="B7" s="21">
        <v>3</v>
      </c>
      <c r="C7" s="22" t="s">
        <v>122</v>
      </c>
    </row>
    <row r="8" spans="2:3" ht="19.5" customHeight="1">
      <c r="B8" s="35">
        <v>4</v>
      </c>
      <c r="C8" s="22" t="s">
        <v>82</v>
      </c>
    </row>
    <row r="9" spans="2:3" ht="19.5" customHeight="1">
      <c r="B9" s="35">
        <v>5</v>
      </c>
      <c r="C9" s="22" t="s">
        <v>70</v>
      </c>
    </row>
    <row r="10" spans="2:3" ht="19.5" customHeight="1">
      <c r="B10" s="35">
        <v>6</v>
      </c>
      <c r="C10" s="22" t="s">
        <v>23</v>
      </c>
    </row>
    <row r="11" spans="2:3" ht="19.5" customHeight="1">
      <c r="B11" s="35">
        <v>7</v>
      </c>
      <c r="C11" s="22" t="s">
        <v>71</v>
      </c>
    </row>
    <row r="12" spans="2:3" ht="19.5" customHeight="1">
      <c r="B12" s="35">
        <v>8</v>
      </c>
      <c r="C12" s="22" t="s">
        <v>26</v>
      </c>
    </row>
    <row r="13" spans="2:3" ht="19.5" customHeight="1">
      <c r="B13" s="35">
        <v>9</v>
      </c>
      <c r="C13" s="22" t="s">
        <v>239</v>
      </c>
    </row>
    <row r="14" spans="2:3" ht="19.5" customHeight="1">
      <c r="B14" s="35">
        <v>10</v>
      </c>
      <c r="C14" s="22" t="s">
        <v>162</v>
      </c>
    </row>
    <row r="15" spans="2:3" ht="19.5" customHeight="1">
      <c r="B15" s="35">
        <v>11</v>
      </c>
      <c r="C15" s="22" t="s">
        <v>163</v>
      </c>
    </row>
    <row r="16" spans="2:3" ht="19.5" customHeight="1">
      <c r="B16" s="35">
        <v>12</v>
      </c>
      <c r="C16" s="22" t="s">
        <v>164</v>
      </c>
    </row>
    <row r="17" spans="2:3" ht="19.5" customHeight="1">
      <c r="B17" s="35">
        <v>13</v>
      </c>
      <c r="C17" s="22" t="s">
        <v>165</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4" location="原材料費!A1" display="原材料費"/>
    <hyperlink ref="C10" location="技術導入費!A1" display="技術導入費"/>
    <hyperlink ref="C15" location="外注加工費!A1" display="外注加工費（小規模型のみ）"/>
    <hyperlink ref="C16" location="委託費!A1" display="委託費"/>
    <hyperlink ref="C17" location="知的財産権等関連経費!A1" display="知的財産権等関連経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61" customWidth="1"/>
    <col min="2" max="4" width="3.7109375" style="161" customWidth="1"/>
    <col min="5" max="5" width="16.421875" style="1" customWidth="1"/>
    <col min="6" max="6" width="16.140625" style="1" customWidth="1"/>
    <col min="7" max="7" width="9.140625" style="161" customWidth="1"/>
    <col min="8" max="8" width="6.421875" style="161" customWidth="1"/>
    <col min="9" max="13" width="15.140625" style="161" customWidth="1"/>
    <col min="14" max="14" width="16.140625" style="161" bestFit="1" customWidth="1"/>
    <col min="15" max="15" width="5.28125" style="159" customWidth="1"/>
    <col min="16" max="17" width="9.00390625" style="161" customWidth="1"/>
    <col min="18" max="18" width="0" style="161" hidden="1" customWidth="1"/>
    <col min="19" max="16384" width="9.00390625" style="161" customWidth="1"/>
  </cols>
  <sheetData>
    <row r="1" spans="1:18" ht="13.5">
      <c r="A1" s="159"/>
      <c r="E1" s="160"/>
      <c r="H1" s="159"/>
      <c r="P1" s="159"/>
      <c r="Q1" s="162"/>
      <c r="R1" s="162"/>
    </row>
    <row r="2" spans="1:18" ht="13.5">
      <c r="A2" s="159"/>
      <c r="B2" s="634" t="s">
        <v>170</v>
      </c>
      <c r="C2" s="634"/>
      <c r="D2" s="634"/>
      <c r="E2" s="160"/>
      <c r="H2" s="159"/>
      <c r="P2" s="159"/>
      <c r="Q2" s="162"/>
      <c r="R2" s="162"/>
    </row>
    <row r="3" spans="1:18" ht="13.5">
      <c r="A3" s="159"/>
      <c r="E3" s="160"/>
      <c r="H3" s="159"/>
      <c r="P3" s="159"/>
      <c r="Q3" s="162"/>
      <c r="R3" s="162"/>
    </row>
    <row r="4" spans="1:6" ht="13.5" customHeight="1">
      <c r="A4" s="635" t="s">
        <v>207</v>
      </c>
      <c r="B4" s="635"/>
      <c r="C4" s="635"/>
      <c r="D4" s="635"/>
      <c r="E4" s="635"/>
      <c r="F4" s="159"/>
    </row>
    <row r="5" spans="1:6" ht="13.5" customHeight="1">
      <c r="A5" s="163"/>
      <c r="B5" s="163"/>
      <c r="C5" s="163"/>
      <c r="D5" s="163"/>
      <c r="E5" s="196"/>
      <c r="F5" s="159"/>
    </row>
    <row r="6" spans="1:8" ht="13.5" customHeight="1">
      <c r="A6" s="163"/>
      <c r="B6" s="165" t="s">
        <v>129</v>
      </c>
      <c r="C6" s="166"/>
      <c r="D6" s="167"/>
      <c r="E6" s="168"/>
      <c r="F6" s="482" t="s">
        <v>13</v>
      </c>
      <c r="G6" s="631"/>
      <c r="H6" s="483"/>
    </row>
    <row r="7" spans="1:8" ht="13.5" customHeight="1">
      <c r="A7" s="163"/>
      <c r="B7" s="163"/>
      <c r="C7" s="163"/>
      <c r="D7" s="163"/>
      <c r="E7" s="196"/>
      <c r="F7" s="638" t="s">
        <v>26</v>
      </c>
      <c r="G7" s="639"/>
      <c r="H7" s="640"/>
    </row>
    <row r="8" spans="1:15" ht="13.5" customHeight="1">
      <c r="A8" s="163"/>
      <c r="B8" s="163"/>
      <c r="C8" s="163"/>
      <c r="D8" s="163"/>
      <c r="E8" s="196"/>
      <c r="F8" s="159"/>
      <c r="O8" s="169"/>
    </row>
    <row r="9" spans="1:12" ht="13.5" customHeight="1">
      <c r="A9" s="186"/>
      <c r="F9" s="159"/>
      <c r="I9" s="170" t="s">
        <v>28</v>
      </c>
      <c r="J9" s="1" t="str">
        <f>IF('基本情報入力（使い方）'!$C$12="","",'基本情報入力（使い方）'!$C$12)</f>
        <v>Ｂ金属株式会社</v>
      </c>
      <c r="K9" s="170"/>
      <c r="L9" s="1"/>
    </row>
    <row r="10" spans="1:15" ht="13.5" customHeight="1" thickBot="1">
      <c r="A10" s="186"/>
      <c r="F10" s="159"/>
      <c r="M10" s="170"/>
      <c r="N10" s="170" t="s">
        <v>17</v>
      </c>
      <c r="O10" s="170"/>
    </row>
    <row r="11" spans="1:15" ht="27" customHeight="1">
      <c r="A11" s="636" t="s">
        <v>1</v>
      </c>
      <c r="B11" s="627" t="s">
        <v>2</v>
      </c>
      <c r="C11" s="627"/>
      <c r="D11" s="628"/>
      <c r="E11" s="172" t="s">
        <v>3</v>
      </c>
      <c r="F11" s="172" t="s">
        <v>4</v>
      </c>
      <c r="G11" s="172" t="s">
        <v>5</v>
      </c>
      <c r="H11" s="172" t="s">
        <v>6</v>
      </c>
      <c r="I11" s="172" t="s">
        <v>0</v>
      </c>
      <c r="J11" s="172" t="s">
        <v>0</v>
      </c>
      <c r="K11" s="647" t="s">
        <v>283</v>
      </c>
      <c r="L11" s="628"/>
      <c r="M11" s="623" t="s">
        <v>223</v>
      </c>
      <c r="N11" s="624"/>
      <c r="O11" s="632" t="s">
        <v>35</v>
      </c>
    </row>
    <row r="12" spans="1:17" ht="42" customHeight="1" thickBot="1">
      <c r="A12" s="637"/>
      <c r="B12" s="174" t="s">
        <v>7</v>
      </c>
      <c r="C12" s="174" t="s">
        <v>8</v>
      </c>
      <c r="D12" s="175" t="s">
        <v>9</v>
      </c>
      <c r="E12" s="197"/>
      <c r="F12" s="177"/>
      <c r="G12" s="178"/>
      <c r="H12" s="178"/>
      <c r="I12" s="448" t="s">
        <v>10</v>
      </c>
      <c r="J12" s="448" t="s">
        <v>21</v>
      </c>
      <c r="K12" s="449" t="s">
        <v>11</v>
      </c>
      <c r="L12" s="450" t="s">
        <v>19</v>
      </c>
      <c r="M12" s="447" t="s">
        <v>287</v>
      </c>
      <c r="N12" s="447" t="s">
        <v>286</v>
      </c>
      <c r="O12" s="633"/>
      <c r="Q12" s="157"/>
    </row>
    <row r="13" spans="1:15" ht="61.5" customHeight="1">
      <c r="A13" s="190">
        <v>1</v>
      </c>
      <c r="B13" s="645">
        <v>43769</v>
      </c>
      <c r="C13" s="646"/>
      <c r="D13" s="646"/>
      <c r="E13" s="235" t="s">
        <v>265</v>
      </c>
      <c r="F13" s="210" t="s">
        <v>266</v>
      </c>
      <c r="G13" s="211">
        <v>1</v>
      </c>
      <c r="H13" s="212" t="s">
        <v>105</v>
      </c>
      <c r="I13" s="25">
        <f>IF(J13="","",ROUNDDOWN(J13*(1+O13/100),0))</f>
        <v>12960</v>
      </c>
      <c r="J13" s="236">
        <v>12000</v>
      </c>
      <c r="K13" s="25">
        <f>IF(L13="","",ROUNDDOWN(L13*(1+O13/100),0))</f>
        <v>12960</v>
      </c>
      <c r="L13" s="25">
        <f>IF(OR(J13="",G13=""),"",ROUNDDOWN(J13*G13,0))</f>
        <v>12000</v>
      </c>
      <c r="M13" s="26">
        <f>L13</f>
        <v>12000</v>
      </c>
      <c r="N13" s="228">
        <v>12000</v>
      </c>
      <c r="O13" s="221">
        <v>8</v>
      </c>
    </row>
    <row r="14" spans="1:15" ht="61.5" customHeight="1">
      <c r="A14" s="191">
        <v>2</v>
      </c>
      <c r="B14" s="621"/>
      <c r="C14" s="622"/>
      <c r="D14" s="622"/>
      <c r="E14" s="231"/>
      <c r="F14" s="214"/>
      <c r="G14" s="211"/>
      <c r="H14" s="212"/>
      <c r="I14" s="25">
        <f aca="true" t="shared" si="0" ref="I14:I22">IF(J14="","",ROUNDDOWN(J14*(1+O14/100),0))</f>
      </c>
      <c r="J14" s="219"/>
      <c r="K14" s="25">
        <f aca="true" t="shared" si="1" ref="K14:K22">IF(L14="","",ROUNDDOWN(L14*(1+O14/100),0))</f>
      </c>
      <c r="L14" s="25">
        <f aca="true" t="shared" si="2" ref="L14:L22">IF(OR(J14="",G14=""),"",ROUNDDOWN(J14*G14,0))</f>
      </c>
      <c r="M14" s="26">
        <f aca="true" t="shared" si="3" ref="M14:M22">L14</f>
      </c>
      <c r="N14" s="228"/>
      <c r="O14" s="221">
        <v>8</v>
      </c>
    </row>
    <row r="15" spans="1:15" ht="61.5" customHeight="1">
      <c r="A15" s="191">
        <v>3</v>
      </c>
      <c r="B15" s="621"/>
      <c r="C15" s="622"/>
      <c r="D15" s="622"/>
      <c r="E15" s="231"/>
      <c r="F15" s="214"/>
      <c r="G15" s="211"/>
      <c r="H15" s="212"/>
      <c r="I15" s="25">
        <f t="shared" si="0"/>
      </c>
      <c r="J15" s="219"/>
      <c r="K15" s="25">
        <f t="shared" si="1"/>
      </c>
      <c r="L15" s="25">
        <f t="shared" si="2"/>
      </c>
      <c r="M15" s="26">
        <f t="shared" si="3"/>
      </c>
      <c r="N15" s="228"/>
      <c r="O15" s="221">
        <v>8</v>
      </c>
    </row>
    <row r="16" spans="1:15" ht="61.5" customHeight="1">
      <c r="A16" s="191">
        <v>4</v>
      </c>
      <c r="B16" s="621"/>
      <c r="C16" s="622"/>
      <c r="D16" s="622"/>
      <c r="E16" s="231"/>
      <c r="F16" s="214"/>
      <c r="G16" s="211"/>
      <c r="H16" s="212"/>
      <c r="I16" s="25">
        <f t="shared" si="0"/>
      </c>
      <c r="J16" s="219"/>
      <c r="K16" s="25">
        <f t="shared" si="1"/>
      </c>
      <c r="L16" s="25">
        <f t="shared" si="2"/>
      </c>
      <c r="M16" s="26">
        <f t="shared" si="3"/>
      </c>
      <c r="N16" s="228"/>
      <c r="O16" s="221">
        <v>8</v>
      </c>
    </row>
    <row r="17" spans="1:15" ht="61.5" customHeight="1">
      <c r="A17" s="191">
        <v>5</v>
      </c>
      <c r="B17" s="621"/>
      <c r="C17" s="622"/>
      <c r="D17" s="622"/>
      <c r="E17" s="231"/>
      <c r="F17" s="214"/>
      <c r="G17" s="211"/>
      <c r="H17" s="212"/>
      <c r="I17" s="25">
        <f t="shared" si="0"/>
      </c>
      <c r="J17" s="219"/>
      <c r="K17" s="25">
        <f t="shared" si="1"/>
      </c>
      <c r="L17" s="25">
        <f t="shared" si="2"/>
      </c>
      <c r="M17" s="26">
        <f t="shared" si="3"/>
      </c>
      <c r="N17" s="228"/>
      <c r="O17" s="221">
        <v>8</v>
      </c>
    </row>
    <row r="18" spans="1:15" ht="61.5" customHeight="1">
      <c r="A18" s="191">
        <v>6</v>
      </c>
      <c r="B18" s="621"/>
      <c r="C18" s="622"/>
      <c r="D18" s="622"/>
      <c r="E18" s="231"/>
      <c r="F18" s="214"/>
      <c r="G18" s="211"/>
      <c r="H18" s="212"/>
      <c r="I18" s="25">
        <f t="shared" si="0"/>
      </c>
      <c r="J18" s="219"/>
      <c r="K18" s="25">
        <f t="shared" si="1"/>
      </c>
      <c r="L18" s="25">
        <f t="shared" si="2"/>
      </c>
      <c r="M18" s="26">
        <f t="shared" si="3"/>
      </c>
      <c r="N18" s="228"/>
      <c r="O18" s="221">
        <v>8</v>
      </c>
    </row>
    <row r="19" spans="1:15" ht="61.5" customHeight="1">
      <c r="A19" s="191">
        <v>7</v>
      </c>
      <c r="B19" s="621"/>
      <c r="C19" s="622"/>
      <c r="D19" s="622"/>
      <c r="E19" s="231"/>
      <c r="F19" s="215"/>
      <c r="G19" s="211"/>
      <c r="H19" s="212"/>
      <c r="I19" s="25">
        <f t="shared" si="0"/>
      </c>
      <c r="J19" s="219"/>
      <c r="K19" s="25">
        <f t="shared" si="1"/>
      </c>
      <c r="L19" s="25">
        <f t="shared" si="2"/>
      </c>
      <c r="M19" s="26">
        <f t="shared" si="3"/>
      </c>
      <c r="N19" s="228"/>
      <c r="O19" s="221">
        <v>8</v>
      </c>
    </row>
    <row r="20" spans="1:15" ht="61.5" customHeight="1">
      <c r="A20" s="191">
        <v>8</v>
      </c>
      <c r="B20" s="621"/>
      <c r="C20" s="622"/>
      <c r="D20" s="622"/>
      <c r="E20" s="231"/>
      <c r="F20" s="214"/>
      <c r="G20" s="211"/>
      <c r="H20" s="212"/>
      <c r="I20" s="25">
        <f t="shared" si="0"/>
      </c>
      <c r="J20" s="219"/>
      <c r="K20" s="25">
        <f t="shared" si="1"/>
      </c>
      <c r="L20" s="25">
        <f t="shared" si="2"/>
      </c>
      <c r="M20" s="26">
        <f t="shared" si="3"/>
      </c>
      <c r="N20" s="228"/>
      <c r="O20" s="221">
        <v>8</v>
      </c>
    </row>
    <row r="21" spans="1:15" ht="61.5" customHeight="1">
      <c r="A21" s="191">
        <v>9</v>
      </c>
      <c r="B21" s="621"/>
      <c r="C21" s="622"/>
      <c r="D21" s="622"/>
      <c r="E21" s="231"/>
      <c r="F21" s="214"/>
      <c r="G21" s="211"/>
      <c r="H21" s="212"/>
      <c r="I21" s="25">
        <f t="shared" si="0"/>
      </c>
      <c r="J21" s="219"/>
      <c r="K21" s="25">
        <f t="shared" si="1"/>
      </c>
      <c r="L21" s="25">
        <f t="shared" si="2"/>
      </c>
      <c r="M21" s="26">
        <f t="shared" si="3"/>
      </c>
      <c r="N21" s="228"/>
      <c r="O21" s="221">
        <v>8</v>
      </c>
    </row>
    <row r="22" spans="1:15" ht="61.5" customHeight="1" thickBot="1">
      <c r="A22" s="195">
        <v>10</v>
      </c>
      <c r="B22" s="629"/>
      <c r="C22" s="630"/>
      <c r="D22" s="630"/>
      <c r="E22" s="232"/>
      <c r="F22" s="216"/>
      <c r="G22" s="217"/>
      <c r="H22" s="218"/>
      <c r="I22" s="27">
        <f t="shared" si="0"/>
      </c>
      <c r="J22" s="220"/>
      <c r="K22" s="27">
        <f t="shared" si="1"/>
      </c>
      <c r="L22" s="27">
        <f t="shared" si="2"/>
      </c>
      <c r="M22" s="27">
        <f t="shared" si="3"/>
      </c>
      <c r="N22" s="220"/>
      <c r="O22" s="222">
        <v>8</v>
      </c>
    </row>
    <row r="23" spans="1:18" ht="21" customHeight="1" thickBot="1">
      <c r="A23" s="625" t="s">
        <v>12</v>
      </c>
      <c r="B23" s="626"/>
      <c r="C23" s="626"/>
      <c r="D23" s="626"/>
      <c r="E23" s="626"/>
      <c r="F23" s="626"/>
      <c r="G23" s="626"/>
      <c r="H23" s="626"/>
      <c r="I23" s="626"/>
      <c r="J23" s="182"/>
      <c r="K23" s="24">
        <f>SUM(K13:K22)</f>
        <v>12960</v>
      </c>
      <c r="L23" s="24">
        <f>SUM(L13:L22)</f>
        <v>12000</v>
      </c>
      <c r="M23" s="280">
        <f>SUM(M13:M22)</f>
        <v>12000</v>
      </c>
      <c r="N23" s="149">
        <f>SUM(N13:N22)</f>
        <v>12000</v>
      </c>
      <c r="R23" s="161">
        <f>'経費明細表'!S16</f>
        <v>12000</v>
      </c>
    </row>
    <row r="24" spans="1:14" ht="13.5" customHeight="1">
      <c r="A24" s="186"/>
      <c r="L24" s="184"/>
      <c r="M24" s="185"/>
      <c r="N24" s="185"/>
    </row>
    <row r="25" spans="1:14" ht="13.5" customHeight="1">
      <c r="A25" s="186"/>
      <c r="B25" s="161" t="s">
        <v>14</v>
      </c>
      <c r="D25" s="186"/>
      <c r="E25" s="1" t="s">
        <v>29</v>
      </c>
      <c r="N25" s="187"/>
    </row>
    <row r="26" spans="2:14" ht="13.5" customHeight="1">
      <c r="B26" s="161" t="s">
        <v>15</v>
      </c>
      <c r="E26" s="1" t="s">
        <v>30</v>
      </c>
      <c r="N26" s="187"/>
    </row>
    <row r="27" spans="2:14" ht="13.5" customHeight="1">
      <c r="B27" s="161" t="s">
        <v>16</v>
      </c>
      <c r="E27" s="1" t="s">
        <v>31</v>
      </c>
      <c r="N27" s="187"/>
    </row>
    <row r="28" ht="13.5">
      <c r="N28" s="188"/>
    </row>
  </sheetData>
  <sheetProtection sheet="1" objects="1" scenarios="1"/>
  <mergeCells count="20">
    <mergeCell ref="B17:D17"/>
    <mergeCell ref="B2:D2"/>
    <mergeCell ref="O11:O12"/>
    <mergeCell ref="B18:D18"/>
    <mergeCell ref="A4:E4"/>
    <mergeCell ref="A11:A12"/>
    <mergeCell ref="B11:D11"/>
    <mergeCell ref="K11:L11"/>
    <mergeCell ref="F7:H7"/>
    <mergeCell ref="F6:H6"/>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61" customWidth="1"/>
    <col min="2" max="4" width="3.7109375" style="161" customWidth="1"/>
    <col min="5" max="5" width="16.421875" style="1" customWidth="1"/>
    <col min="6" max="6" width="16.140625" style="1" customWidth="1"/>
    <col min="7" max="7" width="9.140625" style="161" customWidth="1"/>
    <col min="8" max="8" width="6.421875" style="161" customWidth="1"/>
    <col min="9" max="13" width="15.140625" style="161" customWidth="1"/>
    <col min="14" max="14" width="16.140625" style="161" bestFit="1" customWidth="1"/>
    <col min="15" max="15" width="5.28125" style="159" customWidth="1"/>
    <col min="16" max="17" width="9.00390625" style="161" customWidth="1"/>
    <col min="18" max="18" width="0" style="161" hidden="1" customWidth="1"/>
    <col min="19" max="16384" width="9.00390625" style="161" customWidth="1"/>
  </cols>
  <sheetData>
    <row r="1" spans="1:18" ht="13.5">
      <c r="A1" s="159"/>
      <c r="E1" s="160"/>
      <c r="H1" s="159"/>
      <c r="P1" s="159"/>
      <c r="Q1" s="162"/>
      <c r="R1" s="162"/>
    </row>
    <row r="2" spans="1:18" ht="13.5">
      <c r="A2" s="159"/>
      <c r="B2" s="634" t="s">
        <v>170</v>
      </c>
      <c r="C2" s="634"/>
      <c r="D2" s="634"/>
      <c r="E2" s="160"/>
      <c r="H2" s="159"/>
      <c r="P2" s="159"/>
      <c r="Q2" s="162"/>
      <c r="R2" s="162"/>
    </row>
    <row r="3" spans="1:18" ht="13.5">
      <c r="A3" s="159"/>
      <c r="E3" s="160"/>
      <c r="H3" s="159"/>
      <c r="P3" s="159"/>
      <c r="Q3" s="162"/>
      <c r="R3" s="162"/>
    </row>
    <row r="4" spans="1:6" ht="13.5" customHeight="1">
      <c r="A4" s="635" t="s">
        <v>207</v>
      </c>
      <c r="B4" s="635"/>
      <c r="C4" s="635"/>
      <c r="D4" s="635"/>
      <c r="E4" s="635"/>
      <c r="F4" s="159"/>
    </row>
    <row r="5" spans="1:6" ht="13.5" customHeight="1">
      <c r="A5" s="163"/>
      <c r="B5" s="163"/>
      <c r="C5" s="163"/>
      <c r="D5" s="163"/>
      <c r="E5" s="196"/>
      <c r="F5" s="159"/>
    </row>
    <row r="6" spans="1:8" ht="13.5" customHeight="1">
      <c r="A6" s="163"/>
      <c r="B6" s="165" t="s">
        <v>129</v>
      </c>
      <c r="C6" s="166"/>
      <c r="D6" s="167"/>
      <c r="E6" s="168"/>
      <c r="F6" s="482" t="s">
        <v>13</v>
      </c>
      <c r="G6" s="631"/>
      <c r="H6" s="483"/>
    </row>
    <row r="7" spans="1:8" ht="13.5" customHeight="1">
      <c r="A7" s="163"/>
      <c r="B7" s="163"/>
      <c r="C7" s="163"/>
      <c r="D7" s="163"/>
      <c r="E7" s="196"/>
      <c r="F7" s="638" t="s">
        <v>72</v>
      </c>
      <c r="G7" s="639"/>
      <c r="H7" s="640"/>
    </row>
    <row r="8" spans="1:15" ht="13.5" customHeight="1">
      <c r="A8" s="163"/>
      <c r="B8" s="163"/>
      <c r="C8" s="163"/>
      <c r="D8" s="163"/>
      <c r="E8" s="196"/>
      <c r="F8" s="159"/>
      <c r="O8" s="169"/>
    </row>
    <row r="9" spans="1:12" ht="13.5" customHeight="1">
      <c r="A9" s="186"/>
      <c r="F9" s="159"/>
      <c r="I9" s="170" t="s">
        <v>28</v>
      </c>
      <c r="J9" s="1" t="str">
        <f>IF('基本情報入力（使い方）'!$C$12="","",'基本情報入力（使い方）'!$C$12)</f>
        <v>Ｂ金属株式会社</v>
      </c>
      <c r="K9" s="170"/>
      <c r="L9" s="1"/>
    </row>
    <row r="10" spans="1:15" ht="13.5" customHeight="1" thickBot="1">
      <c r="A10" s="186"/>
      <c r="F10" s="159"/>
      <c r="M10" s="170"/>
      <c r="N10" s="170" t="s">
        <v>17</v>
      </c>
      <c r="O10" s="170"/>
    </row>
    <row r="11" spans="1:15" ht="27" customHeight="1">
      <c r="A11" s="636" t="s">
        <v>1</v>
      </c>
      <c r="B11" s="627" t="s">
        <v>2</v>
      </c>
      <c r="C11" s="627"/>
      <c r="D11" s="628"/>
      <c r="E11" s="172" t="s">
        <v>3</v>
      </c>
      <c r="F11" s="172" t="s">
        <v>4</v>
      </c>
      <c r="G11" s="172" t="s">
        <v>5</v>
      </c>
      <c r="H11" s="172" t="s">
        <v>6</v>
      </c>
      <c r="I11" s="172" t="s">
        <v>0</v>
      </c>
      <c r="J11" s="172" t="s">
        <v>0</v>
      </c>
      <c r="K11" s="647" t="s">
        <v>283</v>
      </c>
      <c r="L11" s="628"/>
      <c r="M11" s="623" t="s">
        <v>223</v>
      </c>
      <c r="N11" s="624"/>
      <c r="O11" s="632" t="s">
        <v>35</v>
      </c>
    </row>
    <row r="12" spans="1:17" ht="42" customHeight="1" thickBot="1">
      <c r="A12" s="637"/>
      <c r="B12" s="174" t="s">
        <v>7</v>
      </c>
      <c r="C12" s="174" t="s">
        <v>8</v>
      </c>
      <c r="D12" s="175" t="s">
        <v>9</v>
      </c>
      <c r="E12" s="197"/>
      <c r="F12" s="177"/>
      <c r="G12" s="178"/>
      <c r="H12" s="178"/>
      <c r="I12" s="448" t="s">
        <v>10</v>
      </c>
      <c r="J12" s="448" t="s">
        <v>21</v>
      </c>
      <c r="K12" s="449" t="s">
        <v>11</v>
      </c>
      <c r="L12" s="450" t="s">
        <v>19</v>
      </c>
      <c r="M12" s="447" t="s">
        <v>287</v>
      </c>
      <c r="N12" s="447" t="s">
        <v>286</v>
      </c>
      <c r="O12" s="633"/>
      <c r="Q12" s="157"/>
    </row>
    <row r="13" spans="1:15" ht="61.5" customHeight="1">
      <c r="A13" s="190">
        <v>1</v>
      </c>
      <c r="B13" s="645">
        <v>43738</v>
      </c>
      <c r="C13" s="646"/>
      <c r="D13" s="646"/>
      <c r="E13" s="235" t="s">
        <v>267</v>
      </c>
      <c r="F13" s="210" t="s">
        <v>268</v>
      </c>
      <c r="G13" s="211">
        <v>1</v>
      </c>
      <c r="H13" s="212" t="s">
        <v>269</v>
      </c>
      <c r="I13" s="25">
        <f>IF(J13="","",ROUNDDOWN(J13*(1+O13/100),0))</f>
        <v>108000</v>
      </c>
      <c r="J13" s="219">
        <v>100000</v>
      </c>
      <c r="K13" s="25">
        <f>IF(L13="","",ROUNDDOWN(L13*(1+O13/100),0))</f>
        <v>108000</v>
      </c>
      <c r="L13" s="25">
        <f>IF(OR(J13="",G13=""),"",ROUNDDOWN(J13*G13,0))</f>
        <v>100000</v>
      </c>
      <c r="M13" s="26">
        <f>L13</f>
        <v>100000</v>
      </c>
      <c r="N13" s="228">
        <v>100000</v>
      </c>
      <c r="O13" s="221">
        <v>8</v>
      </c>
    </row>
    <row r="14" spans="1:15" ht="61.5" customHeight="1">
      <c r="A14" s="191">
        <v>2</v>
      </c>
      <c r="B14" s="621">
        <v>43769</v>
      </c>
      <c r="C14" s="622"/>
      <c r="D14" s="622"/>
      <c r="E14" s="235" t="s">
        <v>267</v>
      </c>
      <c r="F14" s="214" t="s">
        <v>270</v>
      </c>
      <c r="G14" s="211">
        <v>1</v>
      </c>
      <c r="H14" s="212" t="s">
        <v>8</v>
      </c>
      <c r="I14" s="25">
        <f aca="true" t="shared" si="0" ref="I14:I22">IF(J14="","",ROUNDDOWN(J14*(1+O14/100),0))</f>
        <v>54000</v>
      </c>
      <c r="J14" s="219">
        <v>50000</v>
      </c>
      <c r="K14" s="25">
        <f aca="true" t="shared" si="1" ref="K14:K22">IF(L14="","",ROUNDDOWN(L14*(1+O14/100),0))</f>
        <v>54000</v>
      </c>
      <c r="L14" s="25">
        <f aca="true" t="shared" si="2" ref="L14:L22">IF(OR(J14="",G14=""),"",ROUNDDOWN(J14*G14,0))</f>
        <v>50000</v>
      </c>
      <c r="M14" s="26">
        <f aca="true" t="shared" si="3" ref="M14:M22">L14</f>
        <v>50000</v>
      </c>
      <c r="N14" s="228">
        <v>50000</v>
      </c>
      <c r="O14" s="221">
        <v>8</v>
      </c>
    </row>
    <row r="15" spans="1:15" ht="61.5" customHeight="1">
      <c r="A15" s="191">
        <v>3</v>
      </c>
      <c r="B15" s="621">
        <v>43769</v>
      </c>
      <c r="C15" s="622"/>
      <c r="D15" s="622"/>
      <c r="E15" s="235" t="s">
        <v>267</v>
      </c>
      <c r="F15" s="214" t="s">
        <v>271</v>
      </c>
      <c r="G15" s="211">
        <v>20</v>
      </c>
      <c r="H15" s="212" t="s">
        <v>272</v>
      </c>
      <c r="I15" s="25">
        <f t="shared" si="0"/>
        <v>5400</v>
      </c>
      <c r="J15" s="219">
        <v>5000</v>
      </c>
      <c r="K15" s="25">
        <f t="shared" si="1"/>
        <v>108000</v>
      </c>
      <c r="L15" s="25">
        <f t="shared" si="2"/>
        <v>100000</v>
      </c>
      <c r="M15" s="26">
        <f t="shared" si="3"/>
        <v>100000</v>
      </c>
      <c r="N15" s="228">
        <v>100000</v>
      </c>
      <c r="O15" s="221">
        <v>8</v>
      </c>
    </row>
    <row r="16" spans="1:15" ht="61.5" customHeight="1">
      <c r="A16" s="191">
        <v>4</v>
      </c>
      <c r="B16" s="621"/>
      <c r="C16" s="622"/>
      <c r="D16" s="622"/>
      <c r="E16" s="231"/>
      <c r="F16" s="214"/>
      <c r="G16" s="211"/>
      <c r="H16" s="212"/>
      <c r="I16" s="25">
        <f t="shared" si="0"/>
      </c>
      <c r="J16" s="219"/>
      <c r="K16" s="25">
        <f t="shared" si="1"/>
      </c>
      <c r="L16" s="25">
        <f t="shared" si="2"/>
      </c>
      <c r="M16" s="26">
        <f t="shared" si="3"/>
      </c>
      <c r="N16" s="228"/>
      <c r="O16" s="221">
        <v>8</v>
      </c>
    </row>
    <row r="17" spans="1:15" ht="61.5" customHeight="1">
      <c r="A17" s="191">
        <v>5</v>
      </c>
      <c r="B17" s="621"/>
      <c r="C17" s="622"/>
      <c r="D17" s="622"/>
      <c r="E17" s="231"/>
      <c r="F17" s="214"/>
      <c r="G17" s="211"/>
      <c r="H17" s="212"/>
      <c r="I17" s="25">
        <f t="shared" si="0"/>
      </c>
      <c r="J17" s="219"/>
      <c r="K17" s="25">
        <f t="shared" si="1"/>
      </c>
      <c r="L17" s="25">
        <f t="shared" si="2"/>
      </c>
      <c r="M17" s="26">
        <f t="shared" si="3"/>
      </c>
      <c r="N17" s="228"/>
      <c r="O17" s="221">
        <v>8</v>
      </c>
    </row>
    <row r="18" spans="1:15" ht="61.5" customHeight="1">
      <c r="A18" s="191">
        <v>6</v>
      </c>
      <c r="B18" s="621"/>
      <c r="C18" s="622"/>
      <c r="D18" s="622"/>
      <c r="E18" s="231"/>
      <c r="F18" s="214"/>
      <c r="G18" s="211"/>
      <c r="H18" s="212"/>
      <c r="I18" s="25">
        <f t="shared" si="0"/>
      </c>
      <c r="J18" s="219"/>
      <c r="K18" s="25">
        <f t="shared" si="1"/>
      </c>
      <c r="L18" s="25">
        <f t="shared" si="2"/>
      </c>
      <c r="M18" s="26">
        <f t="shared" si="3"/>
      </c>
      <c r="N18" s="228"/>
      <c r="O18" s="221">
        <v>8</v>
      </c>
    </row>
    <row r="19" spans="1:15" ht="61.5" customHeight="1">
      <c r="A19" s="191">
        <v>7</v>
      </c>
      <c r="B19" s="621"/>
      <c r="C19" s="622"/>
      <c r="D19" s="622"/>
      <c r="E19" s="231"/>
      <c r="F19" s="215"/>
      <c r="G19" s="211"/>
      <c r="H19" s="212"/>
      <c r="I19" s="25">
        <f t="shared" si="0"/>
      </c>
      <c r="J19" s="219"/>
      <c r="K19" s="25">
        <f t="shared" si="1"/>
      </c>
      <c r="L19" s="25">
        <f t="shared" si="2"/>
      </c>
      <c r="M19" s="26">
        <f t="shared" si="3"/>
      </c>
      <c r="N19" s="228"/>
      <c r="O19" s="221">
        <v>8</v>
      </c>
    </row>
    <row r="20" spans="1:15" ht="61.5" customHeight="1">
      <c r="A20" s="191">
        <v>8</v>
      </c>
      <c r="B20" s="621"/>
      <c r="C20" s="622"/>
      <c r="D20" s="622"/>
      <c r="E20" s="231"/>
      <c r="F20" s="214"/>
      <c r="G20" s="211"/>
      <c r="H20" s="212"/>
      <c r="I20" s="25">
        <f t="shared" si="0"/>
      </c>
      <c r="J20" s="219"/>
      <c r="K20" s="25">
        <f t="shared" si="1"/>
      </c>
      <c r="L20" s="25">
        <f t="shared" si="2"/>
      </c>
      <c r="M20" s="26">
        <f t="shared" si="3"/>
      </c>
      <c r="N20" s="228"/>
      <c r="O20" s="221">
        <v>8</v>
      </c>
    </row>
    <row r="21" spans="1:15" ht="61.5" customHeight="1">
      <c r="A21" s="191">
        <v>9</v>
      </c>
      <c r="B21" s="621"/>
      <c r="C21" s="622"/>
      <c r="D21" s="622"/>
      <c r="E21" s="231"/>
      <c r="F21" s="214"/>
      <c r="G21" s="211"/>
      <c r="H21" s="212"/>
      <c r="I21" s="25">
        <f t="shared" si="0"/>
      </c>
      <c r="J21" s="219"/>
      <c r="K21" s="25">
        <f t="shared" si="1"/>
      </c>
      <c r="L21" s="25">
        <f t="shared" si="2"/>
      </c>
      <c r="M21" s="26">
        <f t="shared" si="3"/>
      </c>
      <c r="N21" s="228"/>
      <c r="O21" s="221">
        <v>8</v>
      </c>
    </row>
    <row r="22" spans="1:15" ht="61.5" customHeight="1" thickBot="1">
      <c r="A22" s="195">
        <v>10</v>
      </c>
      <c r="B22" s="629"/>
      <c r="C22" s="630"/>
      <c r="D22" s="630"/>
      <c r="E22" s="232"/>
      <c r="F22" s="216"/>
      <c r="G22" s="217"/>
      <c r="H22" s="218"/>
      <c r="I22" s="27">
        <f t="shared" si="0"/>
      </c>
      <c r="J22" s="220"/>
      <c r="K22" s="27">
        <f t="shared" si="1"/>
      </c>
      <c r="L22" s="27">
        <f t="shared" si="2"/>
      </c>
      <c r="M22" s="27">
        <f t="shared" si="3"/>
      </c>
      <c r="N22" s="220"/>
      <c r="O22" s="222">
        <v>8</v>
      </c>
    </row>
    <row r="23" spans="1:18" ht="21" customHeight="1" thickBot="1">
      <c r="A23" s="625" t="s">
        <v>12</v>
      </c>
      <c r="B23" s="626"/>
      <c r="C23" s="626"/>
      <c r="D23" s="626"/>
      <c r="E23" s="626"/>
      <c r="F23" s="626"/>
      <c r="G23" s="626"/>
      <c r="H23" s="626"/>
      <c r="I23" s="626"/>
      <c r="J23" s="182"/>
      <c r="K23" s="24">
        <f>SUM(K13:K22)</f>
        <v>270000</v>
      </c>
      <c r="L23" s="24">
        <f>SUM(L13:L22)</f>
        <v>250000</v>
      </c>
      <c r="M23" s="280">
        <f>SUM(M13:M22)</f>
        <v>250000</v>
      </c>
      <c r="N23" s="149">
        <f>SUM(N13:N22)</f>
        <v>250000</v>
      </c>
      <c r="R23" s="161">
        <f>'経費明細表'!S17</f>
        <v>250000</v>
      </c>
    </row>
    <row r="24" spans="1:14" ht="13.5" customHeight="1">
      <c r="A24" s="186"/>
      <c r="L24" s="184"/>
      <c r="M24" s="185"/>
      <c r="N24" s="185"/>
    </row>
    <row r="25" spans="1:14" ht="13.5" customHeight="1">
      <c r="A25" s="186"/>
      <c r="B25" s="161" t="s">
        <v>14</v>
      </c>
      <c r="D25" s="186"/>
      <c r="E25" s="1" t="s">
        <v>29</v>
      </c>
      <c r="N25" s="187"/>
    </row>
    <row r="26" spans="2:14" ht="13.5" customHeight="1">
      <c r="B26" s="161" t="s">
        <v>15</v>
      </c>
      <c r="E26" s="1" t="s">
        <v>30</v>
      </c>
      <c r="N26" s="187"/>
    </row>
    <row r="27" spans="2:14" ht="13.5" customHeight="1">
      <c r="B27" s="161" t="s">
        <v>16</v>
      </c>
      <c r="E27" s="1" t="s">
        <v>31</v>
      </c>
      <c r="N27" s="187"/>
    </row>
    <row r="28" ht="13.5">
      <c r="N28" s="188"/>
    </row>
  </sheetData>
  <sheetProtection sheet="1" objects="1" scenarios="1"/>
  <mergeCells count="20">
    <mergeCell ref="B14:D14"/>
    <mergeCell ref="B2:D2"/>
    <mergeCell ref="O11:O12"/>
    <mergeCell ref="B15:D15"/>
    <mergeCell ref="A4:E4"/>
    <mergeCell ref="A11:A12"/>
    <mergeCell ref="B11:D11"/>
    <mergeCell ref="K11:L11"/>
    <mergeCell ref="F6:H6"/>
    <mergeCell ref="F7:H7"/>
    <mergeCell ref="M11:N11"/>
    <mergeCell ref="A23:I23"/>
    <mergeCell ref="B20:D20"/>
    <mergeCell ref="B21:D21"/>
    <mergeCell ref="B22:D22"/>
    <mergeCell ref="B13:D13"/>
    <mergeCell ref="B16:D16"/>
    <mergeCell ref="B17:D17"/>
    <mergeCell ref="B18:D18"/>
    <mergeCell ref="B19:D19"/>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59" customWidth="1"/>
    <col min="2" max="4" width="3.7109375" style="161" customWidth="1"/>
    <col min="5" max="5" width="16.421875" style="160" customWidth="1"/>
    <col min="6" max="6" width="16.140625" style="1" customWidth="1"/>
    <col min="7" max="7" width="9.140625" style="161" customWidth="1"/>
    <col min="8" max="8" width="6.421875" style="161" customWidth="1"/>
    <col min="9" max="13" width="15.140625" style="161" customWidth="1"/>
    <col min="14" max="14" width="16.140625" style="161" bestFit="1" customWidth="1"/>
    <col min="15" max="15" width="5.28125" style="159" customWidth="1"/>
    <col min="16" max="16" width="10.421875" style="161" bestFit="1" customWidth="1"/>
    <col min="17" max="17" width="9.00390625" style="161" customWidth="1"/>
    <col min="18" max="18" width="10.421875" style="161" hidden="1" customWidth="1"/>
    <col min="19" max="16384" width="9.00390625" style="161" customWidth="1"/>
  </cols>
  <sheetData>
    <row r="1" spans="8:18" ht="13.5">
      <c r="H1" s="159"/>
      <c r="P1" s="159"/>
      <c r="Q1" s="162"/>
      <c r="R1" s="162"/>
    </row>
    <row r="2" spans="2:18" ht="13.5">
      <c r="B2" s="634" t="s">
        <v>170</v>
      </c>
      <c r="C2" s="634"/>
      <c r="D2" s="634"/>
      <c r="H2" s="159"/>
      <c r="P2" s="159"/>
      <c r="Q2" s="162"/>
      <c r="R2" s="162"/>
    </row>
    <row r="3" spans="8:18" ht="13.5">
      <c r="H3" s="159"/>
      <c r="P3" s="159"/>
      <c r="Q3" s="162"/>
      <c r="R3" s="162"/>
    </row>
    <row r="4" spans="1:6" ht="13.5" customHeight="1">
      <c r="A4" s="635" t="s">
        <v>207</v>
      </c>
      <c r="B4" s="635"/>
      <c r="C4" s="635"/>
      <c r="D4" s="635"/>
      <c r="E4" s="635"/>
      <c r="F4" s="159"/>
    </row>
    <row r="5" spans="1:6" ht="13.5" customHeight="1">
      <c r="A5" s="163"/>
      <c r="B5" s="163"/>
      <c r="C5" s="163"/>
      <c r="D5" s="163"/>
      <c r="E5" s="164"/>
      <c r="F5" s="159"/>
    </row>
    <row r="6" spans="1:8" ht="13.5" customHeight="1">
      <c r="A6" s="163"/>
      <c r="B6" s="165" t="s">
        <v>129</v>
      </c>
      <c r="C6" s="166"/>
      <c r="D6" s="167"/>
      <c r="E6" s="168"/>
      <c r="F6" s="482" t="s">
        <v>13</v>
      </c>
      <c r="G6" s="631"/>
      <c r="H6" s="483"/>
    </row>
    <row r="7" spans="1:8" ht="13.5" customHeight="1">
      <c r="A7" s="163"/>
      <c r="B7" s="163"/>
      <c r="C7" s="163"/>
      <c r="D7" s="163"/>
      <c r="E7" s="164"/>
      <c r="F7" s="638" t="s">
        <v>20</v>
      </c>
      <c r="G7" s="639"/>
      <c r="H7" s="640"/>
    </row>
    <row r="8" spans="1:15" ht="13.5" customHeight="1">
      <c r="A8" s="163"/>
      <c r="B8" s="163"/>
      <c r="C8" s="163"/>
      <c r="D8" s="163"/>
      <c r="E8" s="164"/>
      <c r="F8" s="159"/>
      <c r="O8" s="169"/>
    </row>
    <row r="9" spans="1:12" ht="13.5" customHeight="1">
      <c r="A9" s="163"/>
      <c r="F9" s="159"/>
      <c r="I9" s="170" t="s">
        <v>28</v>
      </c>
      <c r="J9" s="1" t="str">
        <f>IF('基本情報入力（使い方）'!$C$12="","",'基本情報入力（使い方）'!$C$12)</f>
        <v>Ｂ金属株式会社</v>
      </c>
      <c r="K9" s="170"/>
      <c r="L9" s="1"/>
    </row>
    <row r="10" spans="1:15" ht="13.5" customHeight="1" thickBot="1">
      <c r="A10" s="163"/>
      <c r="F10" s="159"/>
      <c r="M10" s="170"/>
      <c r="N10" s="170" t="s">
        <v>17</v>
      </c>
      <c r="O10" s="170"/>
    </row>
    <row r="11" spans="1:15" ht="27" customHeight="1">
      <c r="A11" s="636" t="s">
        <v>1</v>
      </c>
      <c r="B11" s="627" t="s">
        <v>2</v>
      </c>
      <c r="C11" s="627"/>
      <c r="D11" s="628"/>
      <c r="E11" s="171" t="s">
        <v>3</v>
      </c>
      <c r="F11" s="172" t="s">
        <v>4</v>
      </c>
      <c r="G11" s="172" t="s">
        <v>5</v>
      </c>
      <c r="H11" s="172" t="s">
        <v>6</v>
      </c>
      <c r="I11" s="172" t="s">
        <v>0</v>
      </c>
      <c r="J11" s="172" t="s">
        <v>0</v>
      </c>
      <c r="K11" s="647" t="s">
        <v>283</v>
      </c>
      <c r="L11" s="628"/>
      <c r="M11" s="623" t="s">
        <v>223</v>
      </c>
      <c r="N11" s="624"/>
      <c r="O11" s="632" t="s">
        <v>35</v>
      </c>
    </row>
    <row r="12" spans="1:17" ht="42" customHeight="1" thickBot="1">
      <c r="A12" s="637"/>
      <c r="B12" s="174" t="s">
        <v>7</v>
      </c>
      <c r="C12" s="174" t="s">
        <v>8</v>
      </c>
      <c r="D12" s="175" t="s">
        <v>9</v>
      </c>
      <c r="E12" s="176"/>
      <c r="F12" s="177"/>
      <c r="G12" s="178"/>
      <c r="H12" s="178"/>
      <c r="I12" s="448" t="s">
        <v>10</v>
      </c>
      <c r="J12" s="448" t="s">
        <v>21</v>
      </c>
      <c r="K12" s="449" t="s">
        <v>11</v>
      </c>
      <c r="L12" s="450" t="s">
        <v>19</v>
      </c>
      <c r="M12" s="447" t="s">
        <v>287</v>
      </c>
      <c r="N12" s="447" t="s">
        <v>286</v>
      </c>
      <c r="O12" s="633"/>
      <c r="Q12" s="157"/>
    </row>
    <row r="13" spans="1:15" ht="61.5" customHeight="1">
      <c r="A13" s="190">
        <v>1</v>
      </c>
      <c r="B13" s="621"/>
      <c r="C13" s="622"/>
      <c r="D13" s="622"/>
      <c r="E13" s="209"/>
      <c r="F13" s="210"/>
      <c r="G13" s="211"/>
      <c r="H13" s="212"/>
      <c r="I13" s="25">
        <f>IF(J13="","",ROUNDDOWN(J13*(1+O13/100),0))</f>
      </c>
      <c r="J13" s="219"/>
      <c r="K13" s="25">
        <f>IF(L13="","",ROUNDDOWN(L13*(1+O13/100),0))</f>
      </c>
      <c r="L13" s="25">
        <f>IF(OR(J13="",G13=""),"",ROUNDDOWN(J13*G13,0))</f>
      </c>
      <c r="M13" s="26">
        <f>L13</f>
      </c>
      <c r="N13" s="228"/>
      <c r="O13" s="221">
        <v>8</v>
      </c>
    </row>
    <row r="14" spans="1:16" ht="61.5" customHeight="1">
      <c r="A14" s="191">
        <v>2</v>
      </c>
      <c r="B14" s="621"/>
      <c r="C14" s="622"/>
      <c r="D14" s="622"/>
      <c r="E14" s="210"/>
      <c r="F14" s="210"/>
      <c r="G14" s="213"/>
      <c r="H14" s="212"/>
      <c r="I14" s="25">
        <f aca="true" t="shared" si="0" ref="I14:I22">IF(J14="","",ROUNDDOWN(J14*(1+O14/100),0))</f>
      </c>
      <c r="J14" s="228"/>
      <c r="K14" s="25">
        <f aca="true" t="shared" si="1" ref="K14:K22">IF(L14="","",ROUNDDOWN(L14*(1+O14/100),0))</f>
      </c>
      <c r="L14" s="26">
        <f aca="true" t="shared" si="2" ref="L14:L22">IF(OR(J14="",G14=""),"",ROUNDDOWN(J14*G14,0))</f>
      </c>
      <c r="M14" s="26">
        <f aca="true" t="shared" si="3" ref="M14:M22">L14</f>
      </c>
      <c r="N14" s="228"/>
      <c r="O14" s="221">
        <v>8</v>
      </c>
      <c r="P14" s="169"/>
    </row>
    <row r="15" spans="1:16" ht="61.5" customHeight="1">
      <c r="A15" s="190">
        <v>3</v>
      </c>
      <c r="B15" s="621"/>
      <c r="C15" s="622"/>
      <c r="D15" s="622"/>
      <c r="E15" s="214"/>
      <c r="F15" s="214"/>
      <c r="G15" s="213"/>
      <c r="H15" s="212"/>
      <c r="I15" s="25">
        <f t="shared" si="0"/>
      </c>
      <c r="J15" s="228"/>
      <c r="K15" s="25">
        <f t="shared" si="1"/>
      </c>
      <c r="L15" s="26">
        <f t="shared" si="2"/>
      </c>
      <c r="M15" s="26">
        <f t="shared" si="3"/>
      </c>
      <c r="N15" s="228"/>
      <c r="O15" s="221">
        <v>8</v>
      </c>
      <c r="P15" s="169"/>
    </row>
    <row r="16" spans="1:18" s="180" customFormat="1" ht="61.5" customHeight="1">
      <c r="A16" s="191">
        <v>4</v>
      </c>
      <c r="B16" s="621"/>
      <c r="C16" s="622"/>
      <c r="D16" s="622"/>
      <c r="E16" s="214"/>
      <c r="F16" s="214"/>
      <c r="G16" s="211"/>
      <c r="H16" s="212"/>
      <c r="I16" s="25">
        <f t="shared" si="0"/>
      </c>
      <c r="J16" s="228"/>
      <c r="K16" s="25">
        <f t="shared" si="1"/>
      </c>
      <c r="L16" s="26">
        <f t="shared" si="2"/>
      </c>
      <c r="M16" s="26">
        <f t="shared" si="3"/>
      </c>
      <c r="N16" s="228"/>
      <c r="O16" s="221">
        <v>8</v>
      </c>
      <c r="P16" s="169"/>
      <c r="Q16" s="161"/>
      <c r="R16" s="161"/>
    </row>
    <row r="17" spans="1:18" s="180" customFormat="1" ht="61.5" customHeight="1">
      <c r="A17" s="190">
        <v>5</v>
      </c>
      <c r="B17" s="621"/>
      <c r="C17" s="622"/>
      <c r="D17" s="622"/>
      <c r="E17" s="214"/>
      <c r="F17" s="214"/>
      <c r="G17" s="213"/>
      <c r="H17" s="212"/>
      <c r="I17" s="25">
        <f t="shared" si="0"/>
      </c>
      <c r="J17" s="228"/>
      <c r="K17" s="25">
        <f t="shared" si="1"/>
      </c>
      <c r="L17" s="26">
        <f t="shared" si="2"/>
      </c>
      <c r="M17" s="26">
        <f t="shared" si="3"/>
      </c>
      <c r="N17" s="228"/>
      <c r="O17" s="221">
        <v>8</v>
      </c>
      <c r="P17" s="161"/>
      <c r="Q17" s="161"/>
      <c r="R17" s="161"/>
    </row>
    <row r="18" spans="1:15" ht="61.5" customHeight="1">
      <c r="A18" s="191">
        <v>6</v>
      </c>
      <c r="B18" s="621"/>
      <c r="C18" s="622"/>
      <c r="D18" s="622"/>
      <c r="E18" s="237"/>
      <c r="F18" s="214"/>
      <c r="G18" s="213"/>
      <c r="H18" s="212"/>
      <c r="I18" s="25">
        <f t="shared" si="0"/>
      </c>
      <c r="J18" s="228"/>
      <c r="K18" s="25">
        <f t="shared" si="1"/>
      </c>
      <c r="L18" s="26">
        <f t="shared" si="2"/>
      </c>
      <c r="M18" s="26">
        <f t="shared" si="3"/>
      </c>
      <c r="N18" s="228"/>
      <c r="O18" s="221">
        <v>8</v>
      </c>
    </row>
    <row r="19" spans="1:15" ht="61.5" customHeight="1">
      <c r="A19" s="190">
        <v>7</v>
      </c>
      <c r="B19" s="621"/>
      <c r="C19" s="622"/>
      <c r="D19" s="622"/>
      <c r="E19" s="237"/>
      <c r="F19" s="214"/>
      <c r="G19" s="211"/>
      <c r="H19" s="226"/>
      <c r="I19" s="25">
        <f t="shared" si="0"/>
      </c>
      <c r="J19" s="228"/>
      <c r="K19" s="25">
        <f t="shared" si="1"/>
      </c>
      <c r="L19" s="26">
        <f t="shared" si="2"/>
      </c>
      <c r="M19" s="26">
        <f t="shared" si="3"/>
      </c>
      <c r="N19" s="228"/>
      <c r="O19" s="221">
        <v>8</v>
      </c>
    </row>
    <row r="20" spans="1:15" ht="61.5" customHeight="1">
      <c r="A20" s="191">
        <v>8</v>
      </c>
      <c r="B20" s="621"/>
      <c r="C20" s="622"/>
      <c r="D20" s="622"/>
      <c r="E20" s="237"/>
      <c r="F20" s="214"/>
      <c r="G20" s="213"/>
      <c r="H20" s="226"/>
      <c r="I20" s="25">
        <f t="shared" si="0"/>
      </c>
      <c r="J20" s="228"/>
      <c r="K20" s="25">
        <f t="shared" si="1"/>
      </c>
      <c r="L20" s="26">
        <f t="shared" si="2"/>
      </c>
      <c r="M20" s="26">
        <f t="shared" si="3"/>
      </c>
      <c r="N20" s="228"/>
      <c r="O20" s="221">
        <v>8</v>
      </c>
    </row>
    <row r="21" spans="1:15" ht="61.5" customHeight="1">
      <c r="A21" s="190">
        <v>9</v>
      </c>
      <c r="B21" s="621"/>
      <c r="C21" s="622"/>
      <c r="D21" s="622"/>
      <c r="E21" s="237"/>
      <c r="F21" s="214"/>
      <c r="G21" s="213"/>
      <c r="H21" s="226"/>
      <c r="I21" s="25">
        <f t="shared" si="0"/>
      </c>
      <c r="J21" s="228"/>
      <c r="K21" s="25">
        <f t="shared" si="1"/>
      </c>
      <c r="L21" s="26">
        <f t="shared" si="2"/>
      </c>
      <c r="M21" s="26">
        <f t="shared" si="3"/>
      </c>
      <c r="N21" s="228"/>
      <c r="O21" s="221">
        <v>8</v>
      </c>
    </row>
    <row r="22" spans="1:15" ht="61.5" customHeight="1" thickBot="1">
      <c r="A22" s="195">
        <v>10</v>
      </c>
      <c r="B22" s="629"/>
      <c r="C22" s="630"/>
      <c r="D22" s="630"/>
      <c r="E22" s="238"/>
      <c r="F22" s="216"/>
      <c r="G22" s="217"/>
      <c r="H22" s="218"/>
      <c r="I22" s="27">
        <f t="shared" si="0"/>
      </c>
      <c r="J22" s="220"/>
      <c r="K22" s="27">
        <f t="shared" si="1"/>
      </c>
      <c r="L22" s="27">
        <f t="shared" si="2"/>
      </c>
      <c r="M22" s="27">
        <f t="shared" si="3"/>
      </c>
      <c r="N22" s="220"/>
      <c r="O22" s="222">
        <v>8</v>
      </c>
    </row>
    <row r="23" spans="1:18" ht="21" customHeight="1" thickBot="1">
      <c r="A23" s="625" t="s">
        <v>12</v>
      </c>
      <c r="B23" s="626"/>
      <c r="C23" s="626"/>
      <c r="D23" s="626"/>
      <c r="E23" s="626"/>
      <c r="F23" s="626"/>
      <c r="G23" s="626"/>
      <c r="H23" s="626"/>
      <c r="I23" s="626"/>
      <c r="J23" s="182"/>
      <c r="K23" s="24">
        <f>SUM(K13:K22)</f>
        <v>0</v>
      </c>
      <c r="L23" s="29">
        <f>SUM(L13:L22)</f>
        <v>0</v>
      </c>
      <c r="M23" s="280">
        <f>SUM(M13:M22)</f>
        <v>0</v>
      </c>
      <c r="N23" s="149">
        <f>SUM(N13:N22)</f>
        <v>0</v>
      </c>
      <c r="R23" s="161">
        <f>'経費明細表'!S18</f>
        <v>0</v>
      </c>
    </row>
    <row r="24" spans="1:14" ht="13.5" customHeight="1">
      <c r="A24" s="163"/>
      <c r="L24" s="184"/>
      <c r="M24" s="185"/>
      <c r="N24" s="185"/>
    </row>
    <row r="25" spans="2:14" ht="13.5" customHeight="1">
      <c r="B25" s="161" t="s">
        <v>14</v>
      </c>
      <c r="D25" s="186"/>
      <c r="E25" s="1" t="s">
        <v>29</v>
      </c>
      <c r="N25" s="187"/>
    </row>
    <row r="26" spans="2:16" ht="13.5" customHeight="1">
      <c r="B26" s="161" t="s">
        <v>15</v>
      </c>
      <c r="E26" s="1" t="s">
        <v>30</v>
      </c>
      <c r="N26" s="187"/>
      <c r="P26" s="1"/>
    </row>
    <row r="27" spans="2:16" ht="13.5" customHeight="1">
      <c r="B27" s="161" t="s">
        <v>16</v>
      </c>
      <c r="E27" s="1" t="s">
        <v>31</v>
      </c>
      <c r="N27" s="187"/>
      <c r="P27" s="1"/>
    </row>
    <row r="28" spans="1:16" s="1" customFormat="1" ht="13.5">
      <c r="A28" s="159"/>
      <c r="B28" s="161"/>
      <c r="C28" s="161"/>
      <c r="D28" s="161"/>
      <c r="E28" s="160"/>
      <c r="G28" s="161"/>
      <c r="H28" s="161"/>
      <c r="I28" s="161"/>
      <c r="J28" s="161"/>
      <c r="K28" s="161"/>
      <c r="L28" s="161"/>
      <c r="M28" s="161"/>
      <c r="N28" s="188"/>
      <c r="O28" s="159"/>
      <c r="P28" s="161"/>
    </row>
    <row r="29" spans="1:16" s="1" customFormat="1" ht="13.5">
      <c r="A29" s="159"/>
      <c r="B29" s="161"/>
      <c r="C29" s="161"/>
      <c r="D29" s="161"/>
      <c r="E29" s="160"/>
      <c r="G29" s="161"/>
      <c r="H29" s="161"/>
      <c r="I29" s="161"/>
      <c r="J29" s="161"/>
      <c r="K29" s="161"/>
      <c r="L29" s="161"/>
      <c r="M29" s="161"/>
      <c r="N29" s="161"/>
      <c r="O29" s="159"/>
      <c r="P29" s="161"/>
    </row>
    <row r="30" spans="1:16" s="1" customFormat="1" ht="13.5">
      <c r="A30" s="159"/>
      <c r="B30" s="161"/>
      <c r="C30" s="161"/>
      <c r="D30" s="161"/>
      <c r="E30" s="160"/>
      <c r="G30" s="161"/>
      <c r="H30" s="161"/>
      <c r="I30" s="161"/>
      <c r="J30" s="161"/>
      <c r="K30" s="161"/>
      <c r="L30" s="161"/>
      <c r="M30" s="161"/>
      <c r="N30" s="161"/>
      <c r="O30" s="159"/>
      <c r="P30" s="161"/>
    </row>
  </sheetData>
  <sheetProtection sheet="1" objects="1" scenarios="1"/>
  <mergeCells count="20">
    <mergeCell ref="B17:D17"/>
    <mergeCell ref="B2:D2"/>
    <mergeCell ref="O11:O12"/>
    <mergeCell ref="B18:D18"/>
    <mergeCell ref="A4:E4"/>
    <mergeCell ref="A11:A12"/>
    <mergeCell ref="B11:D11"/>
    <mergeCell ref="K11:L11"/>
    <mergeCell ref="F7:H7"/>
    <mergeCell ref="F6:H6"/>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R28"/>
  <sheetViews>
    <sheetView showGridLines="0" zoomScaleSheetLayoutView="10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61" customWidth="1"/>
    <col min="2" max="4" width="3.7109375" style="161" customWidth="1"/>
    <col min="5" max="5" width="16.421875" style="160" customWidth="1"/>
    <col min="6" max="6" width="16.140625" style="1" customWidth="1"/>
    <col min="7" max="7" width="9.140625" style="161" customWidth="1"/>
    <col min="8" max="8" width="6.421875" style="161" customWidth="1"/>
    <col min="9" max="9" width="15.140625" style="161" customWidth="1"/>
    <col min="10" max="10" width="15.140625" style="187" customWidth="1"/>
    <col min="11" max="13" width="15.140625" style="161" customWidth="1"/>
    <col min="14" max="14" width="16.140625" style="161" bestFit="1" customWidth="1"/>
    <col min="15" max="15" width="5.28125" style="159" customWidth="1"/>
    <col min="16" max="17" width="9.00390625" style="161" customWidth="1"/>
    <col min="18" max="18" width="0" style="161" hidden="1" customWidth="1"/>
    <col min="19" max="16384" width="9.00390625" style="161" customWidth="1"/>
  </cols>
  <sheetData>
    <row r="1" spans="1:18" ht="13.5">
      <c r="A1" s="159"/>
      <c r="H1" s="159"/>
      <c r="J1" s="161"/>
      <c r="P1" s="159"/>
      <c r="Q1" s="162"/>
      <c r="R1" s="162"/>
    </row>
    <row r="2" spans="1:18" ht="13.5">
      <c r="A2" s="159"/>
      <c r="B2" s="634" t="s">
        <v>170</v>
      </c>
      <c r="C2" s="634"/>
      <c r="D2" s="634"/>
      <c r="H2" s="159"/>
      <c r="J2" s="161"/>
      <c r="P2" s="159"/>
      <c r="Q2" s="162"/>
      <c r="R2" s="162"/>
    </row>
    <row r="3" spans="1:18" ht="13.5">
      <c r="A3" s="159"/>
      <c r="H3" s="159"/>
      <c r="J3" s="161"/>
      <c r="P3" s="159"/>
      <c r="Q3" s="162"/>
      <c r="R3" s="162"/>
    </row>
    <row r="4" spans="1:6" ht="13.5" customHeight="1">
      <c r="A4" s="635" t="s">
        <v>207</v>
      </c>
      <c r="B4" s="635"/>
      <c r="C4" s="635"/>
      <c r="D4" s="635"/>
      <c r="E4" s="635"/>
      <c r="F4" s="159"/>
    </row>
    <row r="5" spans="1:6" ht="13.5" customHeight="1">
      <c r="A5" s="163"/>
      <c r="B5" s="163"/>
      <c r="C5" s="163"/>
      <c r="D5" s="163"/>
      <c r="E5" s="164"/>
      <c r="F5" s="159"/>
    </row>
    <row r="6" spans="1:8" ht="13.5" customHeight="1">
      <c r="A6" s="163"/>
      <c r="B6" s="165" t="s">
        <v>129</v>
      </c>
      <c r="C6" s="166"/>
      <c r="D6" s="167"/>
      <c r="E6" s="168"/>
      <c r="F6" s="482" t="s">
        <v>13</v>
      </c>
      <c r="G6" s="631"/>
      <c r="H6" s="483"/>
    </row>
    <row r="7" spans="1:8" ht="13.5" customHeight="1">
      <c r="A7" s="163"/>
      <c r="B7" s="163"/>
      <c r="C7" s="163"/>
      <c r="D7" s="163"/>
      <c r="E7" s="164"/>
      <c r="F7" s="638" t="s">
        <v>25</v>
      </c>
      <c r="G7" s="639"/>
      <c r="H7" s="640"/>
    </row>
    <row r="8" spans="1:15" ht="13.5" customHeight="1">
      <c r="A8" s="163"/>
      <c r="B8" s="163"/>
      <c r="C8" s="163"/>
      <c r="D8" s="163"/>
      <c r="E8" s="164"/>
      <c r="F8" s="159"/>
      <c r="O8" s="169"/>
    </row>
    <row r="9" spans="1:12" ht="13.5" customHeight="1">
      <c r="A9" s="186"/>
      <c r="F9" s="159"/>
      <c r="I9" s="170" t="s">
        <v>28</v>
      </c>
      <c r="J9" s="1" t="str">
        <f>IF('基本情報入力（使い方）'!$C$12="","",'基本情報入力（使い方）'!$C$12)</f>
        <v>Ｂ金属株式会社</v>
      </c>
      <c r="K9" s="170"/>
      <c r="L9" s="1"/>
    </row>
    <row r="10" spans="1:15" ht="13.5" customHeight="1" thickBot="1">
      <c r="A10" s="186"/>
      <c r="F10" s="159"/>
      <c r="M10" s="170"/>
      <c r="N10" s="170" t="s">
        <v>17</v>
      </c>
      <c r="O10" s="170"/>
    </row>
    <row r="11" spans="1:15" ht="27" customHeight="1">
      <c r="A11" s="636" t="s">
        <v>1</v>
      </c>
      <c r="B11" s="627" t="s">
        <v>2</v>
      </c>
      <c r="C11" s="627"/>
      <c r="D11" s="628"/>
      <c r="E11" s="171" t="s">
        <v>3</v>
      </c>
      <c r="F11" s="172" t="s">
        <v>4</v>
      </c>
      <c r="G11" s="172" t="s">
        <v>5</v>
      </c>
      <c r="H11" s="172" t="s">
        <v>6</v>
      </c>
      <c r="I11" s="172" t="s">
        <v>0</v>
      </c>
      <c r="J11" s="198" t="s">
        <v>0</v>
      </c>
      <c r="K11" s="647" t="s">
        <v>283</v>
      </c>
      <c r="L11" s="628"/>
      <c r="M11" s="623" t="s">
        <v>223</v>
      </c>
      <c r="N11" s="624"/>
      <c r="O11" s="632" t="s">
        <v>35</v>
      </c>
    </row>
    <row r="12" spans="1:17" ht="42" customHeight="1" thickBot="1">
      <c r="A12" s="637"/>
      <c r="B12" s="174" t="s">
        <v>7</v>
      </c>
      <c r="C12" s="174" t="s">
        <v>8</v>
      </c>
      <c r="D12" s="175" t="s">
        <v>9</v>
      </c>
      <c r="E12" s="176"/>
      <c r="F12" s="177"/>
      <c r="G12" s="178"/>
      <c r="H12" s="178"/>
      <c r="I12" s="448" t="s">
        <v>10</v>
      </c>
      <c r="J12" s="448" t="s">
        <v>21</v>
      </c>
      <c r="K12" s="449" t="s">
        <v>11</v>
      </c>
      <c r="L12" s="450" t="s">
        <v>19</v>
      </c>
      <c r="M12" s="447" t="s">
        <v>287</v>
      </c>
      <c r="N12" s="447" t="s">
        <v>286</v>
      </c>
      <c r="O12" s="633"/>
      <c r="Q12" s="157"/>
    </row>
    <row r="13" spans="1:15" ht="61.5" customHeight="1">
      <c r="A13" s="190">
        <v>1</v>
      </c>
      <c r="B13" s="621"/>
      <c r="C13" s="622"/>
      <c r="D13" s="622"/>
      <c r="E13" s="209"/>
      <c r="F13" s="210"/>
      <c r="G13" s="211"/>
      <c r="H13" s="212"/>
      <c r="I13" s="25">
        <f>IF(J13="","",ROUNDDOWN(J13*(1+O13/100),0))</f>
      </c>
      <c r="J13" s="219"/>
      <c r="K13" s="25">
        <f>IF(L13="","",ROUNDDOWN(L13*(1+O13/100),0))</f>
      </c>
      <c r="L13" s="25">
        <f>IF(OR(J13="",G13=""),"",ROUNDDOWN(J13*G13,0))</f>
      </c>
      <c r="M13" s="26">
        <f>L13</f>
      </c>
      <c r="N13" s="228"/>
      <c r="O13" s="221">
        <v>8</v>
      </c>
    </row>
    <row r="14" spans="1:15" ht="61.5" customHeight="1">
      <c r="A14" s="191">
        <v>2</v>
      </c>
      <c r="B14" s="621"/>
      <c r="C14" s="622"/>
      <c r="D14" s="622"/>
      <c r="E14" s="214"/>
      <c r="F14" s="210"/>
      <c r="G14" s="211"/>
      <c r="H14" s="212"/>
      <c r="I14" s="25">
        <f aca="true" t="shared" si="0" ref="I14:I22">IF(J14="","",ROUNDDOWN(J14*(1+O14/100),0))</f>
      </c>
      <c r="J14" s="219"/>
      <c r="K14" s="25">
        <f aca="true" t="shared" si="1" ref="K14:K22">IF(L14="","",ROUNDDOWN(L14*(1+O14/100),0))</f>
      </c>
      <c r="L14" s="25">
        <f aca="true" t="shared" si="2" ref="L14:L22">IF(OR(J14="",G14=""),"",ROUNDDOWN(J14*G14,0))</f>
      </c>
      <c r="M14" s="26">
        <f aca="true" t="shared" si="3" ref="M14:M22">L14</f>
      </c>
      <c r="N14" s="228"/>
      <c r="O14" s="221">
        <v>8</v>
      </c>
    </row>
    <row r="15" spans="1:15" ht="61.5" customHeight="1">
      <c r="A15" s="190">
        <v>3</v>
      </c>
      <c r="B15" s="621"/>
      <c r="C15" s="622"/>
      <c r="D15" s="622"/>
      <c r="E15" s="214"/>
      <c r="F15" s="214"/>
      <c r="G15" s="211"/>
      <c r="H15" s="212"/>
      <c r="I15" s="25">
        <f t="shared" si="0"/>
      </c>
      <c r="J15" s="219"/>
      <c r="K15" s="25">
        <f t="shared" si="1"/>
      </c>
      <c r="L15" s="25">
        <f t="shared" si="2"/>
      </c>
      <c r="M15" s="26">
        <f t="shared" si="3"/>
      </c>
      <c r="N15" s="228"/>
      <c r="O15" s="221">
        <v>8</v>
      </c>
    </row>
    <row r="16" spans="1:15" s="180" customFormat="1" ht="61.5" customHeight="1">
      <c r="A16" s="191">
        <v>4</v>
      </c>
      <c r="B16" s="621"/>
      <c r="C16" s="622"/>
      <c r="D16" s="622"/>
      <c r="E16" s="214"/>
      <c r="F16" s="214"/>
      <c r="G16" s="211"/>
      <c r="H16" s="212"/>
      <c r="I16" s="25">
        <f t="shared" si="0"/>
      </c>
      <c r="J16" s="219"/>
      <c r="K16" s="25">
        <f t="shared" si="1"/>
      </c>
      <c r="L16" s="25">
        <f t="shared" si="2"/>
      </c>
      <c r="M16" s="26">
        <f t="shared" si="3"/>
      </c>
      <c r="N16" s="228"/>
      <c r="O16" s="221">
        <v>8</v>
      </c>
    </row>
    <row r="17" spans="1:15" s="180" customFormat="1" ht="61.5" customHeight="1">
      <c r="A17" s="190">
        <v>5</v>
      </c>
      <c r="B17" s="621"/>
      <c r="C17" s="622"/>
      <c r="D17" s="622"/>
      <c r="E17" s="214"/>
      <c r="F17" s="214"/>
      <c r="G17" s="211"/>
      <c r="H17" s="212"/>
      <c r="I17" s="25">
        <f t="shared" si="0"/>
      </c>
      <c r="J17" s="219"/>
      <c r="K17" s="25">
        <f t="shared" si="1"/>
      </c>
      <c r="L17" s="25">
        <f t="shared" si="2"/>
      </c>
      <c r="M17" s="26">
        <f t="shared" si="3"/>
      </c>
      <c r="N17" s="228"/>
      <c r="O17" s="221">
        <v>8</v>
      </c>
    </row>
    <row r="18" spans="1:15" ht="61.5" customHeight="1">
      <c r="A18" s="191">
        <v>6</v>
      </c>
      <c r="B18" s="621"/>
      <c r="C18" s="622"/>
      <c r="D18" s="622"/>
      <c r="E18" s="214"/>
      <c r="F18" s="214"/>
      <c r="G18" s="211"/>
      <c r="H18" s="212"/>
      <c r="I18" s="25">
        <f t="shared" si="0"/>
      </c>
      <c r="J18" s="219"/>
      <c r="K18" s="25">
        <f t="shared" si="1"/>
      </c>
      <c r="L18" s="25">
        <f t="shared" si="2"/>
      </c>
      <c r="M18" s="26">
        <f t="shared" si="3"/>
      </c>
      <c r="N18" s="228"/>
      <c r="O18" s="221">
        <v>8</v>
      </c>
    </row>
    <row r="19" spans="1:15" ht="61.5" customHeight="1">
      <c r="A19" s="190">
        <v>7</v>
      </c>
      <c r="B19" s="621"/>
      <c r="C19" s="622"/>
      <c r="D19" s="622"/>
      <c r="E19" s="214"/>
      <c r="F19" s="215"/>
      <c r="G19" s="211"/>
      <c r="H19" s="212"/>
      <c r="I19" s="25">
        <f t="shared" si="0"/>
      </c>
      <c r="J19" s="219"/>
      <c r="K19" s="25">
        <f t="shared" si="1"/>
      </c>
      <c r="L19" s="25">
        <f t="shared" si="2"/>
      </c>
      <c r="M19" s="26">
        <f t="shared" si="3"/>
      </c>
      <c r="N19" s="228"/>
      <c r="O19" s="221">
        <v>8</v>
      </c>
    </row>
    <row r="20" spans="1:15" ht="61.5" customHeight="1">
      <c r="A20" s="191">
        <v>8</v>
      </c>
      <c r="B20" s="621"/>
      <c r="C20" s="622"/>
      <c r="D20" s="622"/>
      <c r="E20" s="214"/>
      <c r="F20" s="214"/>
      <c r="G20" s="211"/>
      <c r="H20" s="212"/>
      <c r="I20" s="25">
        <f t="shared" si="0"/>
      </c>
      <c r="J20" s="219"/>
      <c r="K20" s="25">
        <f t="shared" si="1"/>
      </c>
      <c r="L20" s="25">
        <f t="shared" si="2"/>
      </c>
      <c r="M20" s="26">
        <f t="shared" si="3"/>
      </c>
      <c r="N20" s="228"/>
      <c r="O20" s="221">
        <v>8</v>
      </c>
    </row>
    <row r="21" spans="1:15" ht="61.5" customHeight="1">
      <c r="A21" s="190">
        <v>9</v>
      </c>
      <c r="B21" s="621"/>
      <c r="C21" s="622"/>
      <c r="D21" s="622"/>
      <c r="E21" s="214"/>
      <c r="F21" s="214"/>
      <c r="G21" s="211"/>
      <c r="H21" s="212"/>
      <c r="I21" s="25">
        <f t="shared" si="0"/>
      </c>
      <c r="J21" s="219"/>
      <c r="K21" s="25">
        <f t="shared" si="1"/>
      </c>
      <c r="L21" s="25">
        <f t="shared" si="2"/>
      </c>
      <c r="M21" s="26">
        <f t="shared" si="3"/>
      </c>
      <c r="N21" s="228"/>
      <c r="O21" s="221">
        <v>8</v>
      </c>
    </row>
    <row r="22" spans="1:15" ht="61.5" customHeight="1" thickBot="1">
      <c r="A22" s="195">
        <v>10</v>
      </c>
      <c r="B22" s="629"/>
      <c r="C22" s="630"/>
      <c r="D22" s="630"/>
      <c r="E22" s="216"/>
      <c r="F22" s="216"/>
      <c r="G22" s="217"/>
      <c r="H22" s="218"/>
      <c r="I22" s="27">
        <f t="shared" si="0"/>
      </c>
      <c r="J22" s="220"/>
      <c r="K22" s="27">
        <f t="shared" si="1"/>
      </c>
      <c r="L22" s="27">
        <f t="shared" si="2"/>
      </c>
      <c r="M22" s="27">
        <f t="shared" si="3"/>
      </c>
      <c r="N22" s="220"/>
      <c r="O22" s="222">
        <v>8</v>
      </c>
    </row>
    <row r="23" spans="1:18" ht="21" customHeight="1" thickBot="1">
      <c r="A23" s="625" t="s">
        <v>12</v>
      </c>
      <c r="B23" s="626"/>
      <c r="C23" s="626"/>
      <c r="D23" s="626"/>
      <c r="E23" s="626"/>
      <c r="F23" s="626"/>
      <c r="G23" s="626"/>
      <c r="H23" s="626"/>
      <c r="I23" s="626"/>
      <c r="J23" s="199"/>
      <c r="K23" s="24">
        <f>SUM(K13:K22)</f>
        <v>0</v>
      </c>
      <c r="L23" s="24">
        <f>SUM(L13:L22)</f>
        <v>0</v>
      </c>
      <c r="M23" s="280">
        <f>SUM(M13:M22)</f>
        <v>0</v>
      </c>
      <c r="N23" s="149">
        <f>SUM(N13:N22)</f>
        <v>0</v>
      </c>
      <c r="R23" s="161">
        <f>'経費明細表'!S19</f>
        <v>0</v>
      </c>
    </row>
    <row r="24" spans="1:14" ht="13.5" customHeight="1">
      <c r="A24" s="186"/>
      <c r="L24" s="184"/>
      <c r="M24" s="185"/>
      <c r="N24" s="185"/>
    </row>
    <row r="25" spans="2:14" ht="13.5" customHeight="1">
      <c r="B25" s="161" t="s">
        <v>14</v>
      </c>
      <c r="D25" s="186"/>
      <c r="E25" s="1" t="s">
        <v>29</v>
      </c>
      <c r="N25" s="187"/>
    </row>
    <row r="26" spans="1:15" s="1" customFormat="1" ht="13.5" customHeight="1">
      <c r="A26" s="161"/>
      <c r="B26" s="161" t="s">
        <v>15</v>
      </c>
      <c r="C26" s="161"/>
      <c r="D26" s="161"/>
      <c r="E26" s="1" t="s">
        <v>30</v>
      </c>
      <c r="G26" s="161"/>
      <c r="H26" s="161"/>
      <c r="I26" s="161"/>
      <c r="J26" s="187"/>
      <c r="K26" s="161"/>
      <c r="L26" s="161"/>
      <c r="M26" s="161"/>
      <c r="N26" s="187"/>
      <c r="O26" s="159"/>
    </row>
    <row r="27" spans="1:15" s="1" customFormat="1" ht="13.5" customHeight="1">
      <c r="A27" s="161"/>
      <c r="B27" s="161" t="s">
        <v>16</v>
      </c>
      <c r="C27" s="161"/>
      <c r="D27" s="161"/>
      <c r="E27" s="1" t="s">
        <v>31</v>
      </c>
      <c r="G27" s="161"/>
      <c r="H27" s="161"/>
      <c r="I27" s="161"/>
      <c r="J27" s="187"/>
      <c r="K27" s="161"/>
      <c r="L27" s="161"/>
      <c r="M27" s="161"/>
      <c r="N27" s="187"/>
      <c r="O27" s="159"/>
    </row>
    <row r="28" ht="13.5">
      <c r="N28" s="188"/>
    </row>
  </sheetData>
  <sheetProtection sheet="1" objects="1" scenarios="1"/>
  <mergeCells count="20">
    <mergeCell ref="B17:D17"/>
    <mergeCell ref="B2:D2"/>
    <mergeCell ref="O11:O12"/>
    <mergeCell ref="B18:D18"/>
    <mergeCell ref="A4:E4"/>
    <mergeCell ref="A11:A12"/>
    <mergeCell ref="B11:D11"/>
    <mergeCell ref="K11:L11"/>
    <mergeCell ref="F6:H6"/>
    <mergeCell ref="F7:H7"/>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R28"/>
  <sheetViews>
    <sheetView showGridLines="0" zoomScaleSheetLayoutView="10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61" customWidth="1"/>
    <col min="2" max="4" width="3.7109375" style="161" customWidth="1"/>
    <col min="5" max="5" width="16.421875" style="1" customWidth="1"/>
    <col min="6" max="6" width="16.140625" style="1" customWidth="1"/>
    <col min="7" max="7" width="9.140625" style="161" customWidth="1"/>
    <col min="8" max="8" width="6.421875" style="161" customWidth="1"/>
    <col min="9" max="13" width="15.140625" style="161" customWidth="1"/>
    <col min="14" max="14" width="16.140625" style="161" bestFit="1" customWidth="1"/>
    <col min="15" max="15" width="5.28125" style="159" customWidth="1"/>
    <col min="16" max="17" width="9.00390625" style="161" customWidth="1"/>
    <col min="18" max="18" width="0" style="161" hidden="1" customWidth="1"/>
    <col min="19" max="16384" width="9.00390625" style="161" customWidth="1"/>
  </cols>
  <sheetData>
    <row r="1" spans="1:18" ht="13.5">
      <c r="A1" s="159"/>
      <c r="E1" s="160"/>
      <c r="H1" s="159"/>
      <c r="P1" s="159"/>
      <c r="Q1" s="162"/>
      <c r="R1" s="162"/>
    </row>
    <row r="2" spans="1:18" ht="13.5">
      <c r="A2" s="159"/>
      <c r="B2" s="634" t="s">
        <v>170</v>
      </c>
      <c r="C2" s="634"/>
      <c r="D2" s="634"/>
      <c r="E2" s="160"/>
      <c r="H2" s="159"/>
      <c r="P2" s="159"/>
      <c r="Q2" s="162"/>
      <c r="R2" s="162"/>
    </row>
    <row r="3" spans="1:18" ht="13.5">
      <c r="A3" s="159"/>
      <c r="E3" s="160"/>
      <c r="H3" s="159"/>
      <c r="P3" s="159"/>
      <c r="Q3" s="162"/>
      <c r="R3" s="162"/>
    </row>
    <row r="4" spans="1:6" ht="13.5" customHeight="1">
      <c r="A4" s="635" t="s">
        <v>207</v>
      </c>
      <c r="B4" s="635"/>
      <c r="C4" s="635"/>
      <c r="D4" s="635"/>
      <c r="E4" s="635"/>
      <c r="F4" s="159"/>
    </row>
    <row r="5" spans="1:6" ht="13.5" customHeight="1">
      <c r="A5" s="163"/>
      <c r="B5" s="163"/>
      <c r="C5" s="163"/>
      <c r="D5" s="163"/>
      <c r="E5" s="196"/>
      <c r="F5" s="159"/>
    </row>
    <row r="6" spans="1:8" ht="13.5" customHeight="1">
      <c r="A6" s="163"/>
      <c r="B6" s="165" t="s">
        <v>129</v>
      </c>
      <c r="C6" s="166"/>
      <c r="D6" s="167"/>
      <c r="E6" s="168"/>
      <c r="F6" s="482" t="s">
        <v>13</v>
      </c>
      <c r="G6" s="631"/>
      <c r="H6" s="483"/>
    </row>
    <row r="7" spans="1:8" ht="13.5" customHeight="1">
      <c r="A7" s="163"/>
      <c r="B7" s="163"/>
      <c r="C7" s="163"/>
      <c r="D7" s="163"/>
      <c r="E7" s="196"/>
      <c r="F7" s="638" t="s">
        <v>24</v>
      </c>
      <c r="G7" s="639"/>
      <c r="H7" s="640"/>
    </row>
    <row r="8" spans="1:15" ht="13.5" customHeight="1">
      <c r="A8" s="163"/>
      <c r="B8" s="163"/>
      <c r="C8" s="163"/>
      <c r="D8" s="163"/>
      <c r="E8" s="196"/>
      <c r="F8" s="159"/>
      <c r="O8" s="169"/>
    </row>
    <row r="9" spans="1:12" ht="13.5" customHeight="1">
      <c r="A9" s="186"/>
      <c r="F9" s="159"/>
      <c r="I9" s="170" t="s">
        <v>28</v>
      </c>
      <c r="J9" s="1" t="str">
        <f>IF('基本情報入力（使い方）'!$C$12="","",'基本情報入力（使い方）'!$C$12)</f>
        <v>Ｂ金属株式会社</v>
      </c>
      <c r="K9" s="170"/>
      <c r="L9" s="1"/>
    </row>
    <row r="10" spans="1:15" ht="13.5" customHeight="1" thickBot="1">
      <c r="A10" s="186"/>
      <c r="F10" s="159"/>
      <c r="M10" s="170"/>
      <c r="N10" s="170" t="s">
        <v>17</v>
      </c>
      <c r="O10" s="170"/>
    </row>
    <row r="11" spans="1:15" ht="27" customHeight="1">
      <c r="A11" s="636" t="s">
        <v>1</v>
      </c>
      <c r="B11" s="627" t="s">
        <v>2</v>
      </c>
      <c r="C11" s="627"/>
      <c r="D11" s="628"/>
      <c r="E11" s="172" t="s">
        <v>3</v>
      </c>
      <c r="F11" s="172" t="s">
        <v>4</v>
      </c>
      <c r="G11" s="172" t="s">
        <v>5</v>
      </c>
      <c r="H11" s="172" t="s">
        <v>6</v>
      </c>
      <c r="I11" s="172" t="s">
        <v>0</v>
      </c>
      <c r="J11" s="172" t="s">
        <v>0</v>
      </c>
      <c r="K11" s="647" t="s">
        <v>283</v>
      </c>
      <c r="L11" s="628"/>
      <c r="M11" s="623" t="s">
        <v>223</v>
      </c>
      <c r="N11" s="624"/>
      <c r="O11" s="632" t="s">
        <v>35</v>
      </c>
    </row>
    <row r="12" spans="1:17" ht="42" customHeight="1" thickBot="1">
      <c r="A12" s="637"/>
      <c r="B12" s="174" t="s">
        <v>7</v>
      </c>
      <c r="C12" s="174" t="s">
        <v>8</v>
      </c>
      <c r="D12" s="175" t="s">
        <v>9</v>
      </c>
      <c r="E12" s="197"/>
      <c r="F12" s="177"/>
      <c r="G12" s="178"/>
      <c r="H12" s="178"/>
      <c r="I12" s="448" t="s">
        <v>10</v>
      </c>
      <c r="J12" s="448" t="s">
        <v>21</v>
      </c>
      <c r="K12" s="449" t="s">
        <v>11</v>
      </c>
      <c r="L12" s="450" t="s">
        <v>19</v>
      </c>
      <c r="M12" s="447" t="s">
        <v>287</v>
      </c>
      <c r="N12" s="447" t="s">
        <v>286</v>
      </c>
      <c r="O12" s="633"/>
      <c r="Q12" s="157"/>
    </row>
    <row r="13" spans="1:15" ht="61.5" customHeight="1">
      <c r="A13" s="190">
        <v>1</v>
      </c>
      <c r="B13" s="645"/>
      <c r="C13" s="646"/>
      <c r="D13" s="646"/>
      <c r="E13" s="235"/>
      <c r="F13" s="210"/>
      <c r="G13" s="211"/>
      <c r="H13" s="212"/>
      <c r="I13" s="25">
        <f>IF(J13="","",ROUNDDOWN(J13*(1+O13/100),0))</f>
      </c>
      <c r="J13" s="219"/>
      <c r="K13" s="25">
        <f>IF(L13="","",ROUNDDOWN(L13*(1+O13/100),0))</f>
      </c>
      <c r="L13" s="25">
        <f>IF(OR(J13="",G13=""),"",ROUNDDOWN(J13*G13,0))</f>
      </c>
      <c r="M13" s="26">
        <f>L13</f>
      </c>
      <c r="N13" s="228"/>
      <c r="O13" s="233">
        <v>8</v>
      </c>
    </row>
    <row r="14" spans="1:15" ht="61.5" customHeight="1">
      <c r="A14" s="191">
        <v>2</v>
      </c>
      <c r="B14" s="621"/>
      <c r="C14" s="622"/>
      <c r="D14" s="622"/>
      <c r="E14" s="231"/>
      <c r="F14" s="214"/>
      <c r="G14" s="211"/>
      <c r="H14" s="212"/>
      <c r="I14" s="25">
        <f aca="true" t="shared" si="0" ref="I14:I22">IF(J14="","",ROUNDDOWN(J14*(1+O14/100),0))</f>
      </c>
      <c r="J14" s="219"/>
      <c r="K14" s="25">
        <f aca="true" t="shared" si="1" ref="K14:K22">IF(L14="","",ROUNDDOWN(L14*(1+O14/100),0))</f>
      </c>
      <c r="L14" s="25">
        <f aca="true" t="shared" si="2" ref="L14:L22">IF(OR(J14="",G14=""),"",ROUNDDOWN(J14*G14,0))</f>
      </c>
      <c r="M14" s="26">
        <f aca="true" t="shared" si="3" ref="M14:M22">L14</f>
      </c>
      <c r="N14" s="228"/>
      <c r="O14" s="233">
        <v>8</v>
      </c>
    </row>
    <row r="15" spans="1:15" ht="61.5" customHeight="1">
      <c r="A15" s="191">
        <v>3</v>
      </c>
      <c r="B15" s="621"/>
      <c r="C15" s="622"/>
      <c r="D15" s="622"/>
      <c r="E15" s="231"/>
      <c r="F15" s="214"/>
      <c r="G15" s="211"/>
      <c r="H15" s="212"/>
      <c r="I15" s="25">
        <f t="shared" si="0"/>
      </c>
      <c r="J15" s="219"/>
      <c r="K15" s="25">
        <f t="shared" si="1"/>
      </c>
      <c r="L15" s="25">
        <f t="shared" si="2"/>
      </c>
      <c r="M15" s="26">
        <f t="shared" si="3"/>
      </c>
      <c r="N15" s="228"/>
      <c r="O15" s="233">
        <v>8</v>
      </c>
    </row>
    <row r="16" spans="1:15" ht="61.5" customHeight="1">
      <c r="A16" s="191">
        <v>4</v>
      </c>
      <c r="B16" s="621"/>
      <c r="C16" s="622"/>
      <c r="D16" s="622"/>
      <c r="E16" s="231"/>
      <c r="F16" s="214"/>
      <c r="G16" s="211"/>
      <c r="H16" s="212"/>
      <c r="I16" s="25">
        <f t="shared" si="0"/>
      </c>
      <c r="J16" s="219"/>
      <c r="K16" s="25">
        <f t="shared" si="1"/>
      </c>
      <c r="L16" s="25">
        <f t="shared" si="2"/>
      </c>
      <c r="M16" s="26">
        <f t="shared" si="3"/>
      </c>
      <c r="N16" s="228"/>
      <c r="O16" s="233">
        <v>8</v>
      </c>
    </row>
    <row r="17" spans="1:15" ht="61.5" customHeight="1">
      <c r="A17" s="191">
        <v>5</v>
      </c>
      <c r="B17" s="621"/>
      <c r="C17" s="622"/>
      <c r="D17" s="622"/>
      <c r="E17" s="231"/>
      <c r="F17" s="214"/>
      <c r="G17" s="211"/>
      <c r="H17" s="212"/>
      <c r="I17" s="25">
        <f t="shared" si="0"/>
      </c>
      <c r="J17" s="219"/>
      <c r="K17" s="25">
        <f t="shared" si="1"/>
      </c>
      <c r="L17" s="25">
        <f t="shared" si="2"/>
      </c>
      <c r="M17" s="26">
        <f t="shared" si="3"/>
      </c>
      <c r="N17" s="228"/>
      <c r="O17" s="233">
        <v>8</v>
      </c>
    </row>
    <row r="18" spans="1:15" ht="61.5" customHeight="1">
      <c r="A18" s="191">
        <v>6</v>
      </c>
      <c r="B18" s="621"/>
      <c r="C18" s="622"/>
      <c r="D18" s="622"/>
      <c r="E18" s="231"/>
      <c r="F18" s="214"/>
      <c r="G18" s="211"/>
      <c r="H18" s="212"/>
      <c r="I18" s="25">
        <f t="shared" si="0"/>
      </c>
      <c r="J18" s="219"/>
      <c r="K18" s="25">
        <f t="shared" si="1"/>
      </c>
      <c r="L18" s="25">
        <f t="shared" si="2"/>
      </c>
      <c r="M18" s="26">
        <f t="shared" si="3"/>
      </c>
      <c r="N18" s="228"/>
      <c r="O18" s="233">
        <v>8</v>
      </c>
    </row>
    <row r="19" spans="1:15" ht="61.5" customHeight="1">
      <c r="A19" s="191">
        <v>7</v>
      </c>
      <c r="B19" s="621"/>
      <c r="C19" s="622"/>
      <c r="D19" s="622"/>
      <c r="E19" s="231"/>
      <c r="F19" s="215"/>
      <c r="G19" s="211"/>
      <c r="H19" s="212"/>
      <c r="I19" s="25">
        <f t="shared" si="0"/>
      </c>
      <c r="J19" s="219"/>
      <c r="K19" s="25">
        <f t="shared" si="1"/>
      </c>
      <c r="L19" s="25">
        <f t="shared" si="2"/>
      </c>
      <c r="M19" s="26">
        <f t="shared" si="3"/>
      </c>
      <c r="N19" s="228"/>
      <c r="O19" s="233">
        <v>8</v>
      </c>
    </row>
    <row r="20" spans="1:15" ht="61.5" customHeight="1">
      <c r="A20" s="191">
        <v>8</v>
      </c>
      <c r="B20" s="621"/>
      <c r="C20" s="622"/>
      <c r="D20" s="622"/>
      <c r="E20" s="231"/>
      <c r="F20" s="214"/>
      <c r="G20" s="211"/>
      <c r="H20" s="212"/>
      <c r="I20" s="25">
        <f t="shared" si="0"/>
      </c>
      <c r="J20" s="219"/>
      <c r="K20" s="25">
        <f t="shared" si="1"/>
      </c>
      <c r="L20" s="25">
        <f t="shared" si="2"/>
      </c>
      <c r="M20" s="26">
        <f t="shared" si="3"/>
      </c>
      <c r="N20" s="228"/>
      <c r="O20" s="233">
        <v>8</v>
      </c>
    </row>
    <row r="21" spans="1:15" ht="61.5" customHeight="1">
      <c r="A21" s="191">
        <v>9</v>
      </c>
      <c r="B21" s="621"/>
      <c r="C21" s="622"/>
      <c r="D21" s="622"/>
      <c r="E21" s="231"/>
      <c r="F21" s="214"/>
      <c r="G21" s="211"/>
      <c r="H21" s="212"/>
      <c r="I21" s="25">
        <f t="shared" si="0"/>
      </c>
      <c r="J21" s="219"/>
      <c r="K21" s="25">
        <f t="shared" si="1"/>
      </c>
      <c r="L21" s="25">
        <f t="shared" si="2"/>
      </c>
      <c r="M21" s="26">
        <f t="shared" si="3"/>
      </c>
      <c r="N21" s="228"/>
      <c r="O21" s="233">
        <v>8</v>
      </c>
    </row>
    <row r="22" spans="1:15" ht="61.5" customHeight="1" thickBot="1">
      <c r="A22" s="195">
        <v>10</v>
      </c>
      <c r="B22" s="629"/>
      <c r="C22" s="630"/>
      <c r="D22" s="630"/>
      <c r="E22" s="232"/>
      <c r="F22" s="216"/>
      <c r="G22" s="217"/>
      <c r="H22" s="218"/>
      <c r="I22" s="27">
        <f t="shared" si="0"/>
      </c>
      <c r="J22" s="220"/>
      <c r="K22" s="27">
        <f t="shared" si="1"/>
      </c>
      <c r="L22" s="27">
        <f t="shared" si="2"/>
      </c>
      <c r="M22" s="27">
        <f t="shared" si="3"/>
      </c>
      <c r="N22" s="220"/>
      <c r="O22" s="234">
        <v>8</v>
      </c>
    </row>
    <row r="23" spans="1:18" ht="21" customHeight="1" thickBot="1">
      <c r="A23" s="625" t="s">
        <v>12</v>
      </c>
      <c r="B23" s="626"/>
      <c r="C23" s="626"/>
      <c r="D23" s="626"/>
      <c r="E23" s="626"/>
      <c r="F23" s="626"/>
      <c r="G23" s="626"/>
      <c r="H23" s="626"/>
      <c r="I23" s="626"/>
      <c r="J23" s="182"/>
      <c r="K23" s="24">
        <f>SUM(K13:K22)</f>
        <v>0</v>
      </c>
      <c r="L23" s="24">
        <f>SUM(L13:L22)</f>
        <v>0</v>
      </c>
      <c r="M23" s="280">
        <f>SUM(M13:M22)</f>
        <v>0</v>
      </c>
      <c r="N23" s="149">
        <f>SUM(N13:N22)</f>
        <v>0</v>
      </c>
      <c r="R23" s="161">
        <f>'経費明細表'!S20</f>
        <v>0</v>
      </c>
    </row>
    <row r="24" spans="1:14" ht="13.5" customHeight="1">
      <c r="A24" s="186"/>
      <c r="L24" s="184"/>
      <c r="M24" s="185"/>
      <c r="N24" s="185"/>
    </row>
    <row r="25" spans="1:14" ht="13.5" customHeight="1">
      <c r="A25" s="186"/>
      <c r="B25" s="161" t="s">
        <v>14</v>
      </c>
      <c r="D25" s="186"/>
      <c r="E25" s="1" t="s">
        <v>29</v>
      </c>
      <c r="N25" s="187"/>
    </row>
    <row r="26" spans="2:14" ht="13.5" customHeight="1">
      <c r="B26" s="161" t="s">
        <v>15</v>
      </c>
      <c r="E26" s="1" t="s">
        <v>30</v>
      </c>
      <c r="N26" s="187"/>
    </row>
    <row r="27" spans="2:14" ht="13.5" customHeight="1">
      <c r="B27" s="161" t="s">
        <v>16</v>
      </c>
      <c r="E27" s="1" t="s">
        <v>31</v>
      </c>
      <c r="N27" s="187"/>
    </row>
    <row r="28" ht="13.5">
      <c r="N28" s="188"/>
    </row>
  </sheetData>
  <sheetProtection sheet="1" objects="1" scenarios="1"/>
  <mergeCells count="20">
    <mergeCell ref="B17:D17"/>
    <mergeCell ref="B2:D2"/>
    <mergeCell ref="O11:O12"/>
    <mergeCell ref="B18:D18"/>
    <mergeCell ref="A4:E4"/>
    <mergeCell ref="A11:A12"/>
    <mergeCell ref="B11:D11"/>
    <mergeCell ref="K11:L11"/>
    <mergeCell ref="F6:H6"/>
    <mergeCell ref="F7:H7"/>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61" customWidth="1"/>
    <col min="2" max="4" width="3.7109375" style="161" customWidth="1"/>
    <col min="5" max="5" width="16.421875" style="1" customWidth="1"/>
    <col min="6" max="6" width="16.140625" style="1" customWidth="1"/>
    <col min="7" max="7" width="9.140625" style="161" customWidth="1"/>
    <col min="8" max="8" width="6.421875" style="161" customWidth="1"/>
    <col min="9" max="13" width="15.140625" style="161" customWidth="1"/>
    <col min="14" max="14" width="16.140625" style="161" bestFit="1" customWidth="1"/>
    <col min="15" max="15" width="5.28125" style="159" customWidth="1"/>
    <col min="16" max="17" width="9.00390625" style="161" customWidth="1"/>
    <col min="18" max="18" width="0" style="161" hidden="1" customWidth="1"/>
    <col min="19" max="16384" width="9.00390625" style="161" customWidth="1"/>
  </cols>
  <sheetData>
    <row r="1" spans="1:18" ht="13.5">
      <c r="A1" s="159"/>
      <c r="E1" s="160"/>
      <c r="H1" s="159"/>
      <c r="P1" s="159"/>
      <c r="Q1" s="162"/>
      <c r="R1" s="162"/>
    </row>
    <row r="2" spans="1:18" ht="13.5">
      <c r="A2" s="159"/>
      <c r="B2" s="634" t="s">
        <v>170</v>
      </c>
      <c r="C2" s="634"/>
      <c r="D2" s="634"/>
      <c r="E2" s="160"/>
      <c r="H2" s="159"/>
      <c r="P2" s="159"/>
      <c r="Q2" s="162"/>
      <c r="R2" s="162"/>
    </row>
    <row r="3" spans="1:18" ht="13.5">
      <c r="A3" s="159"/>
      <c r="E3" s="160"/>
      <c r="H3" s="159"/>
      <c r="P3" s="159"/>
      <c r="Q3" s="162"/>
      <c r="R3" s="162"/>
    </row>
    <row r="4" spans="1:6" ht="13.5" customHeight="1">
      <c r="A4" s="635" t="s">
        <v>207</v>
      </c>
      <c r="B4" s="635"/>
      <c r="C4" s="635"/>
      <c r="D4" s="635"/>
      <c r="E4" s="635"/>
      <c r="F4" s="159"/>
    </row>
    <row r="5" spans="1:6" ht="13.5" customHeight="1">
      <c r="A5" s="163"/>
      <c r="B5" s="163"/>
      <c r="C5" s="163"/>
      <c r="D5" s="163"/>
      <c r="E5" s="196"/>
      <c r="F5" s="159"/>
    </row>
    <row r="6" spans="1:8" ht="13.5" customHeight="1">
      <c r="A6" s="163"/>
      <c r="B6" s="165" t="s">
        <v>129</v>
      </c>
      <c r="C6" s="166"/>
      <c r="D6" s="167"/>
      <c r="E6" s="168"/>
      <c r="F6" s="482" t="s">
        <v>13</v>
      </c>
      <c r="G6" s="631"/>
      <c r="H6" s="483"/>
    </row>
    <row r="7" spans="1:8" ht="13.5" customHeight="1">
      <c r="A7" s="163"/>
      <c r="B7" s="163"/>
      <c r="C7" s="163"/>
      <c r="D7" s="163"/>
      <c r="E7" s="196"/>
      <c r="F7" s="638" t="s">
        <v>43</v>
      </c>
      <c r="G7" s="639"/>
      <c r="H7" s="640"/>
    </row>
    <row r="8" spans="1:15" ht="13.5" customHeight="1">
      <c r="A8" s="163"/>
      <c r="B8" s="163"/>
      <c r="C8" s="163"/>
      <c r="D8" s="163"/>
      <c r="E8" s="196"/>
      <c r="F8" s="159"/>
      <c r="O8" s="169"/>
    </row>
    <row r="9" spans="1:12" ht="13.5" customHeight="1">
      <c r="A9" s="186"/>
      <c r="F9" s="159"/>
      <c r="I9" s="170" t="s">
        <v>28</v>
      </c>
      <c r="J9" s="1" t="str">
        <f>IF('基本情報入力（使い方）'!$C$12="","",'基本情報入力（使い方）'!$C$12)</f>
        <v>Ｂ金属株式会社</v>
      </c>
      <c r="K9" s="170"/>
      <c r="L9" s="1"/>
    </row>
    <row r="10" spans="1:15" ht="13.5" customHeight="1" thickBot="1">
      <c r="A10" s="186"/>
      <c r="F10" s="159"/>
      <c r="M10" s="170"/>
      <c r="N10" s="170" t="s">
        <v>17</v>
      </c>
      <c r="O10" s="170"/>
    </row>
    <row r="11" spans="1:15" ht="27" customHeight="1">
      <c r="A11" s="636" t="s">
        <v>1</v>
      </c>
      <c r="B11" s="627" t="s">
        <v>2</v>
      </c>
      <c r="C11" s="627"/>
      <c r="D11" s="628"/>
      <c r="E11" s="172" t="s">
        <v>3</v>
      </c>
      <c r="F11" s="172" t="s">
        <v>4</v>
      </c>
      <c r="G11" s="172" t="s">
        <v>5</v>
      </c>
      <c r="H11" s="172" t="s">
        <v>6</v>
      </c>
      <c r="I11" s="172" t="s">
        <v>0</v>
      </c>
      <c r="J11" s="172" t="s">
        <v>0</v>
      </c>
      <c r="K11" s="647" t="s">
        <v>283</v>
      </c>
      <c r="L11" s="628"/>
      <c r="M11" s="623" t="s">
        <v>223</v>
      </c>
      <c r="N11" s="624"/>
      <c r="O11" s="632" t="s">
        <v>35</v>
      </c>
    </row>
    <row r="12" spans="1:17" ht="42" customHeight="1" thickBot="1">
      <c r="A12" s="637"/>
      <c r="B12" s="174" t="s">
        <v>7</v>
      </c>
      <c r="C12" s="174" t="s">
        <v>8</v>
      </c>
      <c r="D12" s="175" t="s">
        <v>9</v>
      </c>
      <c r="E12" s="197"/>
      <c r="F12" s="177"/>
      <c r="G12" s="178"/>
      <c r="H12" s="178"/>
      <c r="I12" s="448" t="s">
        <v>10</v>
      </c>
      <c r="J12" s="448" t="s">
        <v>21</v>
      </c>
      <c r="K12" s="449" t="s">
        <v>11</v>
      </c>
      <c r="L12" s="450" t="s">
        <v>19</v>
      </c>
      <c r="M12" s="447" t="s">
        <v>287</v>
      </c>
      <c r="N12" s="447" t="s">
        <v>286</v>
      </c>
      <c r="O12" s="633"/>
      <c r="Q12" s="157"/>
    </row>
    <row r="13" spans="1:15" ht="61.5" customHeight="1">
      <c r="A13" s="190">
        <v>1</v>
      </c>
      <c r="B13" s="621"/>
      <c r="C13" s="622"/>
      <c r="D13" s="648"/>
      <c r="E13" s="209"/>
      <c r="F13" s="209"/>
      <c r="G13" s="224"/>
      <c r="H13" s="225"/>
      <c r="I13" s="28">
        <f>IF(J13="","",ROUNDDOWN(J13*(1+O13/100),0))</f>
      </c>
      <c r="J13" s="227"/>
      <c r="K13" s="28">
        <f>IF(L13="","",ROUNDDOWN(L13*(1+O13/100),0))</f>
      </c>
      <c r="L13" s="28">
        <f>IF(OR(J13="",G13=""),"",ROUNDDOWN(J13*G13,0))</f>
      </c>
      <c r="M13" s="26">
        <f>L13</f>
      </c>
      <c r="N13" s="228"/>
      <c r="O13" s="221">
        <v>8</v>
      </c>
    </row>
    <row r="14" spans="1:15" ht="61.5" customHeight="1">
      <c r="A14" s="191">
        <v>2</v>
      </c>
      <c r="B14" s="621"/>
      <c r="C14" s="622"/>
      <c r="D14" s="648"/>
      <c r="E14" s="214"/>
      <c r="F14" s="214"/>
      <c r="G14" s="211"/>
      <c r="H14" s="212"/>
      <c r="I14" s="25">
        <f aca="true" t="shared" si="0" ref="I14:I22">IF(J14="","",ROUNDDOWN(J14*(1+O14/100),0))</f>
      </c>
      <c r="J14" s="219"/>
      <c r="K14" s="25">
        <f aca="true" t="shared" si="1" ref="K14:K22">IF(L14="","",ROUNDDOWN(L14*(1+O14/100),0))</f>
      </c>
      <c r="L14" s="25">
        <f aca="true" t="shared" si="2" ref="L14:L22">IF(OR(J14="",G14=""),"",ROUNDDOWN(J14*G14,0))</f>
      </c>
      <c r="M14" s="26">
        <f aca="true" t="shared" si="3" ref="M14:M22">L14</f>
      </c>
      <c r="N14" s="228"/>
      <c r="O14" s="221">
        <v>8</v>
      </c>
    </row>
    <row r="15" spans="1:15" ht="61.5" customHeight="1">
      <c r="A15" s="191">
        <v>3</v>
      </c>
      <c r="B15" s="621"/>
      <c r="C15" s="622"/>
      <c r="D15" s="648"/>
      <c r="E15" s="214"/>
      <c r="F15" s="214"/>
      <c r="G15" s="211"/>
      <c r="H15" s="212"/>
      <c r="I15" s="25">
        <f t="shared" si="0"/>
      </c>
      <c r="J15" s="219"/>
      <c r="K15" s="25">
        <f t="shared" si="1"/>
      </c>
      <c r="L15" s="25">
        <f t="shared" si="2"/>
      </c>
      <c r="M15" s="26">
        <f t="shared" si="3"/>
      </c>
      <c r="N15" s="228"/>
      <c r="O15" s="221">
        <v>8</v>
      </c>
    </row>
    <row r="16" spans="1:15" ht="61.5" customHeight="1">
      <c r="A16" s="191">
        <v>4</v>
      </c>
      <c r="B16" s="621"/>
      <c r="C16" s="622"/>
      <c r="D16" s="648"/>
      <c r="E16" s="214"/>
      <c r="F16" s="214"/>
      <c r="G16" s="211"/>
      <c r="H16" s="212"/>
      <c r="I16" s="25">
        <f t="shared" si="0"/>
      </c>
      <c r="J16" s="219"/>
      <c r="K16" s="25">
        <f t="shared" si="1"/>
      </c>
      <c r="L16" s="25">
        <f t="shared" si="2"/>
      </c>
      <c r="M16" s="26">
        <f t="shared" si="3"/>
      </c>
      <c r="N16" s="228"/>
      <c r="O16" s="221">
        <v>8</v>
      </c>
    </row>
    <row r="17" spans="1:15" ht="61.5" customHeight="1">
      <c r="A17" s="191">
        <v>5</v>
      </c>
      <c r="B17" s="621"/>
      <c r="C17" s="622"/>
      <c r="D17" s="648"/>
      <c r="E17" s="214"/>
      <c r="F17" s="214"/>
      <c r="G17" s="211"/>
      <c r="H17" s="212"/>
      <c r="I17" s="25">
        <f t="shared" si="0"/>
      </c>
      <c r="J17" s="219"/>
      <c r="K17" s="25">
        <f t="shared" si="1"/>
      </c>
      <c r="L17" s="25">
        <f t="shared" si="2"/>
      </c>
      <c r="M17" s="26">
        <f t="shared" si="3"/>
      </c>
      <c r="N17" s="228"/>
      <c r="O17" s="221">
        <v>8</v>
      </c>
    </row>
    <row r="18" spans="1:15" ht="61.5" customHeight="1">
      <c r="A18" s="191">
        <v>6</v>
      </c>
      <c r="B18" s="621"/>
      <c r="C18" s="622"/>
      <c r="D18" s="648"/>
      <c r="E18" s="214"/>
      <c r="F18" s="214"/>
      <c r="G18" s="211"/>
      <c r="H18" s="212"/>
      <c r="I18" s="25">
        <f t="shared" si="0"/>
      </c>
      <c r="J18" s="219"/>
      <c r="K18" s="25">
        <f t="shared" si="1"/>
      </c>
      <c r="L18" s="25">
        <f t="shared" si="2"/>
      </c>
      <c r="M18" s="26">
        <f t="shared" si="3"/>
      </c>
      <c r="N18" s="228"/>
      <c r="O18" s="221">
        <v>8</v>
      </c>
    </row>
    <row r="19" spans="1:15" ht="61.5" customHeight="1">
      <c r="A19" s="191">
        <v>7</v>
      </c>
      <c r="B19" s="621"/>
      <c r="C19" s="622"/>
      <c r="D19" s="648"/>
      <c r="E19" s="214"/>
      <c r="F19" s="215"/>
      <c r="G19" s="211"/>
      <c r="H19" s="212"/>
      <c r="I19" s="25">
        <f t="shared" si="0"/>
      </c>
      <c r="J19" s="219"/>
      <c r="K19" s="25">
        <f t="shared" si="1"/>
      </c>
      <c r="L19" s="25">
        <f t="shared" si="2"/>
      </c>
      <c r="M19" s="26">
        <f t="shared" si="3"/>
      </c>
      <c r="N19" s="228"/>
      <c r="O19" s="221">
        <v>8</v>
      </c>
    </row>
    <row r="20" spans="1:15" ht="61.5" customHeight="1">
      <c r="A20" s="191">
        <v>8</v>
      </c>
      <c r="B20" s="621"/>
      <c r="C20" s="622"/>
      <c r="D20" s="648"/>
      <c r="E20" s="214"/>
      <c r="F20" s="214"/>
      <c r="G20" s="211"/>
      <c r="H20" s="212"/>
      <c r="I20" s="25">
        <f t="shared" si="0"/>
      </c>
      <c r="J20" s="219"/>
      <c r="K20" s="25">
        <f t="shared" si="1"/>
      </c>
      <c r="L20" s="25">
        <f t="shared" si="2"/>
      </c>
      <c r="M20" s="26">
        <f t="shared" si="3"/>
      </c>
      <c r="N20" s="228"/>
      <c r="O20" s="221">
        <v>8</v>
      </c>
    </row>
    <row r="21" spans="1:15" ht="61.5" customHeight="1">
      <c r="A21" s="191">
        <v>9</v>
      </c>
      <c r="B21" s="621"/>
      <c r="C21" s="622"/>
      <c r="D21" s="648"/>
      <c r="E21" s="214"/>
      <c r="F21" s="214"/>
      <c r="G21" s="211"/>
      <c r="H21" s="212"/>
      <c r="I21" s="25">
        <f t="shared" si="0"/>
      </c>
      <c r="J21" s="219"/>
      <c r="K21" s="25">
        <f t="shared" si="1"/>
      </c>
      <c r="L21" s="25">
        <f t="shared" si="2"/>
      </c>
      <c r="M21" s="26">
        <f t="shared" si="3"/>
      </c>
      <c r="N21" s="228"/>
      <c r="O21" s="221">
        <v>8</v>
      </c>
    </row>
    <row r="22" spans="1:15" ht="61.5" customHeight="1" thickBot="1">
      <c r="A22" s="195">
        <v>10</v>
      </c>
      <c r="B22" s="629"/>
      <c r="C22" s="630"/>
      <c r="D22" s="649"/>
      <c r="E22" s="216"/>
      <c r="F22" s="216"/>
      <c r="G22" s="217"/>
      <c r="H22" s="218"/>
      <c r="I22" s="27">
        <f t="shared" si="0"/>
      </c>
      <c r="J22" s="220"/>
      <c r="K22" s="27">
        <f t="shared" si="1"/>
      </c>
      <c r="L22" s="27">
        <f t="shared" si="2"/>
      </c>
      <c r="M22" s="27">
        <f t="shared" si="3"/>
      </c>
      <c r="N22" s="220"/>
      <c r="O22" s="222">
        <v>8</v>
      </c>
    </row>
    <row r="23" spans="1:18" ht="21" customHeight="1" thickBot="1">
      <c r="A23" s="625" t="s">
        <v>12</v>
      </c>
      <c r="B23" s="626"/>
      <c r="C23" s="626"/>
      <c r="D23" s="626"/>
      <c r="E23" s="626"/>
      <c r="F23" s="626"/>
      <c r="G23" s="626"/>
      <c r="H23" s="626"/>
      <c r="I23" s="626"/>
      <c r="J23" s="182"/>
      <c r="K23" s="23">
        <f>SUM(K13:K22)</f>
        <v>0</v>
      </c>
      <c r="L23" s="23">
        <f>SUM(L13:L22)</f>
        <v>0</v>
      </c>
      <c r="M23" s="281">
        <f>SUM(M13:M22)</f>
        <v>0</v>
      </c>
      <c r="N23" s="149">
        <f>SUM(N13:N22)</f>
        <v>0</v>
      </c>
      <c r="R23" s="161">
        <f>'経費明細表'!S21</f>
        <v>0</v>
      </c>
    </row>
    <row r="24" spans="1:14" ht="13.5" customHeight="1">
      <c r="A24" s="186"/>
      <c r="L24" s="184"/>
      <c r="M24" s="185"/>
      <c r="N24" s="185"/>
    </row>
    <row r="25" spans="1:14" ht="13.5" customHeight="1">
      <c r="A25" s="186"/>
      <c r="B25" s="161" t="s">
        <v>14</v>
      </c>
      <c r="D25" s="186"/>
      <c r="E25" s="1" t="s">
        <v>29</v>
      </c>
      <c r="N25" s="187"/>
    </row>
    <row r="26" spans="2:14" ht="13.5" customHeight="1">
      <c r="B26" s="161" t="s">
        <v>15</v>
      </c>
      <c r="E26" s="1" t="s">
        <v>30</v>
      </c>
      <c r="N26" s="187"/>
    </row>
    <row r="27" spans="2:14" ht="13.5" customHeight="1">
      <c r="B27" s="161" t="s">
        <v>16</v>
      </c>
      <c r="E27" s="1" t="s">
        <v>31</v>
      </c>
      <c r="N27" s="187"/>
    </row>
    <row r="28" ht="13.5">
      <c r="N28" s="188"/>
    </row>
  </sheetData>
  <sheetProtection sheet="1" objects="1" scenarios="1"/>
  <mergeCells count="20">
    <mergeCell ref="B17:D17"/>
    <mergeCell ref="B2:D2"/>
    <mergeCell ref="O11:O12"/>
    <mergeCell ref="B18:D18"/>
    <mergeCell ref="A4:E4"/>
    <mergeCell ref="A11:A12"/>
    <mergeCell ref="B11:D11"/>
    <mergeCell ref="K11:L11"/>
    <mergeCell ref="F6:H6"/>
    <mergeCell ref="F7:H7"/>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K23:M23 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2"/>
  <dimension ref="B2:H29"/>
  <sheetViews>
    <sheetView zoomScaleSheetLayoutView="100" workbookViewId="0" topLeftCell="A1">
      <selection activeCell="A1" sqref="A1"/>
    </sheetView>
  </sheetViews>
  <sheetFormatPr defaultColWidth="9.140625" defaultRowHeight="15"/>
  <cols>
    <col min="1" max="1" width="4.00390625" style="346" customWidth="1"/>
    <col min="2" max="2" width="3.421875" style="336" bestFit="1" customWidth="1"/>
    <col min="3" max="3" width="12.421875" style="336" bestFit="1" customWidth="1"/>
    <col min="4" max="7" width="25.57421875" style="337" customWidth="1"/>
    <col min="8" max="8" width="18.57421875" style="337" customWidth="1"/>
    <col min="9" max="16384" width="9.00390625" style="346" customWidth="1"/>
  </cols>
  <sheetData>
    <row r="2" ht="14.25">
      <c r="B2" s="310" t="s">
        <v>289</v>
      </c>
    </row>
    <row r="3" spans="2:6" ht="14.25">
      <c r="B3" s="454" t="s">
        <v>229</v>
      </c>
      <c r="C3" s="454"/>
      <c r="D3" s="454"/>
      <c r="E3" s="455">
        <v>20700022</v>
      </c>
      <c r="F3" s="456"/>
    </row>
    <row r="4" spans="2:6" ht="14.25">
      <c r="B4" s="454" t="s">
        <v>230</v>
      </c>
      <c r="C4" s="454"/>
      <c r="D4" s="454"/>
      <c r="E4" s="455">
        <v>10300000</v>
      </c>
      <c r="F4" s="456"/>
    </row>
    <row r="7" spans="2:8" ht="13.5">
      <c r="B7" s="346" t="s">
        <v>290</v>
      </c>
      <c r="C7" s="346"/>
      <c r="D7" s="338"/>
      <c r="E7" s="338"/>
      <c r="F7" s="338"/>
      <c r="G7" s="338"/>
      <c r="H7" s="338"/>
    </row>
    <row r="8" ht="13.5">
      <c r="G8" s="339" t="s">
        <v>231</v>
      </c>
    </row>
    <row r="9" spans="2:8" ht="13.5" customHeight="1">
      <c r="B9" s="457" t="s">
        <v>27</v>
      </c>
      <c r="C9" s="457"/>
      <c r="D9" s="459" t="s">
        <v>232</v>
      </c>
      <c r="E9" s="461" t="s">
        <v>233</v>
      </c>
      <c r="F9" s="462"/>
      <c r="G9" s="463"/>
      <c r="H9" s="346"/>
    </row>
    <row r="10" spans="2:8" ht="54">
      <c r="B10" s="458"/>
      <c r="C10" s="458"/>
      <c r="D10" s="460"/>
      <c r="E10" s="340" t="s">
        <v>234</v>
      </c>
      <c r="F10" s="340" t="s">
        <v>291</v>
      </c>
      <c r="G10" s="340" t="s">
        <v>235</v>
      </c>
      <c r="H10" s="346"/>
    </row>
    <row r="11" spans="2:8" ht="13.5">
      <c r="B11" s="341">
        <v>1</v>
      </c>
      <c r="C11" s="343" t="s">
        <v>236</v>
      </c>
      <c r="D11" s="446" t="s">
        <v>282</v>
      </c>
      <c r="E11" s="342">
        <v>5000000</v>
      </c>
      <c r="F11" s="342">
        <v>300000</v>
      </c>
      <c r="G11" s="345">
        <f aca="true" t="shared" si="0" ref="G11:G20">SUM(E11:F11)</f>
        <v>5300000</v>
      </c>
      <c r="H11" s="346"/>
    </row>
    <row r="12" spans="2:8" ht="13.5">
      <c r="B12" s="341">
        <v>2</v>
      </c>
      <c r="C12" s="343" t="str">
        <f>IF(COUNTA($D12)&gt;0,"共同申請者１","")</f>
        <v>共同申請者１</v>
      </c>
      <c r="D12" s="342" t="s">
        <v>237</v>
      </c>
      <c r="E12" s="342">
        <v>3000000</v>
      </c>
      <c r="F12" s="342">
        <v>0</v>
      </c>
      <c r="G12" s="345">
        <f t="shared" si="0"/>
        <v>3000000</v>
      </c>
      <c r="H12" s="346"/>
    </row>
    <row r="13" spans="2:8" ht="13.5">
      <c r="B13" s="341">
        <v>3</v>
      </c>
      <c r="C13" s="343" t="str">
        <f>IF(COUNTA($D13)&gt;0,"共同申請者２","")</f>
        <v>共同申請者２</v>
      </c>
      <c r="D13" s="342" t="s">
        <v>238</v>
      </c>
      <c r="E13" s="342">
        <v>2000000</v>
      </c>
      <c r="F13" s="342">
        <v>0</v>
      </c>
      <c r="G13" s="345">
        <f t="shared" si="0"/>
        <v>2000000</v>
      </c>
      <c r="H13" s="346"/>
    </row>
    <row r="14" spans="2:8" ht="13.5">
      <c r="B14" s="341">
        <v>4</v>
      </c>
      <c r="C14" s="343">
        <f>IF(COUNTA($D14)&gt;0,"共同申請者３","")</f>
      </c>
      <c r="D14" s="342"/>
      <c r="E14" s="342"/>
      <c r="F14" s="342"/>
      <c r="G14" s="345">
        <f t="shared" si="0"/>
        <v>0</v>
      </c>
      <c r="H14" s="346"/>
    </row>
    <row r="15" spans="2:8" ht="13.5">
      <c r="B15" s="341">
        <v>5</v>
      </c>
      <c r="C15" s="343">
        <f>IF(COUNTA($D15)&gt;0,"共同申請者４","")</f>
      </c>
      <c r="D15" s="342"/>
      <c r="E15" s="342"/>
      <c r="F15" s="342"/>
      <c r="G15" s="345">
        <f t="shared" si="0"/>
        <v>0</v>
      </c>
      <c r="H15" s="346"/>
    </row>
    <row r="16" spans="2:8" ht="13.5">
      <c r="B16" s="341">
        <v>6</v>
      </c>
      <c r="C16" s="343">
        <f>IF(COUNTA($D16)&gt;0,"共同申請者５","")</f>
      </c>
      <c r="D16" s="342"/>
      <c r="E16" s="342"/>
      <c r="F16" s="342"/>
      <c r="G16" s="345">
        <f t="shared" si="0"/>
        <v>0</v>
      </c>
      <c r="H16" s="346"/>
    </row>
    <row r="17" spans="2:8" ht="13.5">
      <c r="B17" s="341">
        <v>7</v>
      </c>
      <c r="C17" s="343">
        <f>IF(COUNTA($D17)&gt;0,"共同申請者６","")</f>
      </c>
      <c r="D17" s="342"/>
      <c r="E17" s="342"/>
      <c r="F17" s="342"/>
      <c r="G17" s="345">
        <f t="shared" si="0"/>
        <v>0</v>
      </c>
      <c r="H17" s="346"/>
    </row>
    <row r="18" spans="2:8" ht="13.5">
      <c r="B18" s="341">
        <v>8</v>
      </c>
      <c r="C18" s="343">
        <f>IF(COUNTA($D18)&gt;0,"共同申請者７","")</f>
      </c>
      <c r="D18" s="342"/>
      <c r="E18" s="342"/>
      <c r="F18" s="342"/>
      <c r="G18" s="345">
        <f t="shared" si="0"/>
        <v>0</v>
      </c>
      <c r="H18" s="346"/>
    </row>
    <row r="19" spans="2:8" ht="13.5">
      <c r="B19" s="341">
        <v>9</v>
      </c>
      <c r="C19" s="343">
        <f>IF(COUNTA($D19)&gt;0,"共同申請者８","")</f>
      </c>
      <c r="D19" s="342"/>
      <c r="E19" s="342"/>
      <c r="F19" s="342"/>
      <c r="G19" s="345">
        <f t="shared" si="0"/>
        <v>0</v>
      </c>
      <c r="H19" s="346"/>
    </row>
    <row r="20" spans="2:8" ht="13.5">
      <c r="B20" s="341">
        <v>10</v>
      </c>
      <c r="C20" s="343">
        <f>IF(COUNTA($D20)&gt;0,"共同申請者９","")</f>
      </c>
      <c r="D20" s="342"/>
      <c r="E20" s="342"/>
      <c r="F20" s="342"/>
      <c r="G20" s="345">
        <f t="shared" si="0"/>
        <v>0</v>
      </c>
      <c r="H20" s="346"/>
    </row>
    <row r="21" spans="2:8" ht="13.5">
      <c r="B21" s="452" t="s">
        <v>22</v>
      </c>
      <c r="C21" s="453"/>
      <c r="D21" s="344">
        <f>COUNTA(D11:D20)</f>
        <v>3</v>
      </c>
      <c r="E21" s="345">
        <f>SUM(E11:E20)</f>
        <v>10000000</v>
      </c>
      <c r="F21" s="345">
        <f>SUM(F11:F20)</f>
        <v>300000</v>
      </c>
      <c r="G21" s="345">
        <f>SUM(G11:G20)</f>
        <v>10300000</v>
      </c>
      <c r="H21" s="346"/>
    </row>
    <row r="22" spans="2:8" ht="13.5">
      <c r="B22" s="436" t="s">
        <v>292</v>
      </c>
      <c r="C22" s="346"/>
      <c r="D22" s="386"/>
      <c r="E22" s="386"/>
      <c r="F22" s="386"/>
      <c r="G22" s="386"/>
      <c r="H22" s="346"/>
    </row>
    <row r="23" spans="2:8" ht="13.5">
      <c r="B23" s="436" t="s">
        <v>293</v>
      </c>
      <c r="C23" s="346"/>
      <c r="D23" s="386"/>
      <c r="E23" s="386"/>
      <c r="F23" s="386"/>
      <c r="G23" s="386"/>
      <c r="H23" s="346"/>
    </row>
    <row r="24" spans="2:8" ht="13.5">
      <c r="B24" s="436"/>
      <c r="C24" s="346"/>
      <c r="D24" s="386"/>
      <c r="E24" s="386"/>
      <c r="F24" s="386"/>
      <c r="G24" s="386"/>
      <c r="H24" s="346"/>
    </row>
    <row r="25" spans="2:8" ht="13.5">
      <c r="B25" s="346"/>
      <c r="C25" s="346"/>
      <c r="D25" s="386"/>
      <c r="E25" s="386"/>
      <c r="F25" s="386"/>
      <c r="G25" s="386"/>
      <c r="H25" s="346"/>
    </row>
    <row r="26" spans="2:8" ht="13.5">
      <c r="B26" s="346"/>
      <c r="C26" s="346"/>
      <c r="D26" s="386"/>
      <c r="E26" s="386"/>
      <c r="F26" s="386"/>
      <c r="G26" s="386"/>
      <c r="H26" s="346"/>
    </row>
    <row r="27" spans="2:8" ht="13.5">
      <c r="B27" s="346"/>
      <c r="C27" s="346"/>
      <c r="D27" s="386"/>
      <c r="E27" s="386"/>
      <c r="F27" s="386"/>
      <c r="G27" s="386"/>
      <c r="H27" s="346"/>
    </row>
    <row r="28" spans="2:8" ht="13.5">
      <c r="B28" s="346"/>
      <c r="C28" s="346"/>
      <c r="D28" s="386"/>
      <c r="E28" s="386"/>
      <c r="F28" s="386"/>
      <c r="G28" s="386"/>
      <c r="H28" s="346"/>
    </row>
    <row r="29" spans="2:8" ht="13.5">
      <c r="B29" s="346"/>
      <c r="C29" s="346"/>
      <c r="D29" s="386"/>
      <c r="E29" s="386"/>
      <c r="F29" s="386"/>
      <c r="G29" s="386"/>
      <c r="H29" s="346"/>
    </row>
  </sheetData>
  <sheetProtection sheet="1" objects="1" scenarios="1"/>
  <mergeCells count="9">
    <mergeCell ref="B21:C21"/>
    <mergeCell ref="B3:D3"/>
    <mergeCell ref="E3:F3"/>
    <mergeCell ref="B4:D4"/>
    <mergeCell ref="E4:F4"/>
    <mergeCell ref="B9:B10"/>
    <mergeCell ref="C9:C10"/>
    <mergeCell ref="D9:D10"/>
    <mergeCell ref="E9:G9"/>
  </mergeCells>
  <conditionalFormatting sqref="E4:F4">
    <cfRule type="cellIs" priority="2" dxfId="0" operator="notEqual" stopIfTrue="1">
      <formula>$G$21</formula>
    </cfRule>
  </conditionalFormatting>
  <conditionalFormatting sqref="F21">
    <cfRule type="expression" priority="1" dxfId="0" stopIfTrue="1">
      <formula>AND($F$21&lt;&gt;300000,$F$21&lt;&gt;0)</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79"/>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56" customWidth="1"/>
    <col min="3" max="8" width="13.421875" style="156" customWidth="1"/>
    <col min="9" max="9" width="3.140625" style="156" customWidth="1"/>
    <col min="10" max="10" width="2.421875" style="3" hidden="1" customWidth="1"/>
    <col min="11" max="11" width="8.00390625" style="3" customWidth="1"/>
    <col min="12" max="16384" width="9.00390625" style="156" customWidth="1"/>
  </cols>
  <sheetData>
    <row r="1" spans="1:11" s="151" customFormat="1" ht="15.75" customHeight="1">
      <c r="A1" s="285" t="s">
        <v>42</v>
      </c>
      <c r="J1" s="12"/>
      <c r="K1" s="12"/>
    </row>
    <row r="2" spans="10:11" s="151" customFormat="1" ht="15.75" customHeight="1">
      <c r="J2" s="12"/>
      <c r="K2" s="12"/>
    </row>
    <row r="3" spans="1:11" s="151" customFormat="1" ht="15.75" customHeight="1">
      <c r="A3" s="286" t="s">
        <v>67</v>
      </c>
      <c r="J3" s="12"/>
      <c r="K3" s="12"/>
    </row>
    <row r="4" spans="3:11" s="151" customFormat="1" ht="15.75" customHeight="1">
      <c r="C4" s="151" t="s">
        <v>226</v>
      </c>
      <c r="J4" s="12"/>
      <c r="K4" s="332"/>
    </row>
    <row r="5" spans="3:11" s="151" customFormat="1" ht="15.75" customHeight="1">
      <c r="C5" s="151" t="s">
        <v>227</v>
      </c>
      <c r="J5" s="12"/>
      <c r="K5" s="332"/>
    </row>
    <row r="6" spans="3:11" s="151" customFormat="1" ht="15.75" customHeight="1">
      <c r="C6" s="151" t="s">
        <v>175</v>
      </c>
      <c r="J6" s="12"/>
      <c r="K6" s="332"/>
    </row>
    <row r="7" spans="3:11" s="151" customFormat="1" ht="15.75" customHeight="1">
      <c r="C7" s="151" t="s">
        <v>174</v>
      </c>
      <c r="J7" s="12"/>
      <c r="K7" s="332"/>
    </row>
    <row r="8" spans="3:11" s="151" customFormat="1" ht="15.75" customHeight="1">
      <c r="C8" s="287"/>
      <c r="J8" s="12"/>
      <c r="K8" s="12"/>
    </row>
    <row r="9" spans="1:11" s="151" customFormat="1" ht="15.75" customHeight="1">
      <c r="A9" s="286" t="s">
        <v>178</v>
      </c>
      <c r="C9" s="287"/>
      <c r="J9" s="12"/>
      <c r="K9" s="12"/>
    </row>
    <row r="10" spans="1:11" s="151" customFormat="1" ht="15.75" customHeight="1">
      <c r="A10" s="287"/>
      <c r="C10" s="287"/>
      <c r="J10" s="12"/>
      <c r="K10" s="12"/>
    </row>
    <row r="11" spans="1:11" s="151" customFormat="1" ht="15.75" customHeight="1">
      <c r="A11" s="285">
        <v>1</v>
      </c>
      <c r="B11" s="285" t="s">
        <v>66</v>
      </c>
      <c r="J11" s="12"/>
      <c r="K11" s="12"/>
    </row>
    <row r="12" spans="3:11" s="151" customFormat="1" ht="15.75" customHeight="1">
      <c r="C12" s="464" t="s">
        <v>149</v>
      </c>
      <c r="D12" s="465"/>
      <c r="E12" s="465"/>
      <c r="F12" s="465"/>
      <c r="G12" s="465"/>
      <c r="H12" s="466"/>
      <c r="J12" s="333"/>
      <c r="K12" s="12"/>
    </row>
    <row r="13" spans="6:11" s="151" customFormat="1" ht="15.75" customHeight="1">
      <c r="F13" s="288"/>
      <c r="G13" s="288"/>
      <c r="H13" s="288"/>
      <c r="I13" s="289"/>
      <c r="J13" s="13"/>
      <c r="K13" s="12"/>
    </row>
    <row r="14" spans="1:11" s="151" customFormat="1" ht="15.75" customHeight="1">
      <c r="A14" s="285">
        <v>2</v>
      </c>
      <c r="B14" s="290" t="s">
        <v>176</v>
      </c>
      <c r="D14" s="291"/>
      <c r="E14" s="291"/>
      <c r="F14" s="291"/>
      <c r="G14" s="291"/>
      <c r="H14" s="291"/>
      <c r="I14" s="291"/>
      <c r="J14" s="12"/>
      <c r="K14" s="12"/>
    </row>
    <row r="15" spans="10:11" s="151" customFormat="1" ht="15.75" customHeight="1">
      <c r="J15" s="12"/>
      <c r="K15" s="12"/>
    </row>
    <row r="16" spans="3:11" s="151" customFormat="1" ht="15.75" customHeight="1">
      <c r="C16" s="292"/>
      <c r="D16" s="293"/>
      <c r="E16" s="294"/>
      <c r="F16" s="294"/>
      <c r="G16" s="294"/>
      <c r="H16" s="295"/>
      <c r="J16" s="12">
        <v>1</v>
      </c>
      <c r="K16" s="12"/>
    </row>
    <row r="17" spans="3:11" s="151" customFormat="1" ht="15.75" customHeight="1">
      <c r="C17" s="296"/>
      <c r="D17" s="297"/>
      <c r="E17" s="298"/>
      <c r="F17" s="298"/>
      <c r="G17" s="298"/>
      <c r="H17" s="299"/>
      <c r="J17" s="12"/>
      <c r="K17" s="12"/>
    </row>
    <row r="18" spans="3:11" s="151" customFormat="1" ht="15.75" customHeight="1">
      <c r="C18" s="300"/>
      <c r="D18" s="301"/>
      <c r="E18" s="301"/>
      <c r="F18" s="301"/>
      <c r="G18" s="301"/>
      <c r="H18" s="302"/>
      <c r="J18" s="12"/>
      <c r="K18" s="12"/>
    </row>
    <row r="19" spans="2:11" s="151" customFormat="1" ht="15.75" customHeight="1">
      <c r="B19" s="289"/>
      <c r="C19" s="303"/>
      <c r="J19" s="12"/>
      <c r="K19" s="12"/>
    </row>
    <row r="20" spans="1:11" s="151" customFormat="1" ht="15.75" customHeight="1">
      <c r="A20" s="305"/>
      <c r="B20" s="305"/>
      <c r="C20" s="305"/>
      <c r="D20" s="305"/>
      <c r="E20" s="152"/>
      <c r="F20" s="152"/>
      <c r="G20" s="152"/>
      <c r="H20" s="152"/>
      <c r="I20" s="152"/>
      <c r="J20" s="12"/>
      <c r="K20" s="12"/>
    </row>
    <row r="21" spans="1:11" s="151" customFormat="1" ht="15.75" customHeight="1">
      <c r="A21" s="305"/>
      <c r="B21" s="305"/>
      <c r="C21" s="467"/>
      <c r="D21" s="468"/>
      <c r="E21" s="468"/>
      <c r="F21" s="467"/>
      <c r="G21" s="468"/>
      <c r="H21" s="468"/>
      <c r="I21" s="152"/>
      <c r="J21" s="12">
        <v>1</v>
      </c>
      <c r="K21" s="12"/>
    </row>
    <row r="22" spans="1:11" s="151" customFormat="1" ht="15.75" customHeight="1">
      <c r="A22" s="305"/>
      <c r="B22" s="305"/>
      <c r="C22" s="467"/>
      <c r="D22" s="468"/>
      <c r="E22" s="468"/>
      <c r="F22" s="467"/>
      <c r="G22" s="468"/>
      <c r="H22" s="468"/>
      <c r="I22" s="152"/>
      <c r="J22" s="12"/>
      <c r="K22" s="12"/>
    </row>
    <row r="23" spans="1:11" s="151" customFormat="1" ht="15.75" customHeight="1">
      <c r="A23" s="305"/>
      <c r="B23" s="305"/>
      <c r="C23" s="467"/>
      <c r="D23" s="468"/>
      <c r="E23" s="468"/>
      <c r="F23" s="467"/>
      <c r="G23" s="468"/>
      <c r="H23" s="468"/>
      <c r="I23" s="152"/>
      <c r="J23" s="12"/>
      <c r="K23" s="12"/>
    </row>
    <row r="24" spans="1:11" s="151" customFormat="1" ht="15.75" customHeight="1">
      <c r="A24" s="305"/>
      <c r="B24" s="305"/>
      <c r="C24" s="467"/>
      <c r="D24" s="468"/>
      <c r="E24" s="468"/>
      <c r="F24" s="467"/>
      <c r="G24" s="468"/>
      <c r="H24" s="468"/>
      <c r="J24" s="12"/>
      <c r="K24" s="12"/>
    </row>
    <row r="25" spans="1:11" s="151" customFormat="1" ht="15.75" customHeight="1">
      <c r="A25" s="305"/>
      <c r="B25" s="305"/>
      <c r="C25" s="469"/>
      <c r="D25" s="470"/>
      <c r="E25" s="470"/>
      <c r="F25" s="469"/>
      <c r="G25" s="470"/>
      <c r="H25" s="470"/>
      <c r="J25" s="12"/>
      <c r="K25" s="12"/>
    </row>
    <row r="26" spans="1:11" s="12" customFormat="1" ht="15.75" customHeight="1">
      <c r="A26" s="366"/>
      <c r="B26" s="366"/>
      <c r="C26" s="471"/>
      <c r="D26" s="472"/>
      <c r="E26" s="472"/>
      <c r="F26" s="472"/>
      <c r="G26" s="472"/>
      <c r="H26" s="473"/>
      <c r="I26" s="352"/>
      <c r="J26" s="12">
        <v>1</v>
      </c>
      <c r="K26" s="151"/>
    </row>
    <row r="27" spans="1:11" s="12" customFormat="1" ht="15.75" customHeight="1">
      <c r="A27" s="366"/>
      <c r="B27" s="366"/>
      <c r="C27" s="474"/>
      <c r="D27" s="475"/>
      <c r="E27" s="475"/>
      <c r="F27" s="475"/>
      <c r="G27" s="475"/>
      <c r="H27" s="476"/>
      <c r="I27" s="352"/>
      <c r="K27" s="151"/>
    </row>
    <row r="28" spans="1:11" s="12" customFormat="1" ht="15.75" customHeight="1">
      <c r="A28" s="366"/>
      <c r="B28" s="366"/>
      <c r="C28" s="477"/>
      <c r="D28" s="478"/>
      <c r="E28" s="478"/>
      <c r="F28" s="478"/>
      <c r="G28" s="478"/>
      <c r="H28" s="479"/>
      <c r="I28" s="352"/>
      <c r="K28" s="151"/>
    </row>
    <row r="29" spans="1:11" s="351" customFormat="1" ht="15.75" customHeight="1">
      <c r="A29" s="347"/>
      <c r="B29" s="347"/>
      <c r="C29" s="348"/>
      <c r="D29" s="348"/>
      <c r="E29" s="349"/>
      <c r="F29" s="349"/>
      <c r="G29" s="349"/>
      <c r="H29" s="349"/>
      <c r="I29" s="350"/>
      <c r="K29" s="304"/>
    </row>
    <row r="30" spans="3:11" s="12" customFormat="1" ht="15.75" customHeight="1">
      <c r="C30" s="352"/>
      <c r="D30" s="352"/>
      <c r="F30" s="352"/>
      <c r="G30" s="352"/>
      <c r="H30" s="352"/>
      <c r="I30" s="352"/>
      <c r="K30" s="151"/>
    </row>
    <row r="31" spans="3:11" s="12" customFormat="1" ht="15.75" customHeight="1">
      <c r="C31" s="353"/>
      <c r="D31" s="354"/>
      <c r="E31" s="355"/>
      <c r="F31" s="355"/>
      <c r="G31" s="355"/>
      <c r="H31" s="356"/>
      <c r="I31" s="352"/>
      <c r="J31" s="351">
        <v>2</v>
      </c>
      <c r="K31" s="151"/>
    </row>
    <row r="32" spans="3:11" s="12" customFormat="1" ht="15.75" customHeight="1">
      <c r="C32" s="357"/>
      <c r="D32" s="358"/>
      <c r="E32" s="359"/>
      <c r="F32" s="359"/>
      <c r="G32" s="359"/>
      <c r="H32" s="360"/>
      <c r="I32" s="352"/>
      <c r="K32" s="361"/>
    </row>
    <row r="33" spans="3:11" s="12" customFormat="1" ht="15.75" customHeight="1">
      <c r="C33" s="362"/>
      <c r="D33" s="363"/>
      <c r="E33" s="363"/>
      <c r="F33" s="363"/>
      <c r="G33" s="363"/>
      <c r="H33" s="364"/>
      <c r="K33" s="151"/>
    </row>
    <row r="34" spans="1:11" s="351" customFormat="1" ht="15.75" customHeight="1">
      <c r="A34" s="347"/>
      <c r="B34" s="347"/>
      <c r="C34" s="365"/>
      <c r="D34" s="365"/>
      <c r="E34" s="332"/>
      <c r="F34" s="332"/>
      <c r="G34" s="332"/>
      <c r="H34" s="332"/>
      <c r="I34" s="350"/>
      <c r="K34" s="304"/>
    </row>
    <row r="35" spans="3:11" s="151" customFormat="1" ht="15.75" customHeight="1">
      <c r="C35" s="307"/>
      <c r="F35" s="306"/>
      <c r="J35" s="12"/>
      <c r="K35" s="12"/>
    </row>
    <row r="36" spans="1:11" s="154" customFormat="1" ht="15.75" customHeight="1">
      <c r="A36" s="310">
        <v>3</v>
      </c>
      <c r="B36" s="310" t="s">
        <v>228</v>
      </c>
      <c r="E36" s="311"/>
      <c r="J36" s="148"/>
      <c r="K36" s="148"/>
    </row>
    <row r="37" spans="5:11" s="154" customFormat="1" ht="15.75" customHeight="1">
      <c r="E37" s="311"/>
      <c r="J37" s="148"/>
      <c r="K37" s="148"/>
    </row>
    <row r="38" spans="3:11" s="154" customFormat="1" ht="15.75" customHeight="1">
      <c r="C38" s="480" t="s">
        <v>229</v>
      </c>
      <c r="D38" s="481"/>
      <c r="E38" s="455">
        <v>20700022</v>
      </c>
      <c r="F38" s="456"/>
      <c r="J38" s="148"/>
      <c r="K38" s="148"/>
    </row>
    <row r="39" spans="3:11" s="154" customFormat="1" ht="15.75" customHeight="1">
      <c r="C39" s="480" t="s">
        <v>230</v>
      </c>
      <c r="D39" s="481"/>
      <c r="E39" s="455">
        <v>10300000</v>
      </c>
      <c r="F39" s="456"/>
      <c r="J39" s="148"/>
      <c r="K39" s="148"/>
    </row>
    <row r="40" spans="3:11" s="154" customFormat="1" ht="15.75" customHeight="1">
      <c r="C40" s="438" t="s">
        <v>277</v>
      </c>
      <c r="D40" s="312"/>
      <c r="E40" s="313"/>
      <c r="J40" s="148"/>
      <c r="K40" s="148"/>
    </row>
    <row r="41" spans="3:11" s="151" customFormat="1" ht="15.75" customHeight="1">
      <c r="C41" s="308"/>
      <c r="D41" s="308"/>
      <c r="E41" s="308"/>
      <c r="F41" s="308"/>
      <c r="G41" s="308"/>
      <c r="H41" s="309"/>
      <c r="I41" s="288"/>
      <c r="J41" s="13"/>
      <c r="K41" s="12"/>
    </row>
    <row r="42" spans="1:11" s="151" customFormat="1" ht="15.75" customHeight="1">
      <c r="A42" s="285">
        <v>4</v>
      </c>
      <c r="B42" s="285" t="s">
        <v>278</v>
      </c>
      <c r="J42" s="12"/>
      <c r="K42" s="12"/>
    </row>
    <row r="43" spans="2:11" s="151" customFormat="1" ht="15.75" customHeight="1">
      <c r="B43" s="151" t="s">
        <v>68</v>
      </c>
      <c r="J43" s="12"/>
      <c r="K43" s="12"/>
    </row>
    <row r="44" spans="2:11" s="151" customFormat="1" ht="15.75" customHeight="1">
      <c r="B44" s="153" t="s">
        <v>152</v>
      </c>
      <c r="C44" s="153"/>
      <c r="E44" s="153"/>
      <c r="J44" s="12"/>
      <c r="K44" s="12"/>
    </row>
    <row r="45" spans="2:11" s="154" customFormat="1" ht="15.75" customHeight="1">
      <c r="B45" s="314"/>
      <c r="C45" s="315" t="s">
        <v>73</v>
      </c>
      <c r="D45" s="316"/>
      <c r="E45" s="316"/>
      <c r="F45" s="317"/>
      <c r="J45" s="148"/>
      <c r="K45" s="148"/>
    </row>
    <row r="46" spans="2:11" s="154" customFormat="1" ht="15.75" customHeight="1">
      <c r="B46" s="314"/>
      <c r="C46" s="318" t="s">
        <v>74</v>
      </c>
      <c r="D46" s="319"/>
      <c r="E46" s="319"/>
      <c r="F46" s="320"/>
      <c r="J46" s="148"/>
      <c r="K46" s="148"/>
    </row>
    <row r="47" spans="2:11" s="154" customFormat="1" ht="15.75" customHeight="1">
      <c r="B47" s="314"/>
      <c r="C47" s="367" t="s">
        <v>142</v>
      </c>
      <c r="D47" s="368"/>
      <c r="E47" s="368"/>
      <c r="F47" s="369"/>
      <c r="J47" s="148"/>
      <c r="K47" s="148"/>
    </row>
    <row r="48" spans="2:11" s="154" customFormat="1" ht="15.75" customHeight="1">
      <c r="B48" s="314"/>
      <c r="C48" s="367" t="s">
        <v>144</v>
      </c>
      <c r="D48" s="368"/>
      <c r="E48" s="368"/>
      <c r="F48" s="369"/>
      <c r="J48" s="148"/>
      <c r="K48" s="148"/>
    </row>
    <row r="49" spans="2:11" s="154" customFormat="1" ht="15.75" customHeight="1">
      <c r="B49" s="314"/>
      <c r="C49" s="367" t="s">
        <v>143</v>
      </c>
      <c r="D49" s="368"/>
      <c r="E49" s="368"/>
      <c r="F49" s="369"/>
      <c r="J49" s="148"/>
      <c r="K49" s="148"/>
    </row>
    <row r="50" spans="2:11" s="154" customFormat="1" ht="15.75" customHeight="1">
      <c r="B50" s="314"/>
      <c r="C50" s="370" t="s">
        <v>240</v>
      </c>
      <c r="D50" s="371"/>
      <c r="E50" s="372"/>
      <c r="F50" s="373"/>
      <c r="J50" s="148"/>
      <c r="K50" s="148"/>
    </row>
    <row r="51" spans="2:11" s="154" customFormat="1" ht="15.75" customHeight="1">
      <c r="B51" s="314"/>
      <c r="C51" s="374" t="s">
        <v>166</v>
      </c>
      <c r="D51" s="375"/>
      <c r="E51" s="376"/>
      <c r="F51" s="377"/>
      <c r="J51" s="148"/>
      <c r="K51" s="148"/>
    </row>
    <row r="52" spans="2:11" s="154" customFormat="1" ht="15.75" customHeight="1">
      <c r="B52" s="314"/>
      <c r="C52" s="321" t="s">
        <v>167</v>
      </c>
      <c r="D52" s="322"/>
      <c r="E52" s="323"/>
      <c r="F52" s="324"/>
      <c r="J52" s="148"/>
      <c r="K52" s="148"/>
    </row>
    <row r="53" spans="2:11" s="154" customFormat="1" ht="15.75" customHeight="1">
      <c r="B53" s="314"/>
      <c r="C53" s="321" t="s">
        <v>168</v>
      </c>
      <c r="D53" s="322"/>
      <c r="E53" s="323"/>
      <c r="F53" s="324"/>
      <c r="J53" s="148"/>
      <c r="K53" s="148"/>
    </row>
    <row r="54" spans="2:11" s="154" customFormat="1" ht="15.75" customHeight="1">
      <c r="B54" s="314"/>
      <c r="C54" s="325" t="s">
        <v>169</v>
      </c>
      <c r="D54" s="326"/>
      <c r="E54" s="327"/>
      <c r="F54" s="328"/>
      <c r="J54" s="148"/>
      <c r="K54" s="148"/>
    </row>
    <row r="55" spans="2:11" s="154" customFormat="1" ht="15.75" customHeight="1">
      <c r="B55" s="312"/>
      <c r="C55" s="312"/>
      <c r="D55" s="312"/>
      <c r="E55" s="313"/>
      <c r="J55" s="148"/>
      <c r="K55" s="148"/>
    </row>
    <row r="56" spans="2:11" s="151" customFormat="1" ht="15.75" customHeight="1">
      <c r="B56" s="151" t="s">
        <v>40</v>
      </c>
      <c r="H56" s="152"/>
      <c r="J56" s="12"/>
      <c r="K56" s="12"/>
    </row>
    <row r="57" spans="2:11" s="151" customFormat="1" ht="15.75" customHeight="1">
      <c r="B57" s="151" t="s">
        <v>65</v>
      </c>
      <c r="J57" s="12"/>
      <c r="K57" s="12"/>
    </row>
    <row r="58" spans="2:11" s="151" customFormat="1" ht="15.75" customHeight="1">
      <c r="B58" s="151" t="s">
        <v>81</v>
      </c>
      <c r="J58" s="12"/>
      <c r="K58" s="12"/>
    </row>
    <row r="59" spans="2:11" s="151" customFormat="1" ht="15.75" customHeight="1">
      <c r="B59" s="151" t="s">
        <v>41</v>
      </c>
      <c r="J59" s="12"/>
      <c r="K59" s="12"/>
    </row>
    <row r="60" spans="2:11" s="151" customFormat="1" ht="15.75" customHeight="1">
      <c r="B60" s="151" t="s">
        <v>177</v>
      </c>
      <c r="J60" s="12"/>
      <c r="K60" s="12"/>
    </row>
    <row r="61" spans="2:11" s="154" customFormat="1" ht="15.75" customHeight="1">
      <c r="B61" s="312"/>
      <c r="C61" s="329"/>
      <c r="D61" s="312"/>
      <c r="E61" s="313"/>
      <c r="J61" s="148"/>
      <c r="K61" s="148"/>
    </row>
    <row r="62" spans="1:11" s="157" customFormat="1" ht="15.75" customHeight="1">
      <c r="A62" s="151">
        <v>5</v>
      </c>
      <c r="B62" s="330" t="s">
        <v>213</v>
      </c>
      <c r="C62" s="155"/>
      <c r="D62" s="331"/>
      <c r="J62" s="158"/>
      <c r="K62" s="158"/>
    </row>
    <row r="63" spans="3:11" s="155" customFormat="1" ht="15.75" customHeight="1">
      <c r="C63" s="155" t="s">
        <v>224</v>
      </c>
      <c r="J63" s="2"/>
      <c r="K63" s="2"/>
    </row>
    <row r="64" spans="3:11" s="155" customFormat="1" ht="15.75" customHeight="1">
      <c r="C64" s="155" t="s">
        <v>214</v>
      </c>
      <c r="J64" s="2"/>
      <c r="K64" s="2"/>
    </row>
    <row r="65" spans="3:11" s="155" customFormat="1" ht="15.75" customHeight="1">
      <c r="C65" s="155" t="s">
        <v>215</v>
      </c>
      <c r="J65" s="2"/>
      <c r="K65" s="2"/>
    </row>
    <row r="66" spans="3:11" s="155" customFormat="1" ht="15.75" customHeight="1">
      <c r="C66" s="155" t="s">
        <v>225</v>
      </c>
      <c r="J66" s="2"/>
      <c r="K66" s="2"/>
    </row>
    <row r="67" spans="3:11" s="155" customFormat="1" ht="15.75" customHeight="1">
      <c r="C67" s="155" t="s">
        <v>216</v>
      </c>
      <c r="J67" s="2"/>
      <c r="K67" s="2"/>
    </row>
    <row r="68" spans="3:11" s="155" customFormat="1" ht="15.75" customHeight="1">
      <c r="C68" s="155" t="s">
        <v>217</v>
      </c>
      <c r="J68" s="2"/>
      <c r="K68" s="2"/>
    </row>
    <row r="69" spans="3:11" s="155" customFormat="1" ht="15.75" customHeight="1">
      <c r="C69" s="155" t="s">
        <v>218</v>
      </c>
      <c r="J69" s="2"/>
      <c r="K69" s="2"/>
    </row>
    <row r="70" spans="10:11" s="155" customFormat="1" ht="15.75" customHeight="1">
      <c r="J70" s="2"/>
      <c r="K70" s="2"/>
    </row>
    <row r="71" spans="1:11" s="155" customFormat="1" ht="15.75" customHeight="1">
      <c r="A71" s="152">
        <v>6</v>
      </c>
      <c r="B71" s="152" t="s">
        <v>219</v>
      </c>
      <c r="C71" s="263"/>
      <c r="D71" s="263"/>
      <c r="J71" s="2"/>
      <c r="K71" s="2"/>
    </row>
    <row r="72" spans="1:11" s="155" customFormat="1" ht="15.75" customHeight="1">
      <c r="A72" s="152"/>
      <c r="B72" s="152" t="s">
        <v>220</v>
      </c>
      <c r="C72" s="263"/>
      <c r="D72" s="263"/>
      <c r="J72" s="2"/>
      <c r="K72" s="2"/>
    </row>
    <row r="73" spans="1:11" s="155" customFormat="1" ht="15.75" customHeight="1">
      <c r="A73" s="263"/>
      <c r="B73" s="263"/>
      <c r="C73" s="263" t="s">
        <v>221</v>
      </c>
      <c r="D73" s="263"/>
      <c r="J73" s="2"/>
      <c r="K73" s="2"/>
    </row>
    <row r="74" spans="3:11" s="155" customFormat="1" ht="15.75" customHeight="1">
      <c r="C74" s="263" t="s">
        <v>222</v>
      </c>
      <c r="J74" s="2"/>
      <c r="K74" s="2"/>
    </row>
    <row r="75" spans="10:11" s="155" customFormat="1" ht="15.75" customHeight="1">
      <c r="J75" s="2"/>
      <c r="K75" s="2"/>
    </row>
    <row r="76" spans="10:11" s="155" customFormat="1" ht="15.75" customHeight="1">
      <c r="J76" s="2"/>
      <c r="K76" s="2"/>
    </row>
    <row r="77" spans="10:11" s="155" customFormat="1" ht="15.75" customHeight="1">
      <c r="J77" s="2"/>
      <c r="K77" s="2"/>
    </row>
    <row r="78" spans="10:11" s="155" customFormat="1" ht="15.75" customHeight="1">
      <c r="J78" s="2"/>
      <c r="K78" s="2"/>
    </row>
    <row r="79" spans="10:11" s="155" customFormat="1" ht="15.75" customHeight="1">
      <c r="J79" s="2"/>
      <c r="K79" s="2"/>
    </row>
  </sheetData>
  <sheetProtection sheet="1" objects="1" scenarios="1"/>
  <mergeCells count="8">
    <mergeCell ref="C12:H12"/>
    <mergeCell ref="C21:E25"/>
    <mergeCell ref="F21:H25"/>
    <mergeCell ref="C26:H28"/>
    <mergeCell ref="C39:D39"/>
    <mergeCell ref="C38:D38"/>
    <mergeCell ref="E39:F39"/>
    <mergeCell ref="E38:F38"/>
  </mergeCells>
  <conditionalFormatting sqref="E38:F38">
    <cfRule type="expression" priority="4" dxfId="0" stopIfTrue="1">
      <formula>OR($E$38="",$E$38=0)</formula>
    </cfRule>
  </conditionalFormatting>
  <conditionalFormatting sqref="E39:F39">
    <cfRule type="expression" priority="3" dxfId="0" stopIfTrue="1">
      <formula>OR($E$39="",$E$39=0)</formula>
    </cfRule>
  </conditionalFormatting>
  <hyperlinks>
    <hyperlink ref="C51" location="原材料費!A1" display="　　原材料費"/>
    <hyperlink ref="C47" location="技術導入費!A1" display="　　技術導入費"/>
    <hyperlink ref="C52" location="外注加工費!A1" display="　　外注加工費"/>
    <hyperlink ref="C53" location="委託費!A1" display="　　委託費"/>
    <hyperlink ref="C54" location="知的財産権等関連経費!A1" display="知的財産関連経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1:R7"/>
  <sheetViews>
    <sheetView zoomScalePageLayoutView="0" workbookViewId="0" topLeftCell="A1">
      <selection activeCell="A1" sqref="A1"/>
    </sheetView>
  </sheetViews>
  <sheetFormatPr defaultColWidth="9.140625" defaultRowHeight="15"/>
  <cols>
    <col min="1" max="1" width="0.9921875" style="0" customWidth="1"/>
    <col min="2" max="2" width="3.140625" style="33" bestFit="1" customWidth="1"/>
    <col min="3" max="3" width="25.140625" style="0" customWidth="1"/>
    <col min="5" max="5" width="3.140625" style="33" bestFit="1" customWidth="1"/>
    <col min="6" max="6" width="18.421875" style="34" bestFit="1" customWidth="1"/>
    <col min="7" max="7" width="15.28125" style="0" bestFit="1" customWidth="1"/>
    <col min="8" max="8" width="12.140625" style="36" bestFit="1" customWidth="1"/>
    <col min="9" max="9" width="12.140625" style="38" bestFit="1" customWidth="1"/>
    <col min="10" max="10" width="6.00390625" style="38" customWidth="1"/>
    <col min="11" max="11" width="3.421875" style="38" bestFit="1" customWidth="1"/>
    <col min="12" max="12" width="14.421875" style="0" bestFit="1" customWidth="1"/>
    <col min="13" max="13" width="7.8515625" style="0" bestFit="1" customWidth="1"/>
    <col min="14" max="15" width="4.28125" style="0" customWidth="1"/>
  </cols>
  <sheetData>
    <row r="1" spans="2:18" s="34" customFormat="1" ht="13.5">
      <c r="B1" s="37"/>
      <c r="E1" s="37"/>
      <c r="H1" s="38"/>
      <c r="I1" s="38"/>
      <c r="L1" s="386"/>
      <c r="M1" s="386"/>
      <c r="Q1" s="386"/>
      <c r="R1" s="387"/>
    </row>
    <row r="2" spans="2:18" s="34" customFormat="1" ht="13.5">
      <c r="B2" s="35" t="s">
        <v>111</v>
      </c>
      <c r="C2" s="35" t="s">
        <v>110</v>
      </c>
      <c r="E2" s="35" t="s">
        <v>111</v>
      </c>
      <c r="F2" s="482" t="s">
        <v>110</v>
      </c>
      <c r="G2" s="483"/>
      <c r="H2" s="30" t="s">
        <v>241</v>
      </c>
      <c r="I2" s="30" t="s">
        <v>121</v>
      </c>
      <c r="K2" s="35" t="s">
        <v>111</v>
      </c>
      <c r="L2" s="388" t="s">
        <v>242</v>
      </c>
      <c r="M2" s="388" t="s">
        <v>243</v>
      </c>
      <c r="P2" s="35" t="s">
        <v>111</v>
      </c>
      <c r="Q2" s="388" t="s">
        <v>244</v>
      </c>
      <c r="R2" s="389" t="s">
        <v>245</v>
      </c>
    </row>
    <row r="3" spans="2:18" s="34" customFormat="1" ht="13.5">
      <c r="B3" s="35">
        <v>1</v>
      </c>
      <c r="C3" s="31" t="s">
        <v>119</v>
      </c>
      <c r="E3" s="35">
        <v>1</v>
      </c>
      <c r="F3" s="31" t="s">
        <v>247</v>
      </c>
      <c r="G3" s="31"/>
      <c r="H3" s="32">
        <v>10000000</v>
      </c>
      <c r="I3" s="32">
        <v>1000000</v>
      </c>
      <c r="K3" s="35">
        <v>1</v>
      </c>
      <c r="L3" s="440" t="s">
        <v>280</v>
      </c>
      <c r="M3" s="390"/>
      <c r="P3" s="35">
        <v>1</v>
      </c>
      <c r="Q3" s="391" t="s">
        <v>246</v>
      </c>
      <c r="R3" s="392">
        <f>2/3</f>
        <v>0.6666666666666666</v>
      </c>
    </row>
    <row r="4" spans="2:18" s="34" customFormat="1" ht="13.5">
      <c r="B4" s="35">
        <v>2</v>
      </c>
      <c r="C4" s="31" t="s">
        <v>120</v>
      </c>
      <c r="E4" s="35">
        <v>2</v>
      </c>
      <c r="F4" s="31" t="s">
        <v>109</v>
      </c>
      <c r="G4" s="31" t="s">
        <v>249</v>
      </c>
      <c r="H4" s="32">
        <v>5000000</v>
      </c>
      <c r="I4" s="32">
        <v>1000000</v>
      </c>
      <c r="K4" s="35">
        <v>2</v>
      </c>
      <c r="L4" s="441" t="s">
        <v>281</v>
      </c>
      <c r="M4" s="393">
        <v>300000</v>
      </c>
      <c r="P4" s="35">
        <v>2</v>
      </c>
      <c r="Q4" s="391" t="s">
        <v>248</v>
      </c>
      <c r="R4" s="394">
        <f>1/2</f>
        <v>0.5</v>
      </c>
    </row>
    <row r="5" spans="2:18" s="34" customFormat="1" ht="13.5">
      <c r="B5" s="37"/>
      <c r="E5" s="35">
        <v>3</v>
      </c>
      <c r="F5" s="31" t="s">
        <v>109</v>
      </c>
      <c r="G5" s="31" t="s">
        <v>250</v>
      </c>
      <c r="H5" s="32">
        <v>5000000</v>
      </c>
      <c r="I5" s="32">
        <v>1000000</v>
      </c>
      <c r="L5" s="386"/>
      <c r="M5" s="386"/>
      <c r="Q5" s="386"/>
      <c r="R5" s="387"/>
    </row>
    <row r="6" spans="2:18" s="34" customFormat="1" ht="13.5">
      <c r="B6" s="37"/>
      <c r="E6" s="203"/>
      <c r="F6" s="346"/>
      <c r="G6" s="346"/>
      <c r="H6" s="38"/>
      <c r="I6" s="38"/>
      <c r="L6" s="386"/>
      <c r="M6" s="386"/>
      <c r="Q6" s="386"/>
      <c r="R6" s="387"/>
    </row>
    <row r="7" spans="2:18" s="34" customFormat="1" ht="13.5">
      <c r="B7" s="37"/>
      <c r="E7" s="37"/>
      <c r="H7" s="38"/>
      <c r="I7" s="38"/>
      <c r="L7" s="386"/>
      <c r="M7" s="386"/>
      <c r="Q7" s="386"/>
      <c r="R7" s="387"/>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T124"/>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68" customWidth="1"/>
    <col min="2" max="2" width="11.57421875" style="68" customWidth="1"/>
    <col min="3" max="3" width="22.7109375" style="68" customWidth="1"/>
    <col min="4" max="4" width="8.140625" style="68" hidden="1" customWidth="1"/>
    <col min="5" max="5" width="16.57421875" style="68" customWidth="1"/>
    <col min="6" max="6" width="8.140625" style="68" hidden="1" customWidth="1"/>
    <col min="7" max="7" width="16.57421875" style="68" customWidth="1"/>
    <col min="8" max="8" width="4.421875" style="68" hidden="1" customWidth="1"/>
    <col min="9" max="9" width="16.57421875" style="68" customWidth="1"/>
    <col min="10" max="10" width="4.28125" style="68" hidden="1" customWidth="1"/>
    <col min="11" max="11" width="16.57421875" style="68" customWidth="1"/>
    <col min="12" max="12" width="11.57421875" style="68" hidden="1" customWidth="1"/>
    <col min="13" max="13" width="16.57421875" style="68" customWidth="1"/>
    <col min="14" max="14" width="6.7109375" style="68" hidden="1" customWidth="1"/>
    <col min="15" max="15" width="16.57421875" style="68" customWidth="1"/>
    <col min="16" max="16" width="4.140625" style="68" hidden="1" customWidth="1"/>
    <col min="17" max="17" width="16.57421875" style="68" customWidth="1"/>
    <col min="18" max="18" width="5.421875" style="68" hidden="1" customWidth="1"/>
    <col min="19" max="19" width="16.57421875" style="68" customWidth="1"/>
    <col min="20" max="20" width="10.140625" style="68" hidden="1" customWidth="1"/>
    <col min="21" max="21" width="16.57421875" style="68" customWidth="1"/>
    <col min="22" max="22" width="9.8515625" style="68" customWidth="1"/>
    <col min="23" max="23" width="22.7109375" style="68" customWidth="1"/>
    <col min="24" max="24" width="12.7109375" style="68" customWidth="1"/>
    <col min="25" max="25" width="5.28125" style="68" customWidth="1"/>
    <col min="26" max="26" width="47.140625" style="68" bestFit="1" customWidth="1"/>
    <col min="27" max="27" width="25.421875" style="68" customWidth="1"/>
    <col min="28" max="28" width="18.57421875" style="68" customWidth="1"/>
    <col min="29" max="29" width="25.421875" style="68" customWidth="1"/>
    <col min="30" max="30" width="32.421875" style="68" customWidth="1"/>
    <col min="31" max="31" width="26.28125" style="68" customWidth="1"/>
    <col min="32" max="32" width="17.421875" style="68" customWidth="1"/>
    <col min="33" max="34" width="17.421875" style="132" customWidth="1"/>
    <col min="35" max="39" width="17.421875" style="68" customWidth="1"/>
    <col min="40" max="40" width="16.8515625" style="68" customWidth="1"/>
    <col min="41" max="42" width="21.8515625" style="68" customWidth="1"/>
    <col min="43" max="43" width="34.421875" style="68" bestFit="1" customWidth="1"/>
    <col min="44" max="44" width="26.57421875" style="68" bestFit="1" customWidth="1"/>
    <col min="45" max="45" width="11.421875" style="68" bestFit="1" customWidth="1"/>
    <col min="46" max="46" width="4.57421875" style="68" bestFit="1" customWidth="1"/>
    <col min="47" max="47" width="26.57421875" style="68" bestFit="1" customWidth="1"/>
    <col min="48" max="48" width="11.421875" style="68" bestFit="1" customWidth="1"/>
    <col min="49" max="49" width="4.57421875" style="68" bestFit="1" customWidth="1"/>
    <col min="50" max="50" width="26.57421875" style="68" bestFit="1" customWidth="1"/>
    <col min="51" max="51" width="11.421875" style="68" bestFit="1" customWidth="1"/>
    <col min="52" max="52" width="4.57421875" style="68" bestFit="1" customWidth="1"/>
    <col min="53" max="53" width="22.421875" style="68" bestFit="1" customWidth="1"/>
    <col min="54" max="54" width="11.421875" style="68" bestFit="1" customWidth="1"/>
    <col min="55" max="55" width="4.57421875" style="68" bestFit="1" customWidth="1"/>
    <col min="56" max="56" width="26.57421875" style="68" bestFit="1" customWidth="1"/>
    <col min="57" max="57" width="11.421875" style="68" bestFit="1" customWidth="1"/>
    <col min="58" max="58" width="4.57421875" style="68" bestFit="1" customWidth="1"/>
    <col min="59" max="59" width="11.140625" style="68" bestFit="1" customWidth="1"/>
    <col min="60" max="60" width="6.7109375" style="68" bestFit="1" customWidth="1"/>
    <col min="61" max="61" width="45.57421875" style="68" bestFit="1" customWidth="1"/>
    <col min="62" max="62" width="10.28125" style="68" bestFit="1" customWidth="1"/>
    <col min="63" max="63" width="9.421875" style="68" bestFit="1" customWidth="1"/>
    <col min="64" max="64" width="4.57421875" style="68" bestFit="1" customWidth="1"/>
    <col min="65" max="65" width="8.421875" style="68" bestFit="1" customWidth="1"/>
    <col min="66" max="66" width="4.57421875" style="68" bestFit="1" customWidth="1"/>
    <col min="67" max="67" width="15.421875" style="68" bestFit="1" customWidth="1"/>
    <col min="68" max="68" width="4.57421875" style="68" bestFit="1" customWidth="1"/>
    <col min="69" max="69" width="18.28125" style="68" bestFit="1" customWidth="1"/>
    <col min="70" max="70" width="6.8515625" style="68" bestFit="1" customWidth="1"/>
    <col min="71" max="71" width="14.00390625" style="68" customWidth="1"/>
    <col min="72" max="72" width="13.8515625" style="68" customWidth="1"/>
    <col min="73" max="73" width="17.28125" style="68" customWidth="1"/>
    <col min="74" max="16384" width="9.00390625" style="68" customWidth="1"/>
  </cols>
  <sheetData>
    <row r="1" spans="1:28" s="63" customFormat="1" ht="13.5">
      <c r="A1" s="62"/>
      <c r="M1" s="64"/>
      <c r="N1" s="65"/>
      <c r="P1" s="62"/>
      <c r="R1" s="62"/>
      <c r="X1" s="62"/>
      <c r="Y1" s="62"/>
      <c r="Z1" s="62"/>
      <c r="AB1" s="66"/>
    </row>
    <row r="2" spans="1:28" s="63" customFormat="1" ht="13.5">
      <c r="A2" s="62"/>
      <c r="B2" s="58"/>
      <c r="M2" s="64"/>
      <c r="N2" s="65"/>
      <c r="P2" s="62"/>
      <c r="R2" s="62"/>
      <c r="X2" s="62"/>
      <c r="Y2" s="62"/>
      <c r="Z2" s="62"/>
      <c r="AB2" s="66"/>
    </row>
    <row r="3" spans="1:40" s="63" customFormat="1" ht="24">
      <c r="A3" s="62"/>
      <c r="M3" s="64"/>
      <c r="N3" s="65"/>
      <c r="P3" s="62"/>
      <c r="R3" s="62"/>
      <c r="X3" s="62"/>
      <c r="Y3" s="62"/>
      <c r="Z3" s="62"/>
      <c r="AB3" s="66"/>
      <c r="AF3" s="145"/>
      <c r="AG3" s="145"/>
      <c r="AH3" s="145"/>
      <c r="AI3" s="145"/>
      <c r="AJ3" s="145"/>
      <c r="AN3" s="67"/>
    </row>
    <row r="4" spans="2:39" ht="24">
      <c r="B4" s="144" t="s">
        <v>180</v>
      </c>
      <c r="C4" s="50"/>
      <c r="D4" s="50"/>
      <c r="E4" s="50"/>
      <c r="F4" s="50"/>
      <c r="L4" s="50"/>
      <c r="M4" s="50"/>
      <c r="N4" s="50"/>
      <c r="AF4" s="145"/>
      <c r="AG4" s="145"/>
      <c r="AH4" s="145"/>
      <c r="AI4" s="145"/>
      <c r="AJ4" s="145"/>
      <c r="AK4" s="145"/>
      <c r="AL4" s="67"/>
      <c r="AM4" s="67"/>
    </row>
    <row r="5" spans="2:39" ht="24">
      <c r="B5" s="69"/>
      <c r="D5" s="561"/>
      <c r="E5" s="561"/>
      <c r="F5" s="561"/>
      <c r="G5" s="561"/>
      <c r="L5" s="561"/>
      <c r="M5" s="561"/>
      <c r="N5" s="561"/>
      <c r="O5" s="561"/>
      <c r="AA5" s="70"/>
      <c r="AB5" s="71"/>
      <c r="AC5" s="71"/>
      <c r="AF5" s="560" t="str">
        <f>"（事業者名　：　"&amp;'基本情報入力（使い方）'!C12&amp;")"</f>
        <v>（事業者名　：　Ｂ金属株式会社)</v>
      </c>
      <c r="AG5" s="560"/>
      <c r="AH5" s="560"/>
      <c r="AI5" s="560"/>
      <c r="AJ5" s="560"/>
      <c r="AK5" s="560"/>
      <c r="AL5" s="67"/>
      <c r="AM5" s="67"/>
    </row>
    <row r="6" spans="2:70" s="63" customFormat="1" ht="17.25" customHeight="1">
      <c r="B6" s="240"/>
      <c r="C6" s="241"/>
      <c r="D6" s="242"/>
      <c r="E6" s="242"/>
      <c r="F6" s="242"/>
      <c r="G6" s="242"/>
      <c r="H6" s="242"/>
      <c r="I6" s="242"/>
      <c r="J6" s="242"/>
      <c r="K6" s="242"/>
      <c r="L6" s="243"/>
      <c r="M6" s="244"/>
      <c r="N6" s="244"/>
      <c r="O6" s="244"/>
      <c r="P6" s="244"/>
      <c r="Q6" s="244"/>
      <c r="R6" s="244"/>
      <c r="S6" s="244"/>
      <c r="T6" s="244"/>
      <c r="U6" s="245" t="s">
        <v>181</v>
      </c>
      <c r="V6" s="50"/>
      <c r="W6" s="50"/>
      <c r="X6" s="73"/>
      <c r="Y6" s="68"/>
      <c r="Z6" s="68"/>
      <c r="AA6" s="551" t="s">
        <v>33</v>
      </c>
      <c r="AB6" s="410" t="s">
        <v>80</v>
      </c>
      <c r="AC6" s="411"/>
      <c r="AD6" s="412"/>
      <c r="AE6" s="68"/>
      <c r="AF6" s="508" t="s">
        <v>33</v>
      </c>
      <c r="AG6" s="493" t="s">
        <v>118</v>
      </c>
      <c r="AH6" s="494"/>
      <c r="AI6" s="494"/>
      <c r="AJ6" s="494"/>
      <c r="AK6" s="495"/>
      <c r="AL6" s="508" t="s">
        <v>33</v>
      </c>
      <c r="AM6" s="493" t="s">
        <v>118</v>
      </c>
      <c r="AN6" s="494"/>
      <c r="AO6" s="494"/>
      <c r="AP6" s="495"/>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row>
    <row r="7" spans="1:70" s="63" customFormat="1" ht="33" customHeight="1">
      <c r="A7" s="68"/>
      <c r="B7" s="577" t="s">
        <v>182</v>
      </c>
      <c r="C7" s="577"/>
      <c r="D7" s="578" t="str">
        <f>"（事業者名　：　"&amp;'基本情報入力（使い方）'!C12&amp;")　　"&amp;事業類型&amp;"　"&amp;AB18&amp;"  "&amp;AB19</f>
        <v>（事業者名　：　Ｂ金属株式会社)　　革新的サービス　一般型  専門家活用あり</v>
      </c>
      <c r="E7" s="578" t="e">
        <f>"（事業者名　：　"&amp;基本情報入力（使い方）!#REF!&amp;")　　"&amp;事業類型&amp;"　"&amp;AC32&amp;"  "&amp;AC34</f>
        <v>#REF!</v>
      </c>
      <c r="F7" s="578" t="e">
        <f>"（事業者名　：　"&amp;基本情報入力（使い方）!#REF!&amp;")　　"&amp;事業類型&amp;"　"&amp;AD32&amp;"  "&amp;AD34</f>
        <v>#REF!</v>
      </c>
      <c r="G7" s="578" t="e">
        <f>"（事業者名　：　"&amp;基本情報入力（使い方）!#REF!&amp;")　　"&amp;事業類型&amp;"　"&amp;AE32&amp;"  "&amp;AE34</f>
        <v>#REF!</v>
      </c>
      <c r="H7" s="578" t="e">
        <f>"（事業者名　：　"&amp;基本情報入力（使い方）!#REF!&amp;")　　"&amp;事業類型&amp;"　"&amp;AF32&amp;"  "&amp;AF33</f>
        <v>#REF!</v>
      </c>
      <c r="I7" s="578" t="e">
        <f>"（事業者名　：　"&amp;基本情報入力（使い方）!#REF!&amp;")　　"&amp;事業類型&amp;"　"&amp;AG32&amp;"  "&amp;AG33</f>
        <v>#REF!</v>
      </c>
      <c r="J7" s="578" t="e">
        <f>"（事業者名　：　"&amp;基本情報入力（使い方）!#REF!&amp;")　　"&amp;事業類型&amp;"　"&amp;AH32&amp;"  "&amp;AH33</f>
        <v>#REF!</v>
      </c>
      <c r="K7" s="578" t="e">
        <f>"（事業者名　：　"&amp;基本情報入力（使い方）!#REF!&amp;")　　"&amp;事業類型&amp;"　"&amp;AI32&amp;"  "&amp;AI33</f>
        <v>#REF!</v>
      </c>
      <c r="L7" s="578" t="e">
        <f>"（事業者名　：　"&amp;基本情報入力（使い方）!#REF!&amp;")　　"&amp;事業類型&amp;"　"&amp;AJ32&amp;"  "&amp;AJ33</f>
        <v>#REF!</v>
      </c>
      <c r="M7" s="578" t="e">
        <f>"（事業者名　：　"&amp;基本情報入力（使い方）!#REF!&amp;")　　"&amp;事業類型&amp;"　"&amp;AK32&amp;"  "&amp;AK33</f>
        <v>#REF!</v>
      </c>
      <c r="N7" s="578" t="e">
        <f>"（事業者名　：　"&amp;基本情報入力（使い方）!#REF!&amp;")　　"&amp;事業類型&amp;"　"&amp;AL32&amp;"  "&amp;AL33</f>
        <v>#REF!</v>
      </c>
      <c r="O7" s="578" t="e">
        <f>"（事業者名　：　"&amp;基本情報入力（使い方）!#REF!&amp;")　　"&amp;事業類型&amp;"　"&amp;AM32&amp;"  "&amp;AM33</f>
        <v>#REF!</v>
      </c>
      <c r="P7" s="578" t="e">
        <f>"（事業者名　：　"&amp;基本情報入力（使い方）!#REF!&amp;")　　"&amp;事業類型&amp;"　"&amp;AO32&amp;"  "&amp;AO33</f>
        <v>#REF!</v>
      </c>
      <c r="Q7" s="578" t="e">
        <f>"（事業者名　：　"&amp;基本情報入力（使い方）!#REF!&amp;")　　"&amp;事業類型&amp;"　"&amp;#REF!&amp;"  "&amp;#REF!</f>
        <v>#REF!</v>
      </c>
      <c r="R7" s="578" t="e">
        <f>"（事業者名　：　"&amp;基本情報入力（使い方）!#REF!&amp;")　　"&amp;事業類型&amp;"　"&amp;AQ34&amp;"  "&amp;AQ35</f>
        <v>#REF!</v>
      </c>
      <c r="S7" s="578" t="e">
        <f>"（事業者名　：　"&amp;基本情報入力（使い方）!#REF!&amp;")　　"&amp;事業類型&amp;"　"&amp;#REF!&amp;"  "&amp;#REF!</f>
        <v>#REF!</v>
      </c>
      <c r="T7" s="578" t="e">
        <f>"（事業者名　：　"&amp;基本情報入力（使い方）!#REF!&amp;")　　"&amp;事業類型&amp;"　"&amp;#REF!&amp;"  "&amp;#REF!</f>
        <v>#REF!</v>
      </c>
      <c r="U7" s="578" t="e">
        <f>"（事業者名　：　"&amp;基本情報入力（使い方）!#REF!&amp;")　　"&amp;事業類型&amp;"　"&amp;#REF!&amp;"  "&amp;#REF!</f>
        <v>#REF!</v>
      </c>
      <c r="V7" s="246"/>
      <c r="W7" s="72"/>
      <c r="X7" s="72"/>
      <c r="Y7" s="68"/>
      <c r="Z7" s="68"/>
      <c r="AA7" s="552"/>
      <c r="AB7" s="615" t="str">
        <f>事業類型&amp;":"&amp;$AB$18</f>
        <v>革新的サービス:一般型</v>
      </c>
      <c r="AC7" s="616"/>
      <c r="AD7" s="617"/>
      <c r="AE7" s="68"/>
      <c r="AF7" s="509"/>
      <c r="AG7" s="496"/>
      <c r="AH7" s="497"/>
      <c r="AI7" s="497"/>
      <c r="AJ7" s="497"/>
      <c r="AK7" s="498"/>
      <c r="AL7" s="509"/>
      <c r="AM7" s="496"/>
      <c r="AN7" s="497"/>
      <c r="AO7" s="497"/>
      <c r="AP7" s="49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row>
    <row r="8" spans="2:42" ht="30" customHeight="1">
      <c r="B8" s="579" t="s">
        <v>183</v>
      </c>
      <c r="C8" s="580"/>
      <c r="D8" s="585" t="s">
        <v>184</v>
      </c>
      <c r="E8" s="586"/>
      <c r="F8" s="586"/>
      <c r="G8" s="586"/>
      <c r="H8" s="586"/>
      <c r="I8" s="586"/>
      <c r="J8" s="586"/>
      <c r="K8" s="587"/>
      <c r="L8" s="588" t="s">
        <v>185</v>
      </c>
      <c r="M8" s="586"/>
      <c r="N8" s="586"/>
      <c r="O8" s="586"/>
      <c r="P8" s="586"/>
      <c r="Q8" s="586"/>
      <c r="R8" s="586"/>
      <c r="S8" s="586"/>
      <c r="T8" s="586"/>
      <c r="U8" s="589"/>
      <c r="V8" s="246"/>
      <c r="W8" s="72"/>
      <c r="X8" s="72"/>
      <c r="AA8" s="413"/>
      <c r="AB8" s="410" t="s">
        <v>36</v>
      </c>
      <c r="AC8" s="414"/>
      <c r="AD8" s="74"/>
      <c r="AF8" s="409" t="s">
        <v>137</v>
      </c>
      <c r="AG8" s="487" t="s">
        <v>274</v>
      </c>
      <c r="AH8" s="488"/>
      <c r="AI8" s="488"/>
      <c r="AJ8" s="488"/>
      <c r="AK8" s="489"/>
      <c r="AL8" s="431" t="s">
        <v>161</v>
      </c>
      <c r="AM8" s="499" t="s">
        <v>251</v>
      </c>
      <c r="AN8" s="500"/>
      <c r="AO8" s="500"/>
      <c r="AP8" s="501"/>
    </row>
    <row r="9" spans="2:42" ht="30" customHeight="1">
      <c r="B9" s="581"/>
      <c r="C9" s="582"/>
      <c r="D9" s="402"/>
      <c r="E9" s="403" t="s">
        <v>196</v>
      </c>
      <c r="F9" s="404"/>
      <c r="G9" s="405"/>
      <c r="H9" s="590" t="s">
        <v>197</v>
      </c>
      <c r="I9" s="591"/>
      <c r="J9" s="590" t="str">
        <f>"C=Ｂ×"&amp;補助名&amp;"以内"</f>
        <v>C=Ｂ×２／３以内</v>
      </c>
      <c r="K9" s="592"/>
      <c r="L9" s="406"/>
      <c r="M9" s="403" t="s">
        <v>196</v>
      </c>
      <c r="N9" s="404"/>
      <c r="O9" s="405"/>
      <c r="P9" s="407"/>
      <c r="Q9" s="405"/>
      <c r="R9" s="407"/>
      <c r="S9" s="407" t="s">
        <v>197</v>
      </c>
      <c r="T9" s="407"/>
      <c r="U9" s="407" t="str">
        <f>"C=Ｂ×"&amp;補助名&amp;"以内"</f>
        <v>C=Ｂ×２／３以内</v>
      </c>
      <c r="V9" s="239"/>
      <c r="W9" s="239"/>
      <c r="X9" s="239"/>
      <c r="AA9" s="415" t="str">
        <f>BC27</f>
        <v>○</v>
      </c>
      <c r="AB9" s="416"/>
      <c r="AC9" s="417"/>
      <c r="AD9" s="437">
        <f>補助上限額</f>
        <v>10300000</v>
      </c>
      <c r="AF9" s="429" t="str">
        <f>IF(OR(AG28="×",AG29="×",AG33="×",AG30="×",AG34="×",AG35="×",AG36="×",AG32="×",AG31="×",AG37="×"),"×","○")</f>
        <v>○</v>
      </c>
      <c r="AG9" s="490"/>
      <c r="AH9" s="491"/>
      <c r="AI9" s="491"/>
      <c r="AJ9" s="491"/>
      <c r="AK9" s="492"/>
      <c r="AL9" s="429" t="str">
        <f>IF(OR('基本情報入力（使い方）'!E38="",'基本情報入力（使い方）'!E38=0),"×",IF(OR(I22&gt;AM9,S22&gt;AM9),"×","○"))</f>
        <v>○</v>
      </c>
      <c r="AM9" s="502">
        <f>IF(OR('基本情報入力（使い方）'!E38="",'基本情報入力（使い方）'!E38=0),"基本情報入力（使い方）の５で総額を入力してください",'基本情報入力（使い方）'!E38)</f>
        <v>20700022</v>
      </c>
      <c r="AN9" s="503"/>
      <c r="AO9" s="503"/>
      <c r="AP9" s="504"/>
    </row>
    <row r="10" spans="2:42" ht="30" customHeight="1">
      <c r="B10" s="581"/>
      <c r="C10" s="582"/>
      <c r="D10" s="593" t="s">
        <v>186</v>
      </c>
      <c r="E10" s="594"/>
      <c r="F10" s="594"/>
      <c r="G10" s="595"/>
      <c r="H10" s="596" t="s">
        <v>77</v>
      </c>
      <c r="I10" s="597"/>
      <c r="J10" s="603" t="s">
        <v>187</v>
      </c>
      <c r="K10" s="604"/>
      <c r="L10" s="604" t="s">
        <v>75</v>
      </c>
      <c r="M10" s="605"/>
      <c r="N10" s="596" t="s">
        <v>76</v>
      </c>
      <c r="O10" s="597"/>
      <c r="P10" s="593" t="s">
        <v>188</v>
      </c>
      <c r="Q10" s="594"/>
      <c r="R10" s="594"/>
      <c r="S10" s="595"/>
      <c r="T10" s="593" t="s">
        <v>189</v>
      </c>
      <c r="U10" s="595"/>
      <c r="V10" s="239"/>
      <c r="W10" s="239"/>
      <c r="X10" s="239"/>
      <c r="AA10" s="413"/>
      <c r="AB10" s="410" t="s">
        <v>121</v>
      </c>
      <c r="AC10" s="414"/>
      <c r="AD10" s="74"/>
      <c r="AF10" s="431" t="s">
        <v>138</v>
      </c>
      <c r="AG10" s="568" t="s">
        <v>136</v>
      </c>
      <c r="AH10" s="569"/>
      <c r="AI10" s="569"/>
      <c r="AJ10" s="569"/>
      <c r="AK10" s="570"/>
      <c r="AL10" s="431" t="s">
        <v>252</v>
      </c>
      <c r="AM10" s="499" t="s">
        <v>253</v>
      </c>
      <c r="AN10" s="500"/>
      <c r="AO10" s="500"/>
      <c r="AP10" s="501"/>
    </row>
    <row r="11" spans="2:42" ht="30" customHeight="1">
      <c r="B11" s="583"/>
      <c r="C11" s="584"/>
      <c r="D11" s="598" t="s">
        <v>190</v>
      </c>
      <c r="E11" s="599"/>
      <c r="F11" s="598" t="s">
        <v>191</v>
      </c>
      <c r="G11" s="599"/>
      <c r="H11" s="598" t="s">
        <v>192</v>
      </c>
      <c r="I11" s="599"/>
      <c r="J11" s="618" t="s">
        <v>193</v>
      </c>
      <c r="K11" s="619"/>
      <c r="L11" s="619" t="s">
        <v>194</v>
      </c>
      <c r="M11" s="620"/>
      <c r="N11" s="598" t="s">
        <v>195</v>
      </c>
      <c r="O11" s="599"/>
      <c r="P11" s="598" t="s">
        <v>284</v>
      </c>
      <c r="Q11" s="599"/>
      <c r="R11" s="598" t="s">
        <v>285</v>
      </c>
      <c r="S11" s="599"/>
      <c r="T11" s="598" t="s">
        <v>193</v>
      </c>
      <c r="U11" s="599"/>
      <c r="V11" s="239"/>
      <c r="W11" s="239"/>
      <c r="X11" s="239"/>
      <c r="AA11" s="418" t="str">
        <f>BC28</f>
        <v>○</v>
      </c>
      <c r="AB11" s="416"/>
      <c r="AC11" s="417"/>
      <c r="AD11" s="437">
        <f>補助下限額</f>
        <v>1000000</v>
      </c>
      <c r="AF11" s="429" t="str">
        <f>IF(OR(AH28="×",AH29="×",AH33="×",AH30="×",AH34="×",AH35="×",AH36="×",AH32="×",AH31="×",AH37="×"),"×","○")</f>
        <v>○</v>
      </c>
      <c r="AG11" s="571"/>
      <c r="AH11" s="572"/>
      <c r="AI11" s="572"/>
      <c r="AJ11" s="572"/>
      <c r="AK11" s="573"/>
      <c r="AL11" s="429" t="str">
        <f>IF(OR('基本情報入力（使い方）'!E39="",'基本情報入力（使い方）'!E39=0),"×",IF(OR(U22&gt;AM11,K22&gt;AM11),"×","○"))</f>
        <v>○</v>
      </c>
      <c r="AM11" s="505">
        <f>IF(OR('基本情報入力（使い方）'!E39="",'基本情報入力（使い方）'!E39=0),"基本情報入力（使い方）の５で総額を入力してください",'基本情報入力（使い方）'!E39)</f>
        <v>10300000</v>
      </c>
      <c r="AN11" s="506"/>
      <c r="AO11" s="506"/>
      <c r="AP11" s="507"/>
    </row>
    <row r="12" spans="1:40" ht="30" customHeight="1">
      <c r="A12" s="50"/>
      <c r="B12" s="600" t="s">
        <v>133</v>
      </c>
      <c r="C12" s="601"/>
      <c r="D12" s="75"/>
      <c r="E12" s="265">
        <v>7857023</v>
      </c>
      <c r="F12" s="266"/>
      <c r="G12" s="267">
        <v>7275022</v>
      </c>
      <c r="H12" s="268"/>
      <c r="I12" s="267">
        <v>7275022</v>
      </c>
      <c r="J12" s="268" t="s">
        <v>159</v>
      </c>
      <c r="K12" s="269">
        <v>4850014</v>
      </c>
      <c r="L12" s="75"/>
      <c r="M12" s="76">
        <f>'機械装置費（50万円以上）'!K23</f>
        <v>7857023</v>
      </c>
      <c r="N12" s="77"/>
      <c r="O12" s="78">
        <f>'機械装置費（50万円以上）'!L23</f>
        <v>7275022</v>
      </c>
      <c r="P12" s="79"/>
      <c r="Q12" s="78">
        <f>'機械装置費（50万円以上）'!M23</f>
        <v>7275022</v>
      </c>
      <c r="R12" s="79"/>
      <c r="S12" s="267">
        <v>7275022</v>
      </c>
      <c r="T12" s="79">
        <f aca="true" t="shared" si="0" ref="T12:T21">IF(U12&gt;Q12*補助率,"×","")</f>
      </c>
      <c r="U12" s="282">
        <f>AD28</f>
        <v>4850014</v>
      </c>
      <c r="V12" s="85"/>
      <c r="W12" s="72"/>
      <c r="X12" s="72"/>
      <c r="AF12" s="430" t="s">
        <v>139</v>
      </c>
      <c r="AG12" s="499" t="s">
        <v>146</v>
      </c>
      <c r="AH12" s="500"/>
      <c r="AI12" s="500"/>
      <c r="AJ12" s="500"/>
      <c r="AK12" s="501"/>
      <c r="AN12" s="40"/>
    </row>
    <row r="13" spans="2:40" ht="30" customHeight="1">
      <c r="B13" s="515" t="s">
        <v>134</v>
      </c>
      <c r="C13" s="516"/>
      <c r="D13" s="80"/>
      <c r="E13" s="270">
        <v>8208000</v>
      </c>
      <c r="F13" s="271"/>
      <c r="G13" s="272">
        <v>7600000</v>
      </c>
      <c r="H13" s="273"/>
      <c r="I13" s="272">
        <v>7600000</v>
      </c>
      <c r="J13" s="273" t="s">
        <v>159</v>
      </c>
      <c r="K13" s="274">
        <v>5066654</v>
      </c>
      <c r="L13" s="80"/>
      <c r="M13" s="81">
        <f>'機械装置費（50万円未満）'!K23</f>
        <v>8208000</v>
      </c>
      <c r="N13" s="82"/>
      <c r="O13" s="83">
        <f>'機械装置費（50万円未満）'!L23</f>
        <v>7600000</v>
      </c>
      <c r="P13" s="84"/>
      <c r="Q13" s="83">
        <f>'機械装置費（50万円未満）'!M23</f>
        <v>7600000</v>
      </c>
      <c r="R13" s="84"/>
      <c r="S13" s="272">
        <v>7600000</v>
      </c>
      <c r="T13" s="84">
        <f t="shared" si="0"/>
      </c>
      <c r="U13" s="283">
        <f aca="true" t="shared" si="1" ref="U13:U21">AD29</f>
        <v>5066654</v>
      </c>
      <c r="V13" s="85"/>
      <c r="W13" s="86"/>
      <c r="X13" s="247"/>
      <c r="AF13" s="415" t="str">
        <f>IF(OR(AI28="×",AI29="×",AI33="×",AI30="×",AI34="×",AI35="×",AI36="×",AI32="×",AI31="×",AI37="×"),"×",BC29)</f>
        <v>○</v>
      </c>
      <c r="AG13" s="574" t="str">
        <f>"("&amp;BA29&amp;")"</f>
        <v>(機械装置費で補助対象経費にして単価５０万円以上の設備投資が必要)</v>
      </c>
      <c r="AH13" s="575"/>
      <c r="AI13" s="575"/>
      <c r="AJ13" s="575"/>
      <c r="AK13" s="576"/>
      <c r="AN13" s="40"/>
    </row>
    <row r="14" spans="2:39" ht="30" customHeight="1" thickBot="1">
      <c r="B14" s="515" t="s">
        <v>23</v>
      </c>
      <c r="C14" s="516"/>
      <c r="D14" s="80"/>
      <c r="E14" s="270">
        <v>5522040</v>
      </c>
      <c r="F14" s="271"/>
      <c r="G14" s="272">
        <v>5113000</v>
      </c>
      <c r="H14" s="273"/>
      <c r="I14" s="272">
        <v>5113000</v>
      </c>
      <c r="J14" s="273" t="s">
        <v>159</v>
      </c>
      <c r="K14" s="274">
        <v>336479</v>
      </c>
      <c r="L14" s="80"/>
      <c r="M14" s="81">
        <f>'技術導入費'!K23</f>
        <v>5522040</v>
      </c>
      <c r="N14" s="82"/>
      <c r="O14" s="83">
        <f>'技術導入費'!L23</f>
        <v>5113000</v>
      </c>
      <c r="P14" s="84"/>
      <c r="Q14" s="83">
        <f>'技術導入費'!M23</f>
        <v>5113000</v>
      </c>
      <c r="R14" s="84"/>
      <c r="S14" s="272">
        <v>5113000</v>
      </c>
      <c r="T14" s="84">
        <f t="shared" si="0"/>
      </c>
      <c r="U14" s="283">
        <f t="shared" si="1"/>
        <v>336479</v>
      </c>
      <c r="V14" s="86"/>
      <c r="AA14" s="47" t="s">
        <v>51</v>
      </c>
      <c r="AB14" s="48"/>
      <c r="AC14" s="48"/>
      <c r="AD14" s="138"/>
      <c r="AF14" s="431" t="s">
        <v>141</v>
      </c>
      <c r="AG14" s="568" t="s">
        <v>140</v>
      </c>
      <c r="AH14" s="569"/>
      <c r="AI14" s="569"/>
      <c r="AJ14" s="569"/>
      <c r="AK14" s="570"/>
      <c r="AL14" s="40"/>
      <c r="AM14" s="40"/>
    </row>
    <row r="15" spans="2:39" ht="30" customHeight="1" thickTop="1">
      <c r="B15" s="515" t="s">
        <v>71</v>
      </c>
      <c r="C15" s="516"/>
      <c r="D15" s="80"/>
      <c r="E15" s="270">
        <v>486000</v>
      </c>
      <c r="F15" s="271"/>
      <c r="G15" s="272">
        <v>450000</v>
      </c>
      <c r="H15" s="273"/>
      <c r="I15" s="272">
        <v>450000</v>
      </c>
      <c r="J15" s="273" t="s">
        <v>159</v>
      </c>
      <c r="K15" s="274">
        <v>29613</v>
      </c>
      <c r="L15" s="80"/>
      <c r="M15" s="81">
        <f>'専門家経費'!K23</f>
        <v>594000</v>
      </c>
      <c r="N15" s="82"/>
      <c r="O15" s="83">
        <f>'専門家経費'!L23</f>
        <v>550000</v>
      </c>
      <c r="P15" s="84"/>
      <c r="Q15" s="83">
        <f>'専門家経費'!M23</f>
        <v>550000</v>
      </c>
      <c r="R15" s="84"/>
      <c r="S15" s="272">
        <v>450000</v>
      </c>
      <c r="T15" s="84">
        <f t="shared" si="0"/>
      </c>
      <c r="U15" s="283">
        <f t="shared" si="1"/>
        <v>29613</v>
      </c>
      <c r="V15" s="72"/>
      <c r="AA15" s="54" t="s">
        <v>52</v>
      </c>
      <c r="AB15" s="611" t="s">
        <v>44</v>
      </c>
      <c r="AC15" s="612"/>
      <c r="AD15" s="613"/>
      <c r="AF15" s="429" t="str">
        <f>IF(OR(AJ28="×",AJ29="×",AJ33="×",AJ30="×",AJ34="×",AJ35="×",AJ36="×",AJ32="×",AJ31="×",AJ37="×"),"×",BC30)</f>
        <v>○</v>
      </c>
      <c r="AG15" s="574" t="str">
        <f>"("&amp;BA30&amp;")"</f>
        <v>(機械装置費以外の経費の補助金交付申請額は５００万円以下)</v>
      </c>
      <c r="AH15" s="575"/>
      <c r="AI15" s="575"/>
      <c r="AJ15" s="575"/>
      <c r="AK15" s="576"/>
      <c r="AL15" s="40"/>
      <c r="AM15" s="40"/>
    </row>
    <row r="16" spans="2:39" ht="30" customHeight="1">
      <c r="B16" s="515" t="s">
        <v>26</v>
      </c>
      <c r="C16" s="516"/>
      <c r="D16" s="80"/>
      <c r="E16" s="270">
        <v>12960</v>
      </c>
      <c r="F16" s="271"/>
      <c r="G16" s="272">
        <v>12000</v>
      </c>
      <c r="H16" s="273"/>
      <c r="I16" s="272">
        <v>12000</v>
      </c>
      <c r="J16" s="273" t="s">
        <v>159</v>
      </c>
      <c r="K16" s="274">
        <v>789</v>
      </c>
      <c r="L16" s="80"/>
      <c r="M16" s="81">
        <f>'運搬費'!K23</f>
        <v>12960</v>
      </c>
      <c r="N16" s="82"/>
      <c r="O16" s="83">
        <f>'運搬費'!L23</f>
        <v>12000</v>
      </c>
      <c r="P16" s="84"/>
      <c r="Q16" s="83">
        <f>'運搬費'!M23</f>
        <v>12000</v>
      </c>
      <c r="R16" s="84"/>
      <c r="S16" s="272">
        <v>12000</v>
      </c>
      <c r="T16" s="84">
        <f t="shared" si="0"/>
      </c>
      <c r="U16" s="283">
        <f t="shared" si="1"/>
        <v>789</v>
      </c>
      <c r="V16" s="72"/>
      <c r="AA16" s="55" t="s">
        <v>53</v>
      </c>
      <c r="AB16" s="532">
        <v>0.08</v>
      </c>
      <c r="AC16" s="533"/>
      <c r="AD16" s="534"/>
      <c r="AF16" s="431" t="s">
        <v>145</v>
      </c>
      <c r="AG16" s="562" t="s">
        <v>275</v>
      </c>
      <c r="AH16" s="563"/>
      <c r="AI16" s="563"/>
      <c r="AJ16" s="563"/>
      <c r="AK16" s="564"/>
      <c r="AL16" s="40"/>
      <c r="AM16" s="40"/>
    </row>
    <row r="17" spans="2:37" ht="30" customHeight="1">
      <c r="B17" s="515" t="s">
        <v>212</v>
      </c>
      <c r="C17" s="516"/>
      <c r="D17" s="80"/>
      <c r="E17" s="270">
        <v>270000</v>
      </c>
      <c r="F17" s="271"/>
      <c r="G17" s="272">
        <v>250000</v>
      </c>
      <c r="H17" s="273"/>
      <c r="I17" s="272">
        <v>250000</v>
      </c>
      <c r="J17" s="273" t="s">
        <v>159</v>
      </c>
      <c r="K17" s="274">
        <v>16451</v>
      </c>
      <c r="L17" s="80"/>
      <c r="M17" s="81">
        <f>'クラウド利用費'!K23</f>
        <v>270000</v>
      </c>
      <c r="N17" s="82"/>
      <c r="O17" s="83">
        <f>'クラウド利用費'!L23</f>
        <v>250000</v>
      </c>
      <c r="P17" s="84"/>
      <c r="Q17" s="83">
        <f>'クラウド利用費'!M23</f>
        <v>250000</v>
      </c>
      <c r="R17" s="84"/>
      <c r="S17" s="272">
        <v>250000</v>
      </c>
      <c r="T17" s="84">
        <f t="shared" si="0"/>
      </c>
      <c r="U17" s="283">
        <f t="shared" si="1"/>
        <v>16451</v>
      </c>
      <c r="V17" s="72"/>
      <c r="AA17" s="56" t="s">
        <v>54</v>
      </c>
      <c r="AB17" s="519" t="str">
        <f>VLOOKUP('基本情報入力（使い方）'!J16,'設定'!B:C,2)</f>
        <v>革新的サービス</v>
      </c>
      <c r="AC17" s="520"/>
      <c r="AD17" s="521"/>
      <c r="AF17" s="429" t="str">
        <f>AK31</f>
        <v>〇</v>
      </c>
      <c r="AG17" s="565"/>
      <c r="AH17" s="566"/>
      <c r="AI17" s="566"/>
      <c r="AJ17" s="566"/>
      <c r="AK17" s="567"/>
    </row>
    <row r="18" spans="2:39" ht="30" customHeight="1">
      <c r="B18" s="515" t="s">
        <v>123</v>
      </c>
      <c r="C18" s="516"/>
      <c r="D18" s="80"/>
      <c r="E18" s="270">
        <v>0</v>
      </c>
      <c r="F18" s="271"/>
      <c r="G18" s="272">
        <v>0</v>
      </c>
      <c r="H18" s="273"/>
      <c r="I18" s="272">
        <v>0</v>
      </c>
      <c r="J18" s="273" t="s">
        <v>159</v>
      </c>
      <c r="K18" s="274">
        <v>0</v>
      </c>
      <c r="L18" s="80"/>
      <c r="M18" s="81">
        <f>'原材料費'!K23</f>
        <v>0</v>
      </c>
      <c r="N18" s="82"/>
      <c r="O18" s="83">
        <f>'原材料費'!L23</f>
        <v>0</v>
      </c>
      <c r="P18" s="84"/>
      <c r="Q18" s="83">
        <f>'原材料費'!M23</f>
        <v>0</v>
      </c>
      <c r="R18" s="84"/>
      <c r="S18" s="272">
        <v>0</v>
      </c>
      <c r="T18" s="84">
        <f t="shared" si="0"/>
      </c>
      <c r="U18" s="283">
        <f t="shared" si="1"/>
        <v>0</v>
      </c>
      <c r="V18" s="72"/>
      <c r="AA18" s="56"/>
      <c r="AB18" s="519" t="str">
        <f>VLOOKUP('基本情報入力（使い方）'!J21,'設定'!E:H,2)&amp;VLOOKUP('基本情報入力（使い方）'!J21,'設定'!E:H,3)</f>
        <v>一般型</v>
      </c>
      <c r="AC18" s="520"/>
      <c r="AD18" s="521"/>
      <c r="AF18" s="431" t="s">
        <v>160</v>
      </c>
      <c r="AG18" s="487" t="s">
        <v>131</v>
      </c>
      <c r="AH18" s="488"/>
      <c r="AI18" s="488"/>
      <c r="AJ18" s="488"/>
      <c r="AK18" s="489"/>
      <c r="AL18" s="40"/>
      <c r="AM18" s="40"/>
    </row>
    <row r="19" spans="2:39" ht="30" customHeight="1">
      <c r="B19" s="515" t="s">
        <v>124</v>
      </c>
      <c r="C19" s="516"/>
      <c r="D19" s="80"/>
      <c r="E19" s="270">
        <v>0</v>
      </c>
      <c r="F19" s="271"/>
      <c r="G19" s="272">
        <v>0</v>
      </c>
      <c r="H19" s="273"/>
      <c r="I19" s="272">
        <v>0</v>
      </c>
      <c r="J19" s="273" t="s">
        <v>159</v>
      </c>
      <c r="K19" s="274">
        <v>0</v>
      </c>
      <c r="L19" s="80"/>
      <c r="M19" s="81">
        <f>'外注加工費'!K23</f>
        <v>0</v>
      </c>
      <c r="N19" s="82"/>
      <c r="O19" s="83">
        <f>'外注加工費'!L23</f>
        <v>0</v>
      </c>
      <c r="P19" s="84">
        <f>IF(OR(Q19=0,Q19=""),"",IF(BC33="○","",BC33))</f>
      </c>
      <c r="Q19" s="83">
        <f>'外注加工費'!M23</f>
        <v>0</v>
      </c>
      <c r="R19" s="84"/>
      <c r="S19" s="272">
        <v>0</v>
      </c>
      <c r="T19" s="84">
        <f t="shared" si="0"/>
      </c>
      <c r="U19" s="283">
        <f t="shared" si="1"/>
        <v>0</v>
      </c>
      <c r="V19" s="72"/>
      <c r="AA19" s="56"/>
      <c r="AB19" s="519" t="str">
        <f>VLOOKUP('基本情報入力（使い方）'!J31,'設定'!K:M,2)</f>
        <v>専門家活用あり</v>
      </c>
      <c r="AC19" s="520"/>
      <c r="AD19" s="521"/>
      <c r="AF19" s="429" t="str">
        <f>IF(OR(AL28="×",AL29="×",AL34="×",AL30="×",AL35="×",AL36="×",AL37="×",AL32="×",AL31="×",AL33="×"),"×",BC37)</f>
        <v>○</v>
      </c>
      <c r="AG19" s="490"/>
      <c r="AH19" s="491"/>
      <c r="AI19" s="491"/>
      <c r="AJ19" s="491"/>
      <c r="AK19" s="492"/>
      <c r="AL19" s="40"/>
      <c r="AM19" s="40"/>
    </row>
    <row r="20" spans="2:37" ht="30" customHeight="1">
      <c r="B20" s="515" t="s">
        <v>125</v>
      </c>
      <c r="C20" s="516"/>
      <c r="D20" s="80"/>
      <c r="E20" s="270">
        <v>0</v>
      </c>
      <c r="F20" s="271"/>
      <c r="G20" s="272">
        <v>0</v>
      </c>
      <c r="H20" s="273"/>
      <c r="I20" s="272">
        <v>0</v>
      </c>
      <c r="J20" s="273" t="s">
        <v>159</v>
      </c>
      <c r="K20" s="274">
        <v>0</v>
      </c>
      <c r="L20" s="80"/>
      <c r="M20" s="81">
        <f>'委託費'!K23</f>
        <v>0</v>
      </c>
      <c r="N20" s="82"/>
      <c r="O20" s="83">
        <f>'委託費'!L23</f>
        <v>0</v>
      </c>
      <c r="P20" s="84">
        <f>IF(OR(Q20=0,Q20=""),"",IF(BC34="○","",BC34))</f>
      </c>
      <c r="Q20" s="83">
        <f>'委託費'!M23</f>
        <v>0</v>
      </c>
      <c r="R20" s="84"/>
      <c r="S20" s="272">
        <v>0</v>
      </c>
      <c r="T20" s="84">
        <f t="shared" si="0"/>
      </c>
      <c r="U20" s="283">
        <f t="shared" si="1"/>
        <v>0</v>
      </c>
      <c r="V20" s="72"/>
      <c r="AA20" s="56" t="s">
        <v>244</v>
      </c>
      <c r="AB20" s="395" t="str">
        <f>VLOOKUP('基本情報入力（使い方）'!J26,'設定'!P:R,2)</f>
        <v>２／３</v>
      </c>
      <c r="AC20" s="529">
        <f>VLOOKUP('基本情報入力（使い方）'!J26,'設定'!P:R,3)</f>
        <v>0.6666666666666666</v>
      </c>
      <c r="AD20" s="530"/>
      <c r="AF20" s="432"/>
      <c r="AG20" s="500"/>
      <c r="AH20" s="500"/>
      <c r="AI20" s="500"/>
      <c r="AJ20" s="500"/>
      <c r="AK20" s="500"/>
    </row>
    <row r="21" spans="2:39" ht="30" customHeight="1">
      <c r="B21" s="517" t="s">
        <v>126</v>
      </c>
      <c r="C21" s="518"/>
      <c r="D21" s="87"/>
      <c r="E21" s="275">
        <v>0</v>
      </c>
      <c r="F21" s="276"/>
      <c r="G21" s="277">
        <v>0</v>
      </c>
      <c r="H21" s="278"/>
      <c r="I21" s="277">
        <v>0</v>
      </c>
      <c r="J21" s="278" t="s">
        <v>159</v>
      </c>
      <c r="K21" s="279">
        <v>0</v>
      </c>
      <c r="L21" s="87"/>
      <c r="M21" s="88">
        <f>'知的財産権等関連経費'!K23</f>
        <v>0</v>
      </c>
      <c r="N21" s="89"/>
      <c r="O21" s="90">
        <f>'知的財産権等関連経費'!L23</f>
        <v>0</v>
      </c>
      <c r="P21" s="91">
        <f>IF(OR(Q21=0,Q21=""),"",IF(BC36="○","",BC36))</f>
      </c>
      <c r="Q21" s="90">
        <f>'知的財産権等関連経費'!M23</f>
        <v>0</v>
      </c>
      <c r="R21" s="91"/>
      <c r="S21" s="277">
        <v>0</v>
      </c>
      <c r="T21" s="91">
        <f t="shared" si="0"/>
      </c>
      <c r="U21" s="284">
        <f t="shared" si="1"/>
        <v>0</v>
      </c>
      <c r="AA21" s="56" t="s">
        <v>55</v>
      </c>
      <c r="AB21" s="539">
        <f>VLOOKUP('基本情報入力（使い方）'!J21,'設定'!E:H,4)+VLOOKUP('基本情報入力（使い方）'!J31,'設定'!K:M,3)</f>
        <v>10300000</v>
      </c>
      <c r="AC21" s="540"/>
      <c r="AD21" s="205" t="s">
        <v>148</v>
      </c>
      <c r="AF21" s="433"/>
      <c r="AG21" s="528"/>
      <c r="AH21" s="528"/>
      <c r="AI21" s="528"/>
      <c r="AJ21" s="528"/>
      <c r="AK21" s="528"/>
      <c r="AL21" s="40"/>
      <c r="AM21" s="40"/>
    </row>
    <row r="22" spans="2:34" ht="20.25" customHeight="1" thickBot="1">
      <c r="B22" s="556" t="s">
        <v>56</v>
      </c>
      <c r="C22" s="557"/>
      <c r="D22" s="251" t="s">
        <v>201</v>
      </c>
      <c r="E22" s="396">
        <f>SUM(E12:E21)</f>
        <v>22356023</v>
      </c>
      <c r="F22" s="396"/>
      <c r="G22" s="396">
        <f>SUM(G12:G21)</f>
        <v>20700022</v>
      </c>
      <c r="H22" s="397" t="str">
        <f>IF(OR('基本情報入力（使い方）'!E38="",'基本情報入力（使い方）'!E38=0),"×",IF(I22&gt;AM9,"×","○"))</f>
        <v>○</v>
      </c>
      <c r="I22" s="396">
        <f>SUM(I12:I21)</f>
        <v>20700022</v>
      </c>
      <c r="J22" s="397" t="str">
        <f>IF(OR('基本情報入力（使い方）'!E39="",'基本情報入力（使い方）'!E39=0),"×",IF(K22&gt;AM11,"×","○"))</f>
        <v>○</v>
      </c>
      <c r="K22" s="398">
        <f>SUM(K12:K21)</f>
        <v>10300000</v>
      </c>
      <c r="L22" s="399" t="s">
        <v>198</v>
      </c>
      <c r="M22" s="400">
        <f>SUM(M12:M21)</f>
        <v>22464023</v>
      </c>
      <c r="N22" s="396"/>
      <c r="O22" s="396">
        <f>SUM(O12:O21)</f>
        <v>20800022</v>
      </c>
      <c r="P22" s="401"/>
      <c r="Q22" s="396">
        <f>SUM(Q12:Q21)</f>
        <v>20800022</v>
      </c>
      <c r="R22" s="401" t="str">
        <f>IF(OR('基本情報入力（使い方）'!E38="",'基本情報入力（使い方）'!E38=0),"×",IF(S22&gt;AM9,"×","○"))</f>
        <v>○</v>
      </c>
      <c r="S22" s="396">
        <f>SUM(S12:S21)</f>
        <v>20700022</v>
      </c>
      <c r="T22" s="401" t="str">
        <f>IF(OR('基本情報入力（使い方）'!E39="",'基本情報入力（使い方）'!E39=0),"×",IF(U22&gt;AM11,"×","○"))</f>
        <v>○</v>
      </c>
      <c r="U22" s="396">
        <f>SUM(U12:U21)</f>
        <v>10300000</v>
      </c>
      <c r="V22" s="239"/>
      <c r="W22" s="239"/>
      <c r="X22" s="239"/>
      <c r="AA22" s="57" t="s">
        <v>121</v>
      </c>
      <c r="AB22" s="541">
        <f>VLOOKUP('基本情報入力（使い方）'!J21,'設定'!E:I,5)</f>
        <v>1000000</v>
      </c>
      <c r="AC22" s="542"/>
      <c r="AD22" s="142" t="s">
        <v>148</v>
      </c>
      <c r="AG22" s="68"/>
      <c r="AH22" s="68"/>
    </row>
    <row r="23" spans="2:34" ht="30" customHeight="1" thickTop="1">
      <c r="B23" s="558"/>
      <c r="C23" s="559"/>
      <c r="D23" s="143"/>
      <c r="E23" s="248"/>
      <c r="F23" s="248"/>
      <c r="G23" s="248"/>
      <c r="H23" s="248"/>
      <c r="I23" s="249" t="s">
        <v>199</v>
      </c>
      <c r="J23" s="248"/>
      <c r="K23" s="250"/>
      <c r="L23" s="252"/>
      <c r="M23" s="408"/>
      <c r="N23" s="248"/>
      <c r="O23" s="248"/>
      <c r="P23" s="248"/>
      <c r="Q23" s="249" t="s">
        <v>200</v>
      </c>
      <c r="R23" s="248"/>
      <c r="S23" s="253"/>
      <c r="T23" s="248"/>
      <c r="U23" s="248"/>
      <c r="V23" s="45"/>
      <c r="W23" s="45"/>
      <c r="AG23" s="68"/>
      <c r="AH23" s="68"/>
    </row>
    <row r="24" spans="3:42" ht="30" customHeight="1" thickBot="1">
      <c r="C24" s="52"/>
      <c r="D24" s="52"/>
      <c r="E24" s="52"/>
      <c r="F24" s="52"/>
      <c r="G24" s="52"/>
      <c r="H24" s="52"/>
      <c r="I24" s="52"/>
      <c r="J24" s="52"/>
      <c r="K24" s="52"/>
      <c r="L24" s="52"/>
      <c r="M24" s="45"/>
      <c r="N24" s="45"/>
      <c r="O24" s="610">
        <f>'基本情報入力（使い方）'!E39</f>
        <v>10300000</v>
      </c>
      <c r="P24" s="610"/>
      <c r="Q24" s="610"/>
      <c r="R24" s="610"/>
      <c r="S24" s="610"/>
      <c r="T24" s="610"/>
      <c r="U24" s="610"/>
      <c r="X24" s="46"/>
      <c r="Z24" s="85"/>
      <c r="AA24" s="69" t="s">
        <v>58</v>
      </c>
      <c r="AB24" s="93"/>
      <c r="AC24" s="93"/>
      <c r="AD24" s="94"/>
      <c r="AE24" s="95"/>
      <c r="AF24" s="96"/>
      <c r="AG24" s="69"/>
      <c r="AH24" s="96"/>
      <c r="AI24" s="96"/>
      <c r="AJ24" s="144"/>
      <c r="AO24" s="97"/>
      <c r="AP24" s="97"/>
    </row>
    <row r="25" spans="1:55" s="50" customFormat="1" ht="30" customHeight="1" thickTop="1">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3"/>
      <c r="AA25" s="98" t="str">
        <f>"B×"&amp;補助名&amp;"以内"</f>
        <v>B×２／３以内</v>
      </c>
      <c r="AB25" s="606" t="s">
        <v>32</v>
      </c>
      <c r="AC25" s="98" t="str">
        <f>"B×"&amp;補助名&amp;"以内"</f>
        <v>B×２／３以内</v>
      </c>
      <c r="AD25" s="98" t="str">
        <f>"B×"&amp;補助名&amp;"以内"</f>
        <v>B×２／３以内</v>
      </c>
      <c r="AE25" s="553" t="s">
        <v>45</v>
      </c>
      <c r="AF25" s="525" t="s">
        <v>33</v>
      </c>
      <c r="AG25" s="535" t="s">
        <v>84</v>
      </c>
      <c r="AH25" s="535" t="s">
        <v>85</v>
      </c>
      <c r="AI25" s="535" t="s">
        <v>86</v>
      </c>
      <c r="AJ25" s="535" t="s">
        <v>141</v>
      </c>
      <c r="AK25" s="535" t="s">
        <v>145</v>
      </c>
      <c r="AL25" s="535" t="s">
        <v>172</v>
      </c>
      <c r="AM25" s="535" t="s">
        <v>173</v>
      </c>
      <c r="AN25" s="545" t="s">
        <v>273</v>
      </c>
      <c r="AO25" s="548" t="s">
        <v>50</v>
      </c>
      <c r="AP25" s="99"/>
      <c r="AQ25" s="543" t="s">
        <v>132</v>
      </c>
      <c r="AR25" s="522" t="s">
        <v>150</v>
      </c>
      <c r="AS25" s="523"/>
      <c r="AT25" s="524"/>
      <c r="AU25" s="513" t="s">
        <v>153</v>
      </c>
      <c r="AV25" s="513"/>
      <c r="AW25" s="513"/>
      <c r="AX25" s="513" t="s">
        <v>154</v>
      </c>
      <c r="AY25" s="513"/>
      <c r="AZ25" s="514"/>
      <c r="BA25" s="511" t="s">
        <v>115</v>
      </c>
      <c r="BB25" s="511"/>
      <c r="BC25" s="512"/>
    </row>
    <row r="26" spans="2:55" ht="36.75" customHeight="1" thickBot="1">
      <c r="B26" s="609" t="s">
        <v>288</v>
      </c>
      <c r="C26" s="609"/>
      <c r="D26" s="609"/>
      <c r="E26" s="609"/>
      <c r="F26" s="609"/>
      <c r="G26" s="609"/>
      <c r="H26" s="609"/>
      <c r="I26" s="609"/>
      <c r="J26" s="609"/>
      <c r="K26" s="609"/>
      <c r="L26" s="609"/>
      <c r="M26" s="609"/>
      <c r="N26" s="609"/>
      <c r="O26" s="609"/>
      <c r="P26" s="609"/>
      <c r="Q26" s="609"/>
      <c r="R26" s="609"/>
      <c r="S26" s="609"/>
      <c r="T26" s="609"/>
      <c r="U26" s="609"/>
      <c r="Z26" s="63"/>
      <c r="AA26" s="100" t="s">
        <v>46</v>
      </c>
      <c r="AB26" s="607"/>
      <c r="AC26" s="100" t="s">
        <v>47</v>
      </c>
      <c r="AD26" s="100" t="s">
        <v>18</v>
      </c>
      <c r="AE26" s="554"/>
      <c r="AF26" s="526"/>
      <c r="AG26" s="536"/>
      <c r="AH26" s="536"/>
      <c r="AI26" s="536"/>
      <c r="AJ26" s="536"/>
      <c r="AK26" s="536"/>
      <c r="AL26" s="536"/>
      <c r="AM26" s="536"/>
      <c r="AN26" s="546"/>
      <c r="AO26" s="549"/>
      <c r="AP26" s="99"/>
      <c r="AQ26" s="544"/>
      <c r="AR26" s="102" t="s">
        <v>112</v>
      </c>
      <c r="AS26" s="102" t="s">
        <v>113</v>
      </c>
      <c r="AT26" s="102" t="s">
        <v>114</v>
      </c>
      <c r="AU26" s="102" t="s">
        <v>112</v>
      </c>
      <c r="AV26" s="102" t="s">
        <v>113</v>
      </c>
      <c r="AW26" s="102" t="s">
        <v>114</v>
      </c>
      <c r="AX26" s="102" t="s">
        <v>112</v>
      </c>
      <c r="AY26" s="102" t="s">
        <v>113</v>
      </c>
      <c r="AZ26" s="103" t="s">
        <v>114</v>
      </c>
      <c r="BA26" s="104" t="s">
        <v>112</v>
      </c>
      <c r="BB26" s="102" t="s">
        <v>113</v>
      </c>
      <c r="BC26" s="102" t="s">
        <v>114</v>
      </c>
    </row>
    <row r="27" spans="2:55" ht="30" customHeight="1" thickBot="1" thickTop="1">
      <c r="B27" s="609"/>
      <c r="C27" s="609"/>
      <c r="D27" s="609"/>
      <c r="E27" s="609"/>
      <c r="F27" s="609"/>
      <c r="G27" s="609"/>
      <c r="H27" s="609"/>
      <c r="I27" s="609"/>
      <c r="J27" s="609"/>
      <c r="K27" s="609"/>
      <c r="L27" s="609"/>
      <c r="M27" s="609"/>
      <c r="N27" s="609"/>
      <c r="O27" s="609"/>
      <c r="P27" s="609"/>
      <c r="Q27" s="609"/>
      <c r="R27" s="609"/>
      <c r="S27" s="609"/>
      <c r="T27" s="609"/>
      <c r="U27" s="609"/>
      <c r="Y27" s="92"/>
      <c r="Z27" s="63"/>
      <c r="AA27" s="105" t="s">
        <v>19</v>
      </c>
      <c r="AB27" s="608"/>
      <c r="AC27" s="101" t="s">
        <v>19</v>
      </c>
      <c r="AD27" s="101" t="s">
        <v>19</v>
      </c>
      <c r="AE27" s="555"/>
      <c r="AF27" s="527"/>
      <c r="AG27" s="537"/>
      <c r="AH27" s="537"/>
      <c r="AI27" s="537"/>
      <c r="AJ27" s="537"/>
      <c r="AK27" s="537"/>
      <c r="AL27" s="537"/>
      <c r="AM27" s="537"/>
      <c r="AN27" s="547"/>
      <c r="AO27" s="550"/>
      <c r="AP27" s="99"/>
      <c r="AQ27" s="106" t="s">
        <v>36</v>
      </c>
      <c r="AR27" s="107">
        <f>補助上限額</f>
        <v>10300000</v>
      </c>
      <c r="AS27" s="41">
        <f>$U$22</f>
        <v>10300000</v>
      </c>
      <c r="AT27" s="108" t="str">
        <f>IF(AR27-AS27&gt;=0,"○","×")</f>
        <v>○</v>
      </c>
      <c r="AU27" s="41">
        <f>補助上限額</f>
        <v>10300000</v>
      </c>
      <c r="AV27" s="41">
        <f>$U$22</f>
        <v>10300000</v>
      </c>
      <c r="AW27" s="108" t="str">
        <f>IF(AU27-AV27&gt;=0,"○","×")</f>
        <v>○</v>
      </c>
      <c r="AX27" s="41">
        <f>補助上限額</f>
        <v>10300000</v>
      </c>
      <c r="AY27" s="41">
        <f>$U$22</f>
        <v>10300000</v>
      </c>
      <c r="AZ27" s="109" t="str">
        <f>IF(AX27-AY27&gt;=0,"○","×")</f>
        <v>○</v>
      </c>
      <c r="BA27" s="439">
        <f>IF('基本情報入力（使い方）'!$J$21=1,AR27,IF('基本情報入力（使い方）'!$J$21=2,AU27,AX27))</f>
        <v>10300000</v>
      </c>
      <c r="BB27" s="110">
        <f>IF('基本情報入力（使い方）'!$J$21=1,AS27,IF('基本情報入力（使い方）'!$J$21=2,AV27,AY27))</f>
        <v>10300000</v>
      </c>
      <c r="BC27" s="111" t="str">
        <f>IF('基本情報入力（使い方）'!$J$21=1,AT27,IF('基本情報入力（使い方）'!$J$21=2,AW27,AZ27))</f>
        <v>○</v>
      </c>
    </row>
    <row r="28" spans="2:55" ht="30" customHeight="1" thickTop="1">
      <c r="B28" s="143"/>
      <c r="C28" s="143"/>
      <c r="D28" s="143"/>
      <c r="E28" s="143"/>
      <c r="F28" s="143"/>
      <c r="G28" s="143"/>
      <c r="H28" s="143"/>
      <c r="I28" s="143"/>
      <c r="J28" s="143"/>
      <c r="K28" s="143"/>
      <c r="L28" s="143"/>
      <c r="M28" s="143"/>
      <c r="N28" s="143"/>
      <c r="O28" s="143"/>
      <c r="P28" s="143"/>
      <c r="Q28" s="143"/>
      <c r="R28" s="143"/>
      <c r="S28" s="143"/>
      <c r="T28" s="143"/>
      <c r="U28" s="143"/>
      <c r="Y28" s="92"/>
      <c r="Z28" s="75" t="s">
        <v>69</v>
      </c>
      <c r="AA28" s="334">
        <f>'機械装置費（50万円以上）'!Q23</f>
        <v>4850014</v>
      </c>
      <c r="AB28" s="39">
        <f>IF($AC$28&gt;0,1,"")</f>
        <v>1</v>
      </c>
      <c r="AC28" s="4">
        <f>MIN(AA28,AA40)</f>
        <v>4850014</v>
      </c>
      <c r="AD28" s="4">
        <f>IF(AC28=0,0,MIN(AC28,AA40))</f>
        <v>4850014</v>
      </c>
      <c r="AE28" s="419">
        <f aca="true" t="shared" si="2" ref="AE28:AE37">U12-AA28</f>
        <v>0</v>
      </c>
      <c r="AF28" s="420" t="str">
        <f>IF(AND(AG28&lt;&gt;"×",AH28&lt;&gt;"×",AI28&lt;&gt;"×",AJ28&lt;&gt;"×",AK28&lt;&gt;"×",AL28&lt;&gt;"×",AM28&lt;&gt;"×",AN28&lt;&gt;"×"),"○","×")</f>
        <v>○</v>
      </c>
      <c r="AG28" s="420"/>
      <c r="AH28" s="420">
        <f aca="true" t="shared" si="3" ref="AH28:AH37">IF(AND(M12&gt;=O12,O12&gt;=Q12),"","×")</f>
      </c>
      <c r="AI28" s="422" t="str">
        <f>BC29</f>
        <v>○</v>
      </c>
      <c r="AJ28" s="422"/>
      <c r="AK28" s="425"/>
      <c r="AL28" s="425"/>
      <c r="AM28" s="425">
        <f>IF($AL$9="○","",$AL$9)</f>
      </c>
      <c r="AN28" s="426">
        <f aca="true" t="shared" si="4" ref="AN28:AN37">IF($AL$11="○","",$AL$11)</f>
      </c>
      <c r="AO28" s="484" t="str">
        <f>IF(OR(AF28="×",AF29="×",AF33="×",AF30="×",AF34="×",AF35="×",AF36="×",AF32="×",AF31="×",AF37="×",AA9="×",AA11="×",AF13="×",AF21="×",AF9="×",AF11="×",AF15="×",AF17="×",AF19="×"),"×","○")</f>
        <v>○</v>
      </c>
      <c r="AP28" s="113"/>
      <c r="AQ28" s="114" t="s">
        <v>121</v>
      </c>
      <c r="AR28" s="115">
        <f>補助下限額</f>
        <v>1000000</v>
      </c>
      <c r="AS28" s="42">
        <f>$U$22</f>
        <v>10300000</v>
      </c>
      <c r="AT28" s="116" t="str">
        <f>IF(AS28-AR28&gt;=0,"○","×")</f>
        <v>○</v>
      </c>
      <c r="AU28" s="42">
        <f>補助下限額</f>
        <v>1000000</v>
      </c>
      <c r="AV28" s="42">
        <f>$U$22</f>
        <v>10300000</v>
      </c>
      <c r="AW28" s="116" t="str">
        <f>IF(AV28-AU28&gt;=0,"○","×")</f>
        <v>○</v>
      </c>
      <c r="AX28" s="42">
        <f>補助下限額</f>
        <v>1000000</v>
      </c>
      <c r="AY28" s="42">
        <f>$U$22</f>
        <v>10300000</v>
      </c>
      <c r="AZ28" s="117" t="str">
        <f>IF(AY28-AX28&gt;=0,"○","×")</f>
        <v>○</v>
      </c>
      <c r="BA28" s="439">
        <f>IF('基本情報入力（使い方）'!$J$21=1,AR28,IF('基本情報入力（使い方）'!$J$21=2,AU28,AX28))</f>
        <v>1000000</v>
      </c>
      <c r="BB28" s="110">
        <f>IF('基本情報入力（使い方）'!$J$21=1,AS28,IF('基本情報入力（使い方）'!$J$21=2,AV28,AY28))</f>
        <v>10300000</v>
      </c>
      <c r="BC28" s="111" t="str">
        <f>IF('基本情報入力（使い方）'!$J$21=1,AT28,IF('基本情報入力（使い方）'!$J$21=2,AW28,AZ28))</f>
        <v>○</v>
      </c>
    </row>
    <row r="29" spans="2:55" ht="30" customHeight="1">
      <c r="B29" s="143"/>
      <c r="C29" s="143"/>
      <c r="D29" s="143"/>
      <c r="E29" s="143"/>
      <c r="F29" s="143"/>
      <c r="G29" s="143"/>
      <c r="H29" s="143"/>
      <c r="I29" s="143"/>
      <c r="J29" s="143"/>
      <c r="K29" s="143"/>
      <c r="L29" s="143"/>
      <c r="M29" s="143"/>
      <c r="N29" s="143"/>
      <c r="O29" s="143"/>
      <c r="P29" s="143"/>
      <c r="Q29" s="143"/>
      <c r="R29" s="143"/>
      <c r="S29" s="143"/>
      <c r="T29" s="143"/>
      <c r="U29" s="143"/>
      <c r="Y29" s="92"/>
      <c r="Z29" s="80" t="s">
        <v>70</v>
      </c>
      <c r="AA29" s="335">
        <f>'機械装置費（50万円未満）'!Q23</f>
        <v>5066654</v>
      </c>
      <c r="AB29" s="14">
        <f>IF($AC$29&gt;0,1,"")</f>
        <v>1</v>
      </c>
      <c r="AC29" s="6">
        <f>MIN(AA29,AA40)</f>
        <v>5066654</v>
      </c>
      <c r="AD29" s="6">
        <f>IF(AC29=0,0,MIN(AC29,(AA40-AC28)))</f>
        <v>5066654</v>
      </c>
      <c r="AE29" s="7">
        <f>U13-AA29</f>
        <v>0</v>
      </c>
      <c r="AF29" s="60" t="str">
        <f aca="true" t="shared" si="5" ref="AF29:AF37">IF(AND(AG29&lt;&gt;"×",AH29&lt;&gt;"×",AI29&lt;&gt;"×",AJ29&lt;&gt;"×",AK29&lt;&gt;"×",AL29&lt;&gt;"×",AM29&lt;&gt;"×",AN29&lt;&gt;"×"),"○","×")</f>
        <v>○</v>
      </c>
      <c r="AG29" s="60"/>
      <c r="AH29" s="60">
        <f t="shared" si="3"/>
      </c>
      <c r="AI29" s="423"/>
      <c r="AJ29" s="423"/>
      <c r="AK29" s="61"/>
      <c r="AL29" s="61"/>
      <c r="AM29" s="61">
        <f aca="true" t="shared" si="6" ref="AM29:AM37">IF($AL$9="○","",$AL$9)</f>
      </c>
      <c r="AN29" s="427">
        <f t="shared" si="4"/>
      </c>
      <c r="AO29" s="485"/>
      <c r="AP29" s="113"/>
      <c r="AQ29" s="118" t="s">
        <v>37</v>
      </c>
      <c r="AR29" s="119" t="s">
        <v>128</v>
      </c>
      <c r="AS29" s="146">
        <f>$Q$12</f>
        <v>7275022</v>
      </c>
      <c r="AT29" s="116" t="str">
        <f>IF(AS29&gt;=500000,"○","×")</f>
        <v>○</v>
      </c>
      <c r="AU29" s="122" t="s">
        <v>48</v>
      </c>
      <c r="AV29" s="146">
        <f>$Q$12</f>
        <v>7275022</v>
      </c>
      <c r="AW29" s="116" t="str">
        <f>IF(AV29&gt;=500000,"○","×")</f>
        <v>○</v>
      </c>
      <c r="AX29" s="120" t="s">
        <v>117</v>
      </c>
      <c r="AY29" s="147" t="s">
        <v>135</v>
      </c>
      <c r="AZ29" s="125" t="s">
        <v>135</v>
      </c>
      <c r="BA29" s="439" t="str">
        <f>IF('基本情報入力（使い方）'!$J$21=1,AR29,IF('基本情報入力（使い方）'!$J$21=2,AU29,AX29))</f>
        <v>機械装置費で補助対象経費にして単価５０万円以上の設備投資が必要</v>
      </c>
      <c r="BB29" s="110">
        <f>IF('基本情報入力（使い方）'!$J$21=1,AS29,IF('基本情報入力（使い方）'!$J$21=2,AV29,AY29))</f>
        <v>7275022</v>
      </c>
      <c r="BC29" s="111" t="str">
        <f>IF('基本情報入力（使い方）'!$J$21=1,AT29,IF('基本情報入力（使い方）'!$J$21=2,AW29,AZ29))</f>
        <v>○</v>
      </c>
    </row>
    <row r="30" spans="2:55" ht="30" customHeight="1">
      <c r="B30" s="143"/>
      <c r="C30" s="143"/>
      <c r="D30" s="143"/>
      <c r="E30" s="143"/>
      <c r="F30" s="143"/>
      <c r="G30" s="143"/>
      <c r="H30" s="143"/>
      <c r="I30" s="143"/>
      <c r="J30" s="143"/>
      <c r="K30" s="143"/>
      <c r="L30" s="143"/>
      <c r="M30" s="143"/>
      <c r="N30" s="143"/>
      <c r="O30" s="143"/>
      <c r="P30" s="143"/>
      <c r="Q30" s="143"/>
      <c r="R30" s="143"/>
      <c r="S30" s="143"/>
      <c r="T30" s="143"/>
      <c r="U30" s="143"/>
      <c r="Y30" s="92"/>
      <c r="Z30" s="80" t="s">
        <v>23</v>
      </c>
      <c r="AA30" s="5">
        <f aca="true" t="shared" si="7" ref="AA30:AA37">IF(S14="",0,ROUNDDOWN(S14*補助率,0))</f>
        <v>3408666</v>
      </c>
      <c r="AB30" s="14">
        <f aca="true" t="shared" si="8" ref="AB30:AB37">IF(AA30=0,"",IF(SUM($AA$28:$AA$29)&gt;0,RANK(AC30,$AC$30:$AC$37)+1,RANK(AC30,$AC$30:$AC$37)))</f>
        <v>2</v>
      </c>
      <c r="AC30" s="6">
        <f aca="true" t="shared" si="9" ref="AC30:AC37">IF(SUM($AC$28:$AC$29)-$AA$40&gt;=0,0,ROUNDDOWN(AA30/$AA$39*$AA$43,0))</f>
        <v>336476</v>
      </c>
      <c r="AD30" s="6">
        <f>IF($AC$39-AC30=0,AC30+$AC$43,AC30)</f>
        <v>336479</v>
      </c>
      <c r="AE30" s="7">
        <f t="shared" si="2"/>
        <v>-3072187</v>
      </c>
      <c r="AF30" s="60" t="str">
        <f t="shared" si="5"/>
        <v>○</v>
      </c>
      <c r="AG30" s="60" t="str">
        <f>IF(OR(BB31=0,BB31=""),"○",BC31)</f>
        <v>○</v>
      </c>
      <c r="AH30" s="60">
        <f t="shared" si="3"/>
      </c>
      <c r="AI30" s="423"/>
      <c r="AJ30" s="423" t="str">
        <f>BC30</f>
        <v>○</v>
      </c>
      <c r="AK30" s="61"/>
      <c r="AL30" s="61"/>
      <c r="AM30" s="61">
        <f t="shared" si="6"/>
      </c>
      <c r="AN30" s="427">
        <f t="shared" si="4"/>
      </c>
      <c r="AO30" s="485"/>
      <c r="AP30" s="113"/>
      <c r="AQ30" s="118" t="s">
        <v>38</v>
      </c>
      <c r="AR30" s="119" t="s">
        <v>49</v>
      </c>
      <c r="AS30" s="146">
        <f>$U$22-SUM($U$12:$U$13)</f>
        <v>383332</v>
      </c>
      <c r="AT30" s="116" t="str">
        <f>IF(AS30&lt;=5000000,"○","×")</f>
        <v>○</v>
      </c>
      <c r="AU30" s="122" t="s">
        <v>49</v>
      </c>
      <c r="AV30" s="146">
        <f>$U$22-SUM($U$12:$U$13)</f>
        <v>383332</v>
      </c>
      <c r="AW30" s="116" t="str">
        <f>IF(AV30&lt;=5000000,"○","×")</f>
        <v>○</v>
      </c>
      <c r="AX30" s="120" t="s">
        <v>117</v>
      </c>
      <c r="AY30" s="147" t="s">
        <v>135</v>
      </c>
      <c r="AZ30" s="125" t="s">
        <v>135</v>
      </c>
      <c r="BA30" s="439" t="str">
        <f>IF('基本情報入力（使い方）'!$J$21=1,AR30,IF('基本情報入力（使い方）'!$J$21=2,AU30,AX30))</f>
        <v>機械装置費以外の経費の補助金交付申請額は５００万円以下</v>
      </c>
      <c r="BB30" s="110">
        <f>IF('基本情報入力（使い方）'!$J$21=1,AS30,IF('基本情報入力（使い方）'!$J$21=2,AV30,AY30))</f>
        <v>383332</v>
      </c>
      <c r="BC30" s="111" t="str">
        <f>IF('基本情報入力（使い方）'!$J$21=1,AT30,IF('基本情報入力（使い方）'!$J$21=2,AW30,AZ30))</f>
        <v>○</v>
      </c>
    </row>
    <row r="31" spans="2:55" ht="30" customHeight="1">
      <c r="B31" s="143"/>
      <c r="C31" s="143"/>
      <c r="D31" s="143"/>
      <c r="E31" s="143"/>
      <c r="F31" s="143"/>
      <c r="G31" s="143"/>
      <c r="H31" s="143"/>
      <c r="I31" s="143"/>
      <c r="J31" s="143"/>
      <c r="K31" s="143"/>
      <c r="L31" s="143"/>
      <c r="M31" s="143"/>
      <c r="N31" s="143"/>
      <c r="O31" s="143"/>
      <c r="P31" s="143"/>
      <c r="Q31" s="143"/>
      <c r="R31" s="143"/>
      <c r="S31" s="143"/>
      <c r="T31" s="143"/>
      <c r="U31" s="143"/>
      <c r="Y31" s="112"/>
      <c r="Z31" s="80" t="s">
        <v>71</v>
      </c>
      <c r="AA31" s="5">
        <f t="shared" si="7"/>
        <v>300000</v>
      </c>
      <c r="AB31" s="14">
        <f t="shared" si="8"/>
        <v>3</v>
      </c>
      <c r="AC31" s="6">
        <f t="shared" si="9"/>
        <v>29613</v>
      </c>
      <c r="AD31" s="6">
        <f aca="true" t="shared" si="10" ref="AD31:AD37">IF($AC$39-AC31=0,AC31+$AC$43,AC31)</f>
        <v>29613</v>
      </c>
      <c r="AE31" s="7">
        <f t="shared" si="2"/>
        <v>-270387</v>
      </c>
      <c r="AF31" s="60" t="str">
        <f t="shared" si="5"/>
        <v>○</v>
      </c>
      <c r="AG31" s="60"/>
      <c r="AH31" s="60">
        <f t="shared" si="3"/>
      </c>
      <c r="AI31" s="423"/>
      <c r="AJ31" s="423" t="str">
        <f>BC30</f>
        <v>○</v>
      </c>
      <c r="AK31" s="61" t="str">
        <f>BC32</f>
        <v>〇</v>
      </c>
      <c r="AL31" s="61"/>
      <c r="AM31" s="61">
        <f t="shared" si="6"/>
      </c>
      <c r="AN31" s="427">
        <f t="shared" si="4"/>
      </c>
      <c r="AO31" s="485"/>
      <c r="AP31" s="113"/>
      <c r="AQ31" s="123" t="s">
        <v>23</v>
      </c>
      <c r="AR31" s="122" t="s">
        <v>254</v>
      </c>
      <c r="AS31" s="146">
        <f>$Q$14</f>
        <v>5113000</v>
      </c>
      <c r="AT31" s="116" t="str">
        <f>IF($Q$22/3-$Q$14&gt;=0,"○","×")</f>
        <v>○</v>
      </c>
      <c r="AU31" s="122" t="s">
        <v>254</v>
      </c>
      <c r="AV31" s="146">
        <f>$Q$14</f>
        <v>5113000</v>
      </c>
      <c r="AW31" s="116" t="str">
        <f>IF($Q$22/3-$Q$14&gt;=0,"○","×")</f>
        <v>○</v>
      </c>
      <c r="AX31" s="122" t="s">
        <v>254</v>
      </c>
      <c r="AY31" s="146">
        <f>$Q$14</f>
        <v>5113000</v>
      </c>
      <c r="AZ31" s="117" t="str">
        <f>IF($Q$22/3-$Q$14&gt;=0,"○","×")</f>
        <v>○</v>
      </c>
      <c r="BA31" s="439" t="str">
        <f>IF('基本情報入力（使い方）'!$J$21=1,AR31,IF('基本情報入力（使い方）'!$J$21=2,AU31,AX31))</f>
        <v>技術導入費が補助対象経費の1/3を超えていないか</v>
      </c>
      <c r="BB31" s="110">
        <f>IF('基本情報入力（使い方）'!$J$21=1,AS31,IF('基本情報入力（使い方）'!$J$21=2,AV31,AY31))</f>
        <v>5113000</v>
      </c>
      <c r="BC31" s="111" t="str">
        <f>IF('基本情報入力（使い方）'!$J$21=1,AT31,IF('基本情報入力（使い方）'!$J$21=2,AW31,AZ31))</f>
        <v>○</v>
      </c>
    </row>
    <row r="32" spans="2:55" ht="30" customHeight="1">
      <c r="B32" s="143"/>
      <c r="C32" s="143"/>
      <c r="D32" s="143"/>
      <c r="E32" s="143"/>
      <c r="F32" s="143"/>
      <c r="G32" s="143"/>
      <c r="H32" s="143"/>
      <c r="I32" s="143"/>
      <c r="J32" s="143"/>
      <c r="K32" s="143"/>
      <c r="L32" s="143"/>
      <c r="M32" s="143"/>
      <c r="N32" s="143"/>
      <c r="O32" s="143"/>
      <c r="P32" s="143"/>
      <c r="Q32" s="143"/>
      <c r="R32" s="143"/>
      <c r="S32" s="143"/>
      <c r="T32" s="143"/>
      <c r="U32" s="143"/>
      <c r="Y32" s="112"/>
      <c r="Z32" s="80" t="s">
        <v>26</v>
      </c>
      <c r="AA32" s="5">
        <f t="shared" si="7"/>
        <v>8000</v>
      </c>
      <c r="AB32" s="14">
        <f t="shared" si="8"/>
        <v>5</v>
      </c>
      <c r="AC32" s="6">
        <f t="shared" si="9"/>
        <v>789</v>
      </c>
      <c r="AD32" s="6">
        <f t="shared" si="10"/>
        <v>789</v>
      </c>
      <c r="AE32" s="7">
        <f t="shared" si="2"/>
        <v>-7211</v>
      </c>
      <c r="AF32" s="60" t="str">
        <f t="shared" si="5"/>
        <v>○</v>
      </c>
      <c r="AG32" s="60"/>
      <c r="AH32" s="60">
        <f t="shared" si="3"/>
      </c>
      <c r="AI32" s="423"/>
      <c r="AJ32" s="423" t="str">
        <f>BC30</f>
        <v>○</v>
      </c>
      <c r="AK32" s="61"/>
      <c r="AL32" s="61"/>
      <c r="AM32" s="61">
        <f t="shared" si="6"/>
      </c>
      <c r="AN32" s="427">
        <f t="shared" si="4"/>
      </c>
      <c r="AO32" s="485"/>
      <c r="AP32" s="113"/>
      <c r="AQ32" s="123" t="s">
        <v>71</v>
      </c>
      <c r="AR32" s="119" t="s">
        <v>255</v>
      </c>
      <c r="AS32" s="146">
        <f>$Q$15</f>
        <v>550000</v>
      </c>
      <c r="AT32" s="116" t="str">
        <f>IF(AND('基本情報入力（使い方）'!$J$31=2,AS32=0),"×","〇")</f>
        <v>〇</v>
      </c>
      <c r="AU32" s="119" t="s">
        <v>255</v>
      </c>
      <c r="AV32" s="146">
        <f>$Q$15</f>
        <v>550000</v>
      </c>
      <c r="AW32" s="116" t="str">
        <f>IF(AND('基本情報入力（使い方）'!$J$31=2,AV32=0),"×","〇")</f>
        <v>〇</v>
      </c>
      <c r="AX32" s="119" t="s">
        <v>255</v>
      </c>
      <c r="AY32" s="146">
        <f>$Q$15</f>
        <v>550000</v>
      </c>
      <c r="AZ32" s="117" t="str">
        <f>IF(AND('基本情報入力（使い方）'!$J$31=2,AY32=0),"×","〇")</f>
        <v>〇</v>
      </c>
      <c r="BA32" s="439" t="str">
        <f>IF('基本情報入力（使い方）'!$J$21=1,AR32,IF('基本情報入力（使い方）'!$J$21=2,AU32,AX32))</f>
        <v>専門家の活用ありで専門家経費を使用しているか</v>
      </c>
      <c r="BB32" s="110">
        <f>IF('基本情報入力（使い方）'!$J$21=1,AS32,IF('基本情報入力（使い方）'!$J$21=2,AV32,AY32))</f>
        <v>550000</v>
      </c>
      <c r="BC32" s="111" t="str">
        <f>IF('基本情報入力（使い方）'!$J$21=1,AT32,IF('基本情報入力（使い方）'!$J$21=2,AW32,AZ32))</f>
        <v>〇</v>
      </c>
    </row>
    <row r="33" spans="2:55" ht="30" customHeight="1">
      <c r="B33" s="143"/>
      <c r="C33" s="143"/>
      <c r="D33" s="143"/>
      <c r="E33" s="143"/>
      <c r="F33" s="143"/>
      <c r="G33" s="143"/>
      <c r="H33" s="143"/>
      <c r="I33" s="143"/>
      <c r="J33" s="143"/>
      <c r="K33" s="143"/>
      <c r="L33" s="143"/>
      <c r="M33" s="143"/>
      <c r="N33" s="143"/>
      <c r="O33" s="143"/>
      <c r="P33" s="143"/>
      <c r="Q33" s="143"/>
      <c r="R33" s="143"/>
      <c r="S33" s="143"/>
      <c r="T33" s="143"/>
      <c r="U33" s="143"/>
      <c r="Y33" s="112"/>
      <c r="Z33" s="80" t="s">
        <v>212</v>
      </c>
      <c r="AA33" s="5">
        <f t="shared" si="7"/>
        <v>166666</v>
      </c>
      <c r="AB33" s="14">
        <f t="shared" si="8"/>
        <v>4</v>
      </c>
      <c r="AC33" s="6">
        <f t="shared" si="9"/>
        <v>16451</v>
      </c>
      <c r="AD33" s="6">
        <f t="shared" si="10"/>
        <v>16451</v>
      </c>
      <c r="AE33" s="7">
        <f t="shared" si="2"/>
        <v>-150215</v>
      </c>
      <c r="AF33" s="60" t="str">
        <f t="shared" si="5"/>
        <v>○</v>
      </c>
      <c r="AG33" s="60"/>
      <c r="AH33" s="60">
        <f t="shared" si="3"/>
      </c>
      <c r="AI33" s="423"/>
      <c r="AJ33" s="423" t="str">
        <f>BC30</f>
        <v>○</v>
      </c>
      <c r="AK33" s="61"/>
      <c r="AL33" s="61"/>
      <c r="AM33" s="61">
        <f t="shared" si="6"/>
      </c>
      <c r="AN33" s="427">
        <f t="shared" si="4"/>
      </c>
      <c r="AO33" s="485"/>
      <c r="AP33" s="113"/>
      <c r="AQ33" s="123" t="s">
        <v>25</v>
      </c>
      <c r="AR33" s="124" t="s">
        <v>117</v>
      </c>
      <c r="AS33" s="147" t="s">
        <v>135</v>
      </c>
      <c r="AT33" s="121" t="s">
        <v>135</v>
      </c>
      <c r="AU33" s="120" t="s">
        <v>117</v>
      </c>
      <c r="AV33" s="147" t="s">
        <v>135</v>
      </c>
      <c r="AW33" s="121" t="s">
        <v>135</v>
      </c>
      <c r="AX33" s="122" t="s">
        <v>155</v>
      </c>
      <c r="AY33" s="146">
        <f>$Q$19</f>
        <v>0</v>
      </c>
      <c r="AZ33" s="117" t="str">
        <f>IF('基本情報入力（使い方）'!$J$21=3,IF($Q$22/2-$Q$19&gt;=0,"○","×"),IF(AY33=0,"○","×"))</f>
        <v>○</v>
      </c>
      <c r="BA33" s="439" t="str">
        <f>IF('基本情報入力（使い方）'!$J$21=1,AR33,IF('基本情報入力（使い方）'!$J$21=2,AU33,AX33))</f>
        <v>判定対象外</v>
      </c>
      <c r="BB33" s="110" t="str">
        <f>IF('基本情報入力（使い方）'!$J$21=1,AS33,IF('基本情報入力（使い方）'!$J$21=2,AV33,AY33))</f>
        <v> </v>
      </c>
      <c r="BC33" s="111" t="str">
        <f>IF('基本情報入力（使い方）'!$J$21=1,AT33,IF('基本情報入力（使い方）'!$J$21=2,AW33,AZ33))</f>
        <v> </v>
      </c>
    </row>
    <row r="34" spans="2:55" ht="30" customHeight="1">
      <c r="B34" s="143"/>
      <c r="C34" s="143"/>
      <c r="D34" s="143"/>
      <c r="E34" s="143"/>
      <c r="F34" s="143"/>
      <c r="G34" s="143"/>
      <c r="H34" s="143"/>
      <c r="I34" s="143"/>
      <c r="J34" s="143"/>
      <c r="K34" s="143"/>
      <c r="L34" s="143"/>
      <c r="M34" s="143"/>
      <c r="N34" s="143"/>
      <c r="O34" s="143"/>
      <c r="P34" s="143"/>
      <c r="Q34" s="143"/>
      <c r="R34" s="143"/>
      <c r="S34" s="143"/>
      <c r="T34" s="143"/>
      <c r="U34" s="143"/>
      <c r="Y34" s="112"/>
      <c r="Z34" s="80" t="s">
        <v>123</v>
      </c>
      <c r="AA34" s="5">
        <f t="shared" si="7"/>
        <v>0</v>
      </c>
      <c r="AB34" s="14">
        <f t="shared" si="8"/>
      </c>
      <c r="AC34" s="6">
        <f t="shared" si="9"/>
        <v>0</v>
      </c>
      <c r="AD34" s="6">
        <f t="shared" si="10"/>
        <v>0</v>
      </c>
      <c r="AE34" s="7">
        <f t="shared" si="2"/>
        <v>0</v>
      </c>
      <c r="AF34" s="60" t="str">
        <f t="shared" si="5"/>
        <v>○</v>
      </c>
      <c r="AG34" s="60"/>
      <c r="AH34" s="60">
        <f t="shared" si="3"/>
      </c>
      <c r="AI34" s="423"/>
      <c r="AJ34" s="423" t="str">
        <f>BC30</f>
        <v>○</v>
      </c>
      <c r="AK34" s="61"/>
      <c r="AL34" s="61" t="str">
        <f>IF(OR(Q18=0,Q18=""),"○",$BC$37)</f>
        <v>○</v>
      </c>
      <c r="AM34" s="61">
        <f t="shared" si="6"/>
      </c>
      <c r="AN34" s="427">
        <f t="shared" si="4"/>
      </c>
      <c r="AO34" s="485"/>
      <c r="AP34" s="113"/>
      <c r="AQ34" s="123" t="s">
        <v>116</v>
      </c>
      <c r="AR34" s="124" t="s">
        <v>117</v>
      </c>
      <c r="AS34" s="147" t="s">
        <v>135</v>
      </c>
      <c r="AT34" s="121" t="s">
        <v>135</v>
      </c>
      <c r="AU34" s="120" t="s">
        <v>117</v>
      </c>
      <c r="AV34" s="147" t="s">
        <v>135</v>
      </c>
      <c r="AW34" s="121" t="s">
        <v>135</v>
      </c>
      <c r="AX34" s="122" t="s">
        <v>156</v>
      </c>
      <c r="AY34" s="146">
        <f>$Q$20</f>
        <v>0</v>
      </c>
      <c r="AZ34" s="117" t="str">
        <f>IF('基本情報入力（使い方）'!$J$21=3,IF($Q$22/2-$Q$20&gt;=0,"○","×"),IF(AY34=0,"○","×"))</f>
        <v>○</v>
      </c>
      <c r="BA34" s="439" t="str">
        <f>IF('基本情報入力（使い方）'!$J$21=1,AR34,IF('基本情報入力（使い方）'!$J$21=2,AU34,AX34))</f>
        <v>判定対象外</v>
      </c>
      <c r="BB34" s="110" t="str">
        <f>IF('基本情報入力（使い方）'!$J$21=1,AS34,IF('基本情報入力（使い方）'!$J$21=2,AV34,AY34))</f>
        <v> </v>
      </c>
      <c r="BC34" s="111" t="str">
        <f>IF('基本情報入力（使い方）'!$J$21=1,AT34,IF('基本情報入力（使い方）'!$J$21=2,AW34,AZ34))</f>
        <v> </v>
      </c>
    </row>
    <row r="35" spans="25:55" ht="30" customHeight="1">
      <c r="Y35" s="112"/>
      <c r="Z35" s="80" t="s">
        <v>124</v>
      </c>
      <c r="AA35" s="5">
        <f t="shared" si="7"/>
        <v>0</v>
      </c>
      <c r="AB35" s="14">
        <f t="shared" si="8"/>
      </c>
      <c r="AC35" s="6">
        <f t="shared" si="9"/>
        <v>0</v>
      </c>
      <c r="AD35" s="6">
        <f t="shared" si="10"/>
        <v>0</v>
      </c>
      <c r="AE35" s="7">
        <f t="shared" si="2"/>
        <v>0</v>
      </c>
      <c r="AF35" s="60" t="str">
        <f t="shared" si="5"/>
        <v>○</v>
      </c>
      <c r="AG35" s="61" t="str">
        <f>IF(OR(BB34=0,BB34=""),"○",BC36)</f>
        <v> </v>
      </c>
      <c r="AH35" s="60">
        <f t="shared" si="3"/>
      </c>
      <c r="AI35" s="423"/>
      <c r="AJ35" s="423" t="str">
        <f>BC30</f>
        <v>○</v>
      </c>
      <c r="AK35" s="61"/>
      <c r="AL35" s="61" t="str">
        <f>IF(OR(Q19=0,Q19=""),"○",$BC$37)</f>
        <v>○</v>
      </c>
      <c r="AM35" s="61">
        <f t="shared" si="6"/>
      </c>
      <c r="AN35" s="427">
        <f t="shared" si="4"/>
      </c>
      <c r="AO35" s="485"/>
      <c r="AP35" s="113"/>
      <c r="AQ35" s="123" t="s">
        <v>39</v>
      </c>
      <c r="AR35" s="124" t="s">
        <v>117</v>
      </c>
      <c r="AS35" s="147" t="s">
        <v>135</v>
      </c>
      <c r="AT35" s="121" t="s">
        <v>135</v>
      </c>
      <c r="AU35" s="120" t="s">
        <v>117</v>
      </c>
      <c r="AV35" s="147" t="s">
        <v>135</v>
      </c>
      <c r="AW35" s="121" t="s">
        <v>135</v>
      </c>
      <c r="AX35" s="122" t="s">
        <v>158</v>
      </c>
      <c r="AY35" s="146">
        <f>$Q$19+$Q$20</f>
        <v>0</v>
      </c>
      <c r="AZ35" s="117" t="str">
        <f>IF('基本情報入力（使い方）'!$J$21=3,IF($Q$22/2-($Q$19+$Q$20)&gt;=0,"○","×"),IF(AY35=0,"○","×"))</f>
        <v>○</v>
      </c>
      <c r="BA35" s="439" t="str">
        <f>IF('基本情報入力（使い方）'!$J$21=1,AR35,IF('基本情報入力（使い方）'!$J$21=2,AU35,AX35))</f>
        <v>判定対象外</v>
      </c>
      <c r="BB35" s="110" t="str">
        <f>IF('基本情報入力（使い方）'!$J$21=1,AS35,IF('基本情報入力（使い方）'!$J$21=2,AV35,AY35))</f>
        <v> </v>
      </c>
      <c r="BC35" s="111" t="str">
        <f>IF('基本情報入力（使い方）'!$J$21=1,AT35,IF('基本情報入力（使い方）'!$J$21=2,AW35,AZ35))</f>
        <v> </v>
      </c>
    </row>
    <row r="36" spans="25:55" ht="30" customHeight="1">
      <c r="Y36" s="112"/>
      <c r="Z36" s="80" t="s">
        <v>125</v>
      </c>
      <c r="AA36" s="5">
        <f t="shared" si="7"/>
        <v>0</v>
      </c>
      <c r="AB36" s="14">
        <f t="shared" si="8"/>
      </c>
      <c r="AC36" s="6">
        <f t="shared" si="9"/>
        <v>0</v>
      </c>
      <c r="AD36" s="6">
        <f t="shared" si="10"/>
        <v>0</v>
      </c>
      <c r="AE36" s="7">
        <f t="shared" si="2"/>
        <v>0</v>
      </c>
      <c r="AF36" s="60" t="str">
        <f t="shared" si="5"/>
        <v>○</v>
      </c>
      <c r="AG36" s="61" t="str">
        <f>IF(OR(BB35=0,BB35=""),"○",BC36)</f>
        <v> </v>
      </c>
      <c r="AH36" s="60">
        <f t="shared" si="3"/>
      </c>
      <c r="AI36" s="423"/>
      <c r="AJ36" s="423" t="str">
        <f>BC30</f>
        <v>○</v>
      </c>
      <c r="AK36" s="61"/>
      <c r="AL36" s="61" t="str">
        <f>IF(OR(Q20=0,Q20=""),"○",$BC$37)</f>
        <v>○</v>
      </c>
      <c r="AM36" s="61">
        <f t="shared" si="6"/>
      </c>
      <c r="AN36" s="427">
        <f t="shared" si="4"/>
      </c>
      <c r="AO36" s="485"/>
      <c r="AP36" s="113"/>
      <c r="AQ36" s="123" t="s">
        <v>130</v>
      </c>
      <c r="AR36" s="124" t="s">
        <v>117</v>
      </c>
      <c r="AS36" s="147" t="s">
        <v>135</v>
      </c>
      <c r="AT36" s="121" t="s">
        <v>135</v>
      </c>
      <c r="AU36" s="120" t="s">
        <v>117</v>
      </c>
      <c r="AV36" s="147" t="s">
        <v>135</v>
      </c>
      <c r="AW36" s="121" t="s">
        <v>135</v>
      </c>
      <c r="AX36" s="122" t="s">
        <v>157</v>
      </c>
      <c r="AY36" s="146">
        <f>$Q$21</f>
        <v>0</v>
      </c>
      <c r="AZ36" s="117" t="str">
        <f>IF($Q$22/3-$Q$21&gt;=0,"○","×")</f>
        <v>○</v>
      </c>
      <c r="BA36" s="439" t="str">
        <f>IF('基本情報入力（使い方）'!$J$21=1,AR36,IF('基本情報入力（使い方）'!$J$21=2,AU36,AX36))</f>
        <v>判定対象外</v>
      </c>
      <c r="BB36" s="110" t="str">
        <f>IF('基本情報入力（使い方）'!$J$21=1,AS36,IF('基本情報入力（使い方）'!$J$21=2,AV36,AY36))</f>
        <v> </v>
      </c>
      <c r="BC36" s="111" t="str">
        <f>IF('基本情報入力（使い方）'!$J$21=1,AT36,IF('基本情報入力（使い方）'!$J$21=2,AW36,AZ36))</f>
        <v> </v>
      </c>
    </row>
    <row r="37" spans="25:55" ht="30" customHeight="1" thickBot="1">
      <c r="Y37" s="126"/>
      <c r="Z37" s="87" t="s">
        <v>126</v>
      </c>
      <c r="AA37" s="8">
        <f t="shared" si="7"/>
        <v>0</v>
      </c>
      <c r="AB37" s="384">
        <f t="shared" si="8"/>
      </c>
      <c r="AC37" s="9">
        <f t="shared" si="9"/>
        <v>0</v>
      </c>
      <c r="AD37" s="9">
        <f t="shared" si="10"/>
        <v>0</v>
      </c>
      <c r="AE37" s="15">
        <f t="shared" si="2"/>
        <v>0</v>
      </c>
      <c r="AF37" s="421" t="str">
        <f t="shared" si="5"/>
        <v>○</v>
      </c>
      <c r="AG37" s="385" t="str">
        <f>IF(OR(BB36=0,BB36=""),"○",BC36)</f>
        <v> </v>
      </c>
      <c r="AH37" s="421">
        <f t="shared" si="3"/>
      </c>
      <c r="AI37" s="424"/>
      <c r="AJ37" s="424" t="str">
        <f>BC30</f>
        <v>○</v>
      </c>
      <c r="AK37" s="385"/>
      <c r="AL37" s="385" t="str">
        <f>IF(OR(Q21=0,Q21=""),"○",$BC$37)</f>
        <v>○</v>
      </c>
      <c r="AM37" s="385">
        <f t="shared" si="6"/>
      </c>
      <c r="AN37" s="428">
        <f t="shared" si="4"/>
      </c>
      <c r="AO37" s="486"/>
      <c r="AP37" s="113"/>
      <c r="AQ37" s="123" t="s">
        <v>279</v>
      </c>
      <c r="AR37" s="119" t="s">
        <v>131</v>
      </c>
      <c r="AS37" s="146">
        <f>SUM($Q$18,$Q$19,$Q$20,$Q$21)</f>
        <v>0</v>
      </c>
      <c r="AT37" s="116" t="str">
        <f>IF(AS37=0,"○","×")</f>
        <v>○</v>
      </c>
      <c r="AU37" s="122" t="s">
        <v>131</v>
      </c>
      <c r="AV37" s="146">
        <f>SUM($Q$18,$Q$19,$Q$20,$Q$21)</f>
        <v>0</v>
      </c>
      <c r="AW37" s="127" t="str">
        <f>IF(AV37=0,"○","×")</f>
        <v>○</v>
      </c>
      <c r="AX37" s="120" t="s">
        <v>117</v>
      </c>
      <c r="AY37" s="147" t="s">
        <v>135</v>
      </c>
      <c r="AZ37" s="125" t="s">
        <v>135</v>
      </c>
      <c r="BA37" s="439" t="str">
        <f>IF('基本情報入力（使い方）'!$J$21=1,AR37,IF('基本情報入力（使い方）'!$J$21=2,AU37,AX37))</f>
        <v>事業対象外の経費を使用していないか</v>
      </c>
      <c r="BB37" s="110">
        <f>IF('基本情報入力（使い方）'!$J$21=1,AS37,IF('基本情報入力（使い方）'!$J$21=2,AV37,AY37))</f>
        <v>0</v>
      </c>
      <c r="BC37" s="111" t="str">
        <f>IF('基本情報入力（使い方）'!$J$21=1,AT37,IF('基本情報入力（使い方）'!$J$21=2,AW37,AZ37))</f>
        <v>○</v>
      </c>
    </row>
    <row r="38" spans="25:40" ht="30" customHeight="1" thickTop="1">
      <c r="Y38" s="112"/>
      <c r="Z38" s="378" t="s">
        <v>22</v>
      </c>
      <c r="AA38" s="379">
        <f>SUM(AA28:AA37)</f>
        <v>13800000</v>
      </c>
      <c r="AB38" s="380"/>
      <c r="AC38" s="381">
        <f>SUM(AC28:AC37)</f>
        <v>10299997</v>
      </c>
      <c r="AD38" s="379">
        <f>SUM(AD28:AD37)</f>
        <v>10300000</v>
      </c>
      <c r="AE38" s="382"/>
      <c r="AF38" s="383" t="s">
        <v>57</v>
      </c>
      <c r="AG38" s="43"/>
      <c r="AH38" s="538" t="s">
        <v>171</v>
      </c>
      <c r="AI38" s="538"/>
      <c r="AJ38" s="538"/>
      <c r="AK38" s="538"/>
      <c r="AL38" s="538"/>
      <c r="AM38" s="538"/>
      <c r="AN38" s="538"/>
    </row>
    <row r="39" spans="25:36" ht="30" customHeight="1">
      <c r="Y39" s="112"/>
      <c r="Z39" s="129" t="s">
        <v>59</v>
      </c>
      <c r="AA39" s="130">
        <f>AA38-SUM(AA28:AA29)</f>
        <v>3883332</v>
      </c>
      <c r="AB39" s="129" t="s">
        <v>60</v>
      </c>
      <c r="AC39" s="16">
        <f>IF(ISERROR(VLOOKUP(2,$AB$28:$AC$37,2,FALSE)),0,VLOOKUP(2,$AB$28:$AC$37,2,FALSE))</f>
        <v>336476</v>
      </c>
      <c r="AD39" s="85" t="s">
        <v>147</v>
      </c>
      <c r="AE39" s="72"/>
      <c r="AF39" s="131" t="s">
        <v>276</v>
      </c>
      <c r="AH39" s="43"/>
      <c r="AI39" s="43"/>
      <c r="AJ39" s="44"/>
    </row>
    <row r="40" spans="25:34" ht="30" customHeight="1">
      <c r="Y40" s="112"/>
      <c r="Z40" s="129" t="s">
        <v>61</v>
      </c>
      <c r="AA40" s="130">
        <f>MIN(AA38,補助上限額)</f>
        <v>10300000</v>
      </c>
      <c r="AB40" s="129" t="s">
        <v>62</v>
      </c>
      <c r="AC40" s="16">
        <f>SUMIF(AB28:AB37,2,AC28:AC37)</f>
        <v>336476</v>
      </c>
      <c r="AD40" s="85" t="s">
        <v>63</v>
      </c>
      <c r="AE40" s="72"/>
      <c r="AG40" s="68"/>
      <c r="AH40" s="68"/>
    </row>
    <row r="41" spans="25:34" ht="30" customHeight="1">
      <c r="Y41" s="92"/>
      <c r="Z41" s="129" t="s">
        <v>78</v>
      </c>
      <c r="AA41" s="130">
        <f>MAX(AA40-SUM(AA28:AA29),0)</f>
        <v>383332</v>
      </c>
      <c r="AB41" s="150" t="s">
        <v>106</v>
      </c>
      <c r="AC41" s="10">
        <f>MIN(AA42-(AC38-SUM(AC28:AC29)),AA40-AC38)</f>
        <v>3</v>
      </c>
      <c r="AD41" s="72"/>
      <c r="AE41" s="72"/>
      <c r="AG41" s="68"/>
      <c r="AH41" s="68"/>
    </row>
    <row r="42" spans="25:34" ht="30" customHeight="1">
      <c r="Y42" s="128"/>
      <c r="Z42" s="129" t="s">
        <v>79</v>
      </c>
      <c r="AA42" s="130">
        <f>IF(NOT(AB18="小規模型（試作開発等）"),5000000,AA40)</f>
        <v>5000000</v>
      </c>
      <c r="AB42" s="129" t="s">
        <v>107</v>
      </c>
      <c r="AC42" s="11">
        <f>IF(AC39=0,0,AC40/AC39)</f>
        <v>1</v>
      </c>
      <c r="AD42" s="133"/>
      <c r="AE42" s="134"/>
      <c r="AG42" s="68"/>
      <c r="AH42" s="68"/>
    </row>
    <row r="43" spans="25:34" ht="30" customHeight="1">
      <c r="Y43" s="128"/>
      <c r="Z43" s="136" t="s">
        <v>64</v>
      </c>
      <c r="AA43" s="130">
        <f>IF(SUM(AA28:AA29)=0,AA42,MIN(AA40,AA41,AA42))</f>
        <v>383332</v>
      </c>
      <c r="AB43" s="137" t="s">
        <v>34</v>
      </c>
      <c r="AC43" s="10">
        <f>IF(AC42=0,0,ROUNDDOWN(AC41/AC42,0))</f>
        <v>3</v>
      </c>
      <c r="AD43" s="133"/>
      <c r="AE43" s="134"/>
      <c r="AG43" s="68"/>
      <c r="AH43" s="68"/>
    </row>
    <row r="44" spans="25:41" ht="30" customHeight="1">
      <c r="Y44" s="128"/>
      <c r="Z44" s="85" t="s">
        <v>127</v>
      </c>
      <c r="AG44" s="68"/>
      <c r="AH44" s="68"/>
      <c r="AO44" s="50"/>
    </row>
    <row r="45" spans="25:57" ht="30" customHeight="1">
      <c r="Y45" s="128"/>
      <c r="Z45" s="59"/>
      <c r="AG45" s="68"/>
      <c r="AH45" s="68"/>
      <c r="AU45" s="50"/>
      <c r="AV45" s="50"/>
      <c r="AW45" s="50"/>
      <c r="AX45" s="50"/>
      <c r="AY45" s="50"/>
      <c r="AZ45" s="50"/>
      <c r="BA45" s="50"/>
      <c r="BB45" s="50"/>
      <c r="BC45" s="50"/>
      <c r="BD45" s="50"/>
      <c r="BE45" s="50"/>
    </row>
    <row r="46" spans="25:56" ht="30" customHeight="1">
      <c r="Y46" s="135"/>
      <c r="Z46" s="254" t="s">
        <v>202</v>
      </c>
      <c r="AA46" s="254"/>
      <c r="AB46" s="254"/>
      <c r="AC46" s="254"/>
      <c r="AD46" s="139"/>
      <c r="AG46" s="68"/>
      <c r="AH46" s="68"/>
      <c r="AP46" s="50"/>
      <c r="AQ46" s="50"/>
      <c r="AR46" s="50"/>
      <c r="AS46" s="50"/>
      <c r="AT46" s="50"/>
      <c r="AU46" s="50"/>
      <c r="AV46" s="50"/>
      <c r="AW46" s="50"/>
      <c r="AX46" s="50"/>
      <c r="AY46" s="50"/>
      <c r="AZ46" s="50"/>
      <c r="BA46" s="50"/>
      <c r="BB46" s="50"/>
      <c r="BC46" s="50"/>
      <c r="BD46" s="50"/>
    </row>
    <row r="47" spans="26:34" ht="30" customHeight="1">
      <c r="Z47" s="614" t="s">
        <v>33</v>
      </c>
      <c r="AA47" s="602" t="s">
        <v>203</v>
      </c>
      <c r="AB47" s="602" t="s">
        <v>204</v>
      </c>
      <c r="AC47" s="241"/>
      <c r="AD47" s="139"/>
      <c r="AG47" s="68"/>
      <c r="AH47" s="68"/>
    </row>
    <row r="48" spans="26:34" ht="30" customHeight="1">
      <c r="Z48" s="614"/>
      <c r="AA48" s="602"/>
      <c r="AB48" s="602"/>
      <c r="AC48" s="241"/>
      <c r="AD48" s="139"/>
      <c r="AG48" s="68"/>
      <c r="AH48" s="68"/>
    </row>
    <row r="49" spans="26:34" ht="30" customHeight="1">
      <c r="Z49" s="614"/>
      <c r="AA49" s="602"/>
      <c r="AB49" s="602"/>
      <c r="AC49" s="241"/>
      <c r="AD49" s="139"/>
      <c r="AG49" s="68"/>
      <c r="AH49" s="68"/>
    </row>
    <row r="50" spans="26:34" ht="30" customHeight="1">
      <c r="Z50" s="434" t="str">
        <f>IF(ABS(AA50)-ABS(AB50)&lt;=0,"○","変更")</f>
        <v>○</v>
      </c>
      <c r="AA50" s="255">
        <f aca="true" t="shared" si="11" ref="AA50:AA59">K12-U12</f>
        <v>0</v>
      </c>
      <c r="AB50" s="255">
        <f aca="true" t="shared" si="12" ref="AB50:AB59">ROUNDDOWN(K12*0.2,0)</f>
        <v>970002</v>
      </c>
      <c r="AC50" s="257" t="s">
        <v>69</v>
      </c>
      <c r="AD50" s="139"/>
      <c r="AG50" s="68"/>
      <c r="AH50" s="68"/>
    </row>
    <row r="51" spans="26:34" ht="30" customHeight="1">
      <c r="Z51" s="434" t="str">
        <f aca="true" t="shared" si="13" ref="Z51:Z59">IF(ABS(AA51)-ABS(AB51)&lt;=0,"○","変更")</f>
        <v>○</v>
      </c>
      <c r="AA51" s="255">
        <f t="shared" si="11"/>
        <v>0</v>
      </c>
      <c r="AB51" s="255">
        <f t="shared" si="12"/>
        <v>1013330</v>
      </c>
      <c r="AC51" s="258" t="s">
        <v>70</v>
      </c>
      <c r="AD51" s="139"/>
      <c r="AG51" s="68"/>
      <c r="AH51" s="68"/>
    </row>
    <row r="52" spans="26:34" ht="30" customHeight="1">
      <c r="Z52" s="434" t="str">
        <f t="shared" si="13"/>
        <v>○</v>
      </c>
      <c r="AA52" s="255">
        <f t="shared" si="11"/>
        <v>0</v>
      </c>
      <c r="AB52" s="255">
        <f t="shared" si="12"/>
        <v>67295</v>
      </c>
      <c r="AC52" s="258" t="s">
        <v>23</v>
      </c>
      <c r="AD52" s="138"/>
      <c r="AE52" s="49"/>
      <c r="AG52" s="510"/>
      <c r="AH52" s="68"/>
    </row>
    <row r="53" spans="26:34" ht="30" customHeight="1">
      <c r="Z53" s="434" t="str">
        <f t="shared" si="13"/>
        <v>○</v>
      </c>
      <c r="AA53" s="255">
        <f t="shared" si="11"/>
        <v>0</v>
      </c>
      <c r="AB53" s="255">
        <f t="shared" si="12"/>
        <v>5922</v>
      </c>
      <c r="AC53" s="258" t="s">
        <v>71</v>
      </c>
      <c r="AG53" s="510"/>
      <c r="AH53" s="68"/>
    </row>
    <row r="54" spans="26:34" ht="30" customHeight="1">
      <c r="Z54" s="434" t="str">
        <f t="shared" si="13"/>
        <v>○</v>
      </c>
      <c r="AA54" s="255">
        <f t="shared" si="11"/>
        <v>0</v>
      </c>
      <c r="AB54" s="255">
        <f t="shared" si="12"/>
        <v>157</v>
      </c>
      <c r="AC54" s="258" t="s">
        <v>26</v>
      </c>
      <c r="AG54" s="510"/>
      <c r="AH54" s="68"/>
    </row>
    <row r="55" spans="26:34" ht="30" customHeight="1">
      <c r="Z55" s="434" t="str">
        <f>IF(ABS(AA55)-ABS(AB55)&lt;=0,"○","変更")</f>
        <v>○</v>
      </c>
      <c r="AA55" s="255">
        <f t="shared" si="11"/>
        <v>0</v>
      </c>
      <c r="AB55" s="255">
        <f t="shared" si="12"/>
        <v>3290</v>
      </c>
      <c r="AC55" s="258" t="s">
        <v>212</v>
      </c>
      <c r="AG55" s="510"/>
      <c r="AH55" s="68"/>
    </row>
    <row r="56" spans="26:34" ht="30" customHeight="1">
      <c r="Z56" s="434" t="str">
        <f t="shared" si="13"/>
        <v>○</v>
      </c>
      <c r="AA56" s="255">
        <f t="shared" si="11"/>
        <v>0</v>
      </c>
      <c r="AB56" s="255">
        <f t="shared" si="12"/>
        <v>0</v>
      </c>
      <c r="AC56" s="258" t="s">
        <v>208</v>
      </c>
      <c r="AG56" s="510"/>
      <c r="AH56" s="68"/>
    </row>
    <row r="57" spans="26:34" ht="30" customHeight="1">
      <c r="Z57" s="434" t="str">
        <f t="shared" si="13"/>
        <v>○</v>
      </c>
      <c r="AA57" s="255">
        <f t="shared" si="11"/>
        <v>0</v>
      </c>
      <c r="AB57" s="255">
        <f t="shared" si="12"/>
        <v>0</v>
      </c>
      <c r="AC57" s="258" t="s">
        <v>209</v>
      </c>
      <c r="AG57" s="510"/>
      <c r="AH57" s="68"/>
    </row>
    <row r="58" spans="26:34" ht="30" customHeight="1">
      <c r="Z58" s="434" t="str">
        <f t="shared" si="13"/>
        <v>○</v>
      </c>
      <c r="AA58" s="255">
        <f t="shared" si="11"/>
        <v>0</v>
      </c>
      <c r="AB58" s="255">
        <f t="shared" si="12"/>
        <v>0</v>
      </c>
      <c r="AC58" s="258" t="s">
        <v>210</v>
      </c>
      <c r="AG58" s="510"/>
      <c r="AH58" s="63"/>
    </row>
    <row r="59" spans="26:34" ht="30" customHeight="1">
      <c r="Z59" s="434" t="str">
        <f t="shared" si="13"/>
        <v>○</v>
      </c>
      <c r="AA59" s="255">
        <f t="shared" si="11"/>
        <v>0</v>
      </c>
      <c r="AB59" s="255">
        <f t="shared" si="12"/>
        <v>0</v>
      </c>
      <c r="AC59" s="259" t="s">
        <v>211</v>
      </c>
      <c r="AG59" s="510"/>
      <c r="AH59" s="63"/>
    </row>
    <row r="60" spans="26:34" ht="30" customHeight="1">
      <c r="Z60" s="256" t="str">
        <f>IF(S22-I22&lt;=0,"○","×")</f>
        <v>○</v>
      </c>
      <c r="AA60" s="260" t="s">
        <v>205</v>
      </c>
      <c r="AB60" s="435"/>
      <c r="AC60" s="261"/>
      <c r="AG60" s="510"/>
      <c r="AH60" s="63"/>
    </row>
    <row r="61" spans="26:65" ht="31.5" customHeight="1">
      <c r="Z61" s="256" t="str">
        <f>IF(U22-K22&lt;=0,"○","×")</f>
        <v>○</v>
      </c>
      <c r="AA61" s="262" t="s">
        <v>206</v>
      </c>
      <c r="AB61" s="436"/>
      <c r="AC61" s="436"/>
      <c r="AG61" s="510"/>
      <c r="AH61" s="63"/>
      <c r="BI61" s="63"/>
      <c r="BJ61" s="63"/>
      <c r="BK61" s="63"/>
      <c r="BL61" s="63"/>
      <c r="BM61" s="63"/>
    </row>
    <row r="62" spans="33:65" ht="38.25" customHeight="1">
      <c r="AG62" s="510"/>
      <c r="AH62" s="63"/>
      <c r="AI62" s="63"/>
      <c r="AJ62" s="63"/>
      <c r="AK62" s="63"/>
      <c r="AL62" s="63"/>
      <c r="AM62" s="63"/>
      <c r="BI62" s="63"/>
      <c r="BJ62" s="63"/>
      <c r="BK62" s="63"/>
      <c r="BL62" s="63"/>
      <c r="BM62" s="63"/>
    </row>
    <row r="63" spans="33:40" ht="38.25" customHeight="1">
      <c r="AG63" s="510"/>
      <c r="AH63" s="63"/>
      <c r="AI63" s="63"/>
      <c r="AJ63" s="63"/>
      <c r="AK63" s="63"/>
      <c r="AL63" s="63"/>
      <c r="AM63" s="63"/>
      <c r="AN63" s="63"/>
    </row>
    <row r="64" spans="33:40" ht="38.25" customHeight="1">
      <c r="AG64" s="510"/>
      <c r="AH64" s="63"/>
      <c r="AI64" s="63"/>
      <c r="AJ64" s="63"/>
      <c r="AK64" s="63"/>
      <c r="AL64" s="63"/>
      <c r="AM64" s="63"/>
      <c r="AN64" s="63"/>
    </row>
    <row r="65" spans="28:40" ht="38.25" customHeight="1">
      <c r="AB65" s="138"/>
      <c r="AC65" s="138"/>
      <c r="AG65" s="510"/>
      <c r="AH65" s="63"/>
      <c r="AI65" s="63"/>
      <c r="AJ65" s="63"/>
      <c r="AK65" s="63"/>
      <c r="AL65" s="63"/>
      <c r="AM65" s="63"/>
      <c r="AN65" s="63"/>
    </row>
    <row r="66" spans="28:40" ht="30" customHeight="1">
      <c r="AB66" s="138"/>
      <c r="AC66" s="138"/>
      <c r="AG66" s="510"/>
      <c r="AH66" s="531"/>
      <c r="AI66" s="531"/>
      <c r="AJ66" s="531"/>
      <c r="AK66" s="66"/>
      <c r="AL66" s="66"/>
      <c r="AM66" s="66"/>
      <c r="AN66" s="63"/>
    </row>
    <row r="67" spans="28:40" ht="30" customHeight="1">
      <c r="AB67" s="138"/>
      <c r="AC67" s="138"/>
      <c r="AG67" s="510"/>
      <c r="AH67" s="531"/>
      <c r="AI67" s="531"/>
      <c r="AJ67" s="531"/>
      <c r="AK67" s="66"/>
      <c r="AL67" s="66"/>
      <c r="AM67" s="66"/>
      <c r="AN67" s="66"/>
    </row>
    <row r="68" spans="33:40" ht="30" customHeight="1">
      <c r="AG68" s="68"/>
      <c r="AH68" s="68"/>
      <c r="AN68" s="66"/>
    </row>
    <row r="69" spans="33:34" ht="30" customHeight="1">
      <c r="AG69" s="68"/>
      <c r="AH69" s="68"/>
    </row>
    <row r="70" spans="33:34" ht="20.25" customHeight="1">
      <c r="AG70" s="68"/>
      <c r="AH70" s="68"/>
    </row>
    <row r="71" spans="33:70" ht="30" customHeight="1">
      <c r="AG71" s="68"/>
      <c r="AH71" s="68"/>
      <c r="BF71" s="132"/>
      <c r="BG71" s="132"/>
      <c r="BH71" s="52"/>
      <c r="BI71" s="52"/>
      <c r="BJ71" s="52"/>
      <c r="BK71" s="52"/>
      <c r="BL71" s="52"/>
      <c r="BM71" s="52"/>
      <c r="BN71" s="52"/>
      <c r="BO71" s="52"/>
      <c r="BP71" s="52"/>
      <c r="BQ71" s="52"/>
      <c r="BR71" s="52"/>
    </row>
    <row r="72" spans="33:70" ht="30" customHeight="1">
      <c r="AG72" s="68"/>
      <c r="AH72" s="68"/>
      <c r="BF72" s="140"/>
      <c r="BG72" s="51"/>
      <c r="BH72" s="51"/>
      <c r="BI72" s="52"/>
      <c r="BJ72" s="51"/>
      <c r="BK72" s="52"/>
      <c r="BL72" s="51"/>
      <c r="BM72" s="52"/>
      <c r="BN72" s="51"/>
      <c r="BO72" s="52"/>
      <c r="BP72" s="51"/>
      <c r="BQ72" s="51"/>
      <c r="BR72" s="51"/>
    </row>
    <row r="73" spans="33:70" ht="30" customHeight="1">
      <c r="AG73" s="68"/>
      <c r="AH73" s="68"/>
      <c r="BF73" s="140"/>
      <c r="BG73" s="51"/>
      <c r="BH73" s="51"/>
      <c r="BI73" s="52"/>
      <c r="BJ73" s="51"/>
      <c r="BK73" s="52"/>
      <c r="BL73" s="51"/>
      <c r="BM73" s="52"/>
      <c r="BN73" s="51"/>
      <c r="BO73" s="52"/>
      <c r="BP73" s="51"/>
      <c r="BQ73" s="51"/>
      <c r="BR73" s="51"/>
    </row>
    <row r="74" spans="33:70" ht="30" customHeight="1">
      <c r="AG74" s="68"/>
      <c r="AH74" s="68"/>
      <c r="BF74" s="140"/>
      <c r="BG74" s="51"/>
      <c r="BH74" s="51"/>
      <c r="BI74" s="52"/>
      <c r="BJ74" s="51"/>
      <c r="BK74" s="52"/>
      <c r="BL74" s="51"/>
      <c r="BM74" s="52"/>
      <c r="BN74" s="51"/>
      <c r="BO74" s="52"/>
      <c r="BP74" s="51"/>
      <c r="BQ74" s="51"/>
      <c r="BR74" s="51"/>
    </row>
    <row r="75" spans="33:70" ht="30" customHeight="1">
      <c r="AG75" s="68"/>
      <c r="AH75" s="68"/>
      <c r="BF75" s="140"/>
      <c r="BG75" s="52"/>
      <c r="BH75" s="51"/>
      <c r="BI75" s="52"/>
      <c r="BJ75" s="51"/>
      <c r="BK75" s="52"/>
      <c r="BL75" s="51"/>
      <c r="BM75" s="52"/>
      <c r="BN75" s="51"/>
      <c r="BO75" s="52"/>
      <c r="BP75" s="51"/>
      <c r="BQ75" s="51"/>
      <c r="BR75" s="51"/>
    </row>
    <row r="76" spans="33:34" ht="30" customHeight="1">
      <c r="AG76" s="68"/>
      <c r="AH76" s="68"/>
    </row>
    <row r="77" spans="33:70" ht="26.25" customHeight="1">
      <c r="AG77" s="68"/>
      <c r="AH77" s="68"/>
      <c r="BF77" s="132"/>
      <c r="BG77" s="52"/>
      <c r="BH77" s="132"/>
      <c r="BI77" s="52"/>
      <c r="BJ77" s="132"/>
      <c r="BK77" s="52"/>
      <c r="BL77" s="132"/>
      <c r="BM77" s="52"/>
      <c r="BN77" s="132"/>
      <c r="BO77" s="52"/>
      <c r="BP77" s="132"/>
      <c r="BQ77" s="132"/>
      <c r="BR77" s="132"/>
    </row>
    <row r="78" spans="33:63" ht="13.5">
      <c r="AG78" s="68"/>
      <c r="AH78" s="68"/>
      <c r="BF78" s="63"/>
      <c r="BG78" s="63"/>
      <c r="BH78" s="63"/>
      <c r="BI78" s="63"/>
      <c r="BJ78" s="63"/>
      <c r="BK78" s="63"/>
    </row>
    <row r="79" spans="33:34" ht="11.25">
      <c r="AG79" s="68"/>
      <c r="AH79" s="68"/>
    </row>
    <row r="80" spans="33:34" ht="11.25">
      <c r="AG80" s="68"/>
      <c r="AH80" s="68"/>
    </row>
    <row r="81" spans="33:34" ht="11.25">
      <c r="AG81" s="68"/>
      <c r="AH81" s="68"/>
    </row>
    <row r="82" spans="33:70" ht="13.5">
      <c r="AG82" s="68"/>
      <c r="AH82" s="68"/>
      <c r="BF82" s="63"/>
      <c r="BG82" s="63"/>
      <c r="BH82" s="63"/>
      <c r="BI82" s="63"/>
      <c r="BJ82" s="63"/>
      <c r="BK82" s="63"/>
      <c r="BL82" s="63"/>
      <c r="BM82" s="63"/>
      <c r="BN82" s="63"/>
      <c r="BO82" s="63"/>
      <c r="BP82" s="50"/>
      <c r="BQ82" s="50"/>
      <c r="BR82" s="50"/>
    </row>
    <row r="83" spans="32:70" ht="13.5">
      <c r="AF83" s="50"/>
      <c r="AG83" s="68"/>
      <c r="AH83" s="68"/>
      <c r="BF83" s="63"/>
      <c r="BG83" s="63"/>
      <c r="BH83" s="63"/>
      <c r="BI83" s="63"/>
      <c r="BJ83" s="63"/>
      <c r="BK83" s="63"/>
      <c r="BL83" s="63"/>
      <c r="BM83" s="63"/>
      <c r="BN83" s="63"/>
      <c r="BO83" s="63"/>
      <c r="BP83" s="50"/>
      <c r="BQ83" s="50"/>
      <c r="BR83" s="50"/>
    </row>
    <row r="84" spans="31:70" ht="13.5">
      <c r="AE84" s="50"/>
      <c r="AG84" s="68"/>
      <c r="AH84" s="68"/>
      <c r="BF84" s="63"/>
      <c r="BG84" s="63"/>
      <c r="BH84" s="63"/>
      <c r="BI84" s="63"/>
      <c r="BJ84" s="63"/>
      <c r="BK84" s="63"/>
      <c r="BL84" s="63"/>
      <c r="BM84" s="63"/>
      <c r="BN84" s="63"/>
      <c r="BO84" s="63"/>
      <c r="BP84" s="50"/>
      <c r="BQ84" s="50"/>
      <c r="BR84" s="50"/>
    </row>
    <row r="85" spans="26:67" ht="24">
      <c r="Z85" s="71"/>
      <c r="AA85" s="71"/>
      <c r="AB85" s="71"/>
      <c r="AC85" s="71"/>
      <c r="AD85" s="50"/>
      <c r="AG85" s="68"/>
      <c r="AH85" s="68"/>
      <c r="BF85" s="63"/>
      <c r="BG85" s="63"/>
      <c r="BH85" s="63"/>
      <c r="BI85" s="63"/>
      <c r="BJ85" s="63"/>
      <c r="BK85" s="63"/>
      <c r="BL85" s="63"/>
      <c r="BM85" s="63"/>
      <c r="BN85" s="63"/>
      <c r="BO85" s="63"/>
    </row>
    <row r="86" spans="33:65" ht="13.5">
      <c r="AG86" s="68"/>
      <c r="AH86" s="68"/>
      <c r="BF86" s="63"/>
      <c r="BG86" s="63"/>
      <c r="BH86" s="63"/>
      <c r="BI86" s="63"/>
      <c r="BJ86" s="63"/>
      <c r="BK86" s="63"/>
      <c r="BL86" s="63"/>
      <c r="BM86" s="63"/>
    </row>
    <row r="87" spans="33:65" ht="13.5">
      <c r="AG87" s="68"/>
      <c r="AH87" s="68"/>
      <c r="BF87" s="63"/>
      <c r="BG87" s="63"/>
      <c r="BH87" s="63"/>
      <c r="BI87" s="63"/>
      <c r="BJ87" s="63"/>
      <c r="BK87" s="63"/>
      <c r="BL87" s="63"/>
      <c r="BM87" s="63"/>
    </row>
    <row r="88" spans="25:65" ht="13.5">
      <c r="Y88" s="92"/>
      <c r="AG88" s="68"/>
      <c r="AH88" s="68"/>
      <c r="BF88" s="63"/>
      <c r="BG88" s="63"/>
      <c r="BH88" s="63"/>
      <c r="BI88" s="63"/>
      <c r="BJ88" s="63"/>
      <c r="BK88" s="63"/>
      <c r="BL88" s="63"/>
      <c r="BM88" s="63"/>
    </row>
    <row r="89" spans="33:65" ht="13.5">
      <c r="AG89" s="68"/>
      <c r="AH89" s="68"/>
      <c r="BF89" s="63"/>
      <c r="BG89" s="63"/>
      <c r="BH89" s="63"/>
      <c r="BI89" s="63"/>
      <c r="BJ89" s="63"/>
      <c r="BK89" s="63"/>
      <c r="BL89" s="63"/>
      <c r="BM89" s="63"/>
    </row>
    <row r="90" spans="33:65" ht="13.5">
      <c r="AG90" s="68"/>
      <c r="AH90" s="63"/>
      <c r="AI90" s="63"/>
      <c r="BF90" s="63"/>
      <c r="BG90" s="63"/>
      <c r="BH90" s="63"/>
      <c r="BI90" s="63"/>
      <c r="BJ90" s="63"/>
      <c r="BK90" s="63"/>
      <c r="BL90" s="63"/>
      <c r="BM90" s="63"/>
    </row>
    <row r="91" spans="34:66" ht="13.5">
      <c r="AH91" s="63"/>
      <c r="AI91" s="63"/>
      <c r="AJ91" s="141"/>
      <c r="AK91" s="63"/>
      <c r="AL91" s="63"/>
      <c r="AM91" s="63"/>
      <c r="BE91" s="132"/>
      <c r="BF91" s="63"/>
      <c r="BG91" s="63"/>
      <c r="BH91" s="63"/>
      <c r="BI91" s="63"/>
      <c r="BJ91" s="63"/>
      <c r="BK91" s="63"/>
      <c r="BL91" s="63"/>
      <c r="BM91" s="63"/>
      <c r="BN91" s="63"/>
    </row>
    <row r="92" spans="33:66" ht="13.5">
      <c r="AG92" s="68"/>
      <c r="AH92" s="63"/>
      <c r="AI92" s="63"/>
      <c r="AJ92" s="53"/>
      <c r="AK92" s="63"/>
      <c r="AL92" s="63"/>
      <c r="AM92" s="63"/>
      <c r="AN92" s="63"/>
      <c r="AW92" s="132"/>
      <c r="AX92" s="132"/>
      <c r="AY92" s="132"/>
      <c r="AZ92" s="132"/>
      <c r="BA92" s="132"/>
      <c r="BB92" s="132"/>
      <c r="BC92" s="132"/>
      <c r="BD92" s="132"/>
      <c r="BE92" s="52"/>
      <c r="BF92" s="63"/>
      <c r="BG92" s="63"/>
      <c r="BH92" s="63"/>
      <c r="BI92" s="63"/>
      <c r="BJ92" s="63"/>
      <c r="BK92" s="63"/>
      <c r="BL92" s="63"/>
      <c r="BM92" s="63"/>
      <c r="BN92" s="63"/>
    </row>
    <row r="93" spans="33:66" ht="13.5">
      <c r="AG93" s="68"/>
      <c r="AH93" s="63"/>
      <c r="AI93" s="63"/>
      <c r="AJ93" s="53"/>
      <c r="AK93" s="63"/>
      <c r="AL93" s="63"/>
      <c r="AM93" s="63"/>
      <c r="AN93" s="63"/>
      <c r="AW93" s="51"/>
      <c r="AX93" s="51"/>
      <c r="AY93" s="51"/>
      <c r="AZ93" s="51"/>
      <c r="BA93" s="51"/>
      <c r="BB93" s="51"/>
      <c r="BC93" s="51"/>
      <c r="BD93" s="51"/>
      <c r="BE93" s="52"/>
      <c r="BF93" s="63"/>
      <c r="BG93" s="63"/>
      <c r="BH93" s="63"/>
      <c r="BI93" s="63"/>
      <c r="BJ93" s="63"/>
      <c r="BK93" s="63"/>
      <c r="BL93" s="63"/>
      <c r="BM93" s="63"/>
      <c r="BN93" s="63"/>
    </row>
    <row r="94" spans="35:66" ht="17.25">
      <c r="AI94" s="113"/>
      <c r="AK94" s="63"/>
      <c r="AL94" s="63"/>
      <c r="AM94" s="63"/>
      <c r="AN94" s="63"/>
      <c r="AW94" s="51"/>
      <c r="AX94" s="51"/>
      <c r="AY94" s="51"/>
      <c r="AZ94" s="51"/>
      <c r="BA94" s="51"/>
      <c r="BB94" s="51"/>
      <c r="BC94" s="51"/>
      <c r="BD94" s="51"/>
      <c r="BE94" s="52"/>
      <c r="BF94" s="63"/>
      <c r="BG94" s="63"/>
      <c r="BH94" s="63"/>
      <c r="BI94" s="63"/>
      <c r="BJ94" s="63"/>
      <c r="BK94" s="63"/>
      <c r="BL94" s="63"/>
      <c r="BM94" s="63"/>
      <c r="BN94" s="63"/>
    </row>
    <row r="95" spans="35:69" ht="17.25">
      <c r="AI95" s="113"/>
      <c r="AK95" s="63"/>
      <c r="AL95" s="63"/>
      <c r="AM95" s="63"/>
      <c r="AN95" s="63"/>
      <c r="AW95" s="51"/>
      <c r="AX95" s="51"/>
      <c r="AY95" s="51"/>
      <c r="AZ95" s="51"/>
      <c r="BA95" s="51"/>
      <c r="BB95" s="51"/>
      <c r="BC95" s="51"/>
      <c r="BD95" s="51"/>
      <c r="BE95" s="52"/>
      <c r="BF95" s="63"/>
      <c r="BG95" s="63"/>
      <c r="BH95" s="63"/>
      <c r="BI95" s="63"/>
      <c r="BJ95" s="63"/>
      <c r="BK95" s="63"/>
      <c r="BL95" s="63"/>
      <c r="BM95" s="63"/>
      <c r="BN95" s="63"/>
      <c r="BO95" s="63"/>
      <c r="BP95" s="63"/>
      <c r="BQ95" s="63"/>
    </row>
    <row r="96" spans="35:69" ht="17.25">
      <c r="AI96" s="113"/>
      <c r="AN96" s="63"/>
      <c r="AW96" s="51"/>
      <c r="AX96" s="51"/>
      <c r="AY96" s="51"/>
      <c r="AZ96" s="51"/>
      <c r="BA96" s="51"/>
      <c r="BB96" s="51"/>
      <c r="BC96" s="51"/>
      <c r="BD96" s="51"/>
      <c r="BF96" s="63"/>
      <c r="BG96" s="63"/>
      <c r="BH96" s="63"/>
      <c r="BI96" s="63"/>
      <c r="BJ96" s="63"/>
      <c r="BK96" s="63"/>
      <c r="BL96" s="63"/>
      <c r="BM96" s="63"/>
      <c r="BN96" s="63"/>
      <c r="BO96" s="63"/>
      <c r="BP96" s="63"/>
      <c r="BQ96" s="63"/>
    </row>
    <row r="97" spans="35:69" ht="17.25">
      <c r="AI97" s="113"/>
      <c r="BE97" s="52"/>
      <c r="BF97" s="63"/>
      <c r="BG97" s="63"/>
      <c r="BH97" s="63"/>
      <c r="BI97" s="63"/>
      <c r="BJ97" s="63"/>
      <c r="BK97" s="63"/>
      <c r="BL97" s="63"/>
      <c r="BM97" s="63"/>
      <c r="BN97" s="63"/>
      <c r="BO97" s="63"/>
      <c r="BP97" s="63"/>
      <c r="BQ97" s="63"/>
    </row>
    <row r="98" spans="35:72" ht="17.25">
      <c r="AI98" s="113"/>
      <c r="AW98" s="52"/>
      <c r="AX98" s="52"/>
      <c r="AY98" s="132"/>
      <c r="AZ98" s="52"/>
      <c r="BA98" s="52"/>
      <c r="BB98" s="132"/>
      <c r="BC98" s="52"/>
      <c r="BD98" s="52"/>
      <c r="BE98" s="63"/>
      <c r="BF98" s="63"/>
      <c r="BG98" s="63"/>
      <c r="BH98" s="63"/>
      <c r="BI98" s="63"/>
      <c r="BJ98" s="63"/>
      <c r="BK98" s="63"/>
      <c r="BL98" s="63"/>
      <c r="BM98" s="63"/>
      <c r="BN98" s="63"/>
      <c r="BO98" s="63"/>
      <c r="BP98" s="63"/>
      <c r="BQ98" s="63"/>
      <c r="BR98" s="63"/>
      <c r="BS98" s="63"/>
      <c r="BT98" s="63"/>
    </row>
    <row r="99" spans="35:68" ht="17.25">
      <c r="AI99" s="113"/>
      <c r="AK99" s="63"/>
      <c r="AL99" s="63"/>
      <c r="AM99" s="63"/>
      <c r="AW99" s="63"/>
      <c r="AX99" s="63"/>
      <c r="AY99" s="63"/>
      <c r="AZ99" s="63"/>
      <c r="BA99" s="63"/>
      <c r="BB99" s="63"/>
      <c r="BC99" s="63"/>
      <c r="BD99" s="63"/>
      <c r="BF99" s="63"/>
      <c r="BG99" s="63"/>
      <c r="BH99" s="63"/>
      <c r="BI99" s="63"/>
      <c r="BJ99" s="63"/>
      <c r="BK99" s="63"/>
      <c r="BL99" s="63"/>
      <c r="BM99" s="63"/>
      <c r="BN99" s="63"/>
      <c r="BO99" s="63"/>
      <c r="BP99" s="63"/>
    </row>
    <row r="100" spans="35:61" ht="13.5">
      <c r="AI100" s="63"/>
      <c r="AJ100" s="63"/>
      <c r="AN100" s="63"/>
      <c r="BF100" s="63"/>
      <c r="BG100" s="63"/>
      <c r="BH100" s="63"/>
      <c r="BI100" s="63"/>
    </row>
    <row r="101" spans="35:36" ht="11.25">
      <c r="AI101" s="132"/>
      <c r="AJ101" s="132"/>
    </row>
    <row r="102" ht="13.5">
      <c r="BE102" s="63"/>
    </row>
    <row r="103" spans="35:63" ht="13.5">
      <c r="AI103" s="63"/>
      <c r="AJ103" s="63"/>
      <c r="AK103" s="63"/>
      <c r="AL103" s="63"/>
      <c r="AM103" s="63"/>
      <c r="AW103" s="63"/>
      <c r="AX103" s="63"/>
      <c r="AY103" s="63"/>
      <c r="AZ103" s="63"/>
      <c r="BA103" s="63"/>
      <c r="BB103" s="63"/>
      <c r="BC103" s="63"/>
      <c r="BD103" s="63"/>
      <c r="BE103" s="63"/>
      <c r="BF103" s="63"/>
      <c r="BG103" s="63"/>
      <c r="BH103" s="63"/>
      <c r="BI103" s="63"/>
      <c r="BJ103" s="63"/>
      <c r="BK103" s="63"/>
    </row>
    <row r="104" spans="35:57" ht="13.5">
      <c r="AI104" s="63"/>
      <c r="AJ104" s="63"/>
      <c r="AK104" s="63"/>
      <c r="AL104" s="63"/>
      <c r="AM104" s="63"/>
      <c r="AN104" s="63"/>
      <c r="AW104" s="63"/>
      <c r="AX104" s="63"/>
      <c r="AY104" s="63"/>
      <c r="AZ104" s="63"/>
      <c r="BA104" s="63"/>
      <c r="BB104" s="63"/>
      <c r="BC104" s="63"/>
      <c r="BD104" s="63"/>
      <c r="BE104" s="63"/>
    </row>
    <row r="105" spans="35:57" ht="13.5">
      <c r="AI105" s="63"/>
      <c r="AJ105" s="63"/>
      <c r="AK105" s="63"/>
      <c r="AL105" s="63"/>
      <c r="AM105" s="63"/>
      <c r="AN105" s="63"/>
      <c r="AW105" s="63"/>
      <c r="AX105" s="63"/>
      <c r="AY105" s="63"/>
      <c r="AZ105" s="63"/>
      <c r="BA105" s="63"/>
      <c r="BB105" s="63"/>
      <c r="BC105" s="63"/>
      <c r="BD105" s="63"/>
      <c r="BE105" s="63"/>
    </row>
    <row r="106" spans="35:57" ht="13.5">
      <c r="AI106" s="63"/>
      <c r="AJ106" s="63"/>
      <c r="AK106" s="63"/>
      <c r="AL106" s="63"/>
      <c r="AM106" s="63"/>
      <c r="AN106" s="63"/>
      <c r="AW106" s="63"/>
      <c r="AX106" s="63"/>
      <c r="AY106" s="63"/>
      <c r="AZ106" s="63"/>
      <c r="BA106" s="63"/>
      <c r="BB106" s="63"/>
      <c r="BC106" s="63"/>
      <c r="BD106" s="63"/>
      <c r="BE106" s="63"/>
    </row>
    <row r="107" spans="35:57" ht="13.5">
      <c r="AI107" s="63"/>
      <c r="AJ107" s="63"/>
      <c r="AK107" s="63"/>
      <c r="AL107" s="63"/>
      <c r="AM107" s="63"/>
      <c r="AN107" s="63"/>
      <c r="AW107" s="63"/>
      <c r="AX107" s="63"/>
      <c r="AY107" s="63"/>
      <c r="AZ107" s="63"/>
      <c r="BA107" s="63"/>
      <c r="BB107" s="63"/>
      <c r="BC107" s="63"/>
      <c r="BD107" s="63"/>
      <c r="BE107" s="63"/>
    </row>
    <row r="108" spans="35:57" ht="13.5">
      <c r="AI108" s="63"/>
      <c r="AJ108" s="63"/>
      <c r="AK108" s="63"/>
      <c r="AL108" s="63"/>
      <c r="AM108" s="63"/>
      <c r="AN108" s="63"/>
      <c r="AW108" s="63"/>
      <c r="AX108" s="63"/>
      <c r="AY108" s="63"/>
      <c r="AZ108" s="63"/>
      <c r="BA108" s="63"/>
      <c r="BB108" s="63"/>
      <c r="BC108" s="63"/>
      <c r="BD108" s="63"/>
      <c r="BE108" s="63"/>
    </row>
    <row r="109" spans="35:57" ht="13.5">
      <c r="AI109" s="63"/>
      <c r="AJ109" s="63"/>
      <c r="AK109" s="63"/>
      <c r="AL109" s="63"/>
      <c r="AM109" s="63"/>
      <c r="AN109" s="63"/>
      <c r="AW109" s="63"/>
      <c r="AX109" s="63"/>
      <c r="AY109" s="63"/>
      <c r="AZ109" s="63"/>
      <c r="BA109" s="63"/>
      <c r="BB109" s="63"/>
      <c r="BC109" s="63"/>
      <c r="BD109" s="63"/>
      <c r="BE109" s="63"/>
    </row>
    <row r="110" spans="40:57" ht="13.5">
      <c r="AN110" s="63"/>
      <c r="AO110" s="63"/>
      <c r="AW110" s="63"/>
      <c r="AX110" s="63"/>
      <c r="AY110" s="63"/>
      <c r="AZ110" s="63"/>
      <c r="BA110" s="63"/>
      <c r="BB110" s="63"/>
      <c r="BC110" s="63"/>
      <c r="BD110" s="63"/>
      <c r="BE110" s="63"/>
    </row>
    <row r="111" spans="41:57" ht="13.5">
      <c r="AO111" s="63"/>
      <c r="AW111" s="63"/>
      <c r="AX111" s="63"/>
      <c r="AY111" s="63"/>
      <c r="AZ111" s="63"/>
      <c r="BA111" s="63"/>
      <c r="BB111" s="63"/>
      <c r="BC111" s="63"/>
      <c r="BD111" s="63"/>
      <c r="BE111" s="63"/>
    </row>
    <row r="112" spans="41:57" ht="13.5">
      <c r="AO112" s="63"/>
      <c r="AP112" s="63"/>
      <c r="AQ112" s="63"/>
      <c r="AR112" s="63"/>
      <c r="AS112" s="63"/>
      <c r="AT112" s="63"/>
      <c r="AU112" s="63"/>
      <c r="AV112" s="63"/>
      <c r="AW112" s="63"/>
      <c r="AX112" s="63"/>
      <c r="AY112" s="63"/>
      <c r="AZ112" s="63"/>
      <c r="BA112" s="63"/>
      <c r="BB112" s="63"/>
      <c r="BC112" s="63"/>
      <c r="BD112" s="63"/>
      <c r="BE112" s="63"/>
    </row>
    <row r="113" spans="41:57" ht="13.5">
      <c r="AO113" s="63"/>
      <c r="AP113" s="63"/>
      <c r="AQ113" s="63"/>
      <c r="AR113" s="63"/>
      <c r="AS113" s="63"/>
      <c r="AT113" s="63"/>
      <c r="AU113" s="63"/>
      <c r="AV113" s="63"/>
      <c r="AW113" s="63"/>
      <c r="AX113" s="63"/>
      <c r="AY113" s="63"/>
      <c r="AZ113" s="63"/>
      <c r="BA113" s="63"/>
      <c r="BB113" s="63"/>
      <c r="BC113" s="63"/>
      <c r="BD113" s="63"/>
      <c r="BE113" s="63"/>
    </row>
    <row r="114" spans="41:57" ht="13.5">
      <c r="AO114" s="63"/>
      <c r="AP114" s="63"/>
      <c r="AQ114" s="63"/>
      <c r="AR114" s="63"/>
      <c r="AS114" s="63"/>
      <c r="AT114" s="63"/>
      <c r="AU114" s="63"/>
      <c r="AV114" s="63"/>
      <c r="AW114" s="63"/>
      <c r="AX114" s="63"/>
      <c r="AY114" s="63"/>
      <c r="AZ114" s="63"/>
      <c r="BA114" s="63"/>
      <c r="BB114" s="63"/>
      <c r="BC114" s="63"/>
      <c r="BD114" s="63"/>
      <c r="BE114" s="63"/>
    </row>
    <row r="115" spans="41:57" ht="13.5">
      <c r="AO115" s="63"/>
      <c r="AP115" s="63"/>
      <c r="AQ115" s="63"/>
      <c r="AR115" s="63"/>
      <c r="AS115" s="63"/>
      <c r="AT115" s="63"/>
      <c r="AU115" s="63"/>
      <c r="AV115" s="63"/>
      <c r="AW115" s="63"/>
      <c r="AX115" s="63"/>
      <c r="AY115" s="63"/>
      <c r="AZ115" s="63"/>
      <c r="BA115" s="63"/>
      <c r="BB115" s="63"/>
      <c r="BC115" s="63"/>
      <c r="BD115" s="63"/>
      <c r="BE115" s="63"/>
    </row>
    <row r="116" spans="41:57" ht="13.5">
      <c r="AO116" s="63"/>
      <c r="AP116" s="63"/>
      <c r="AQ116" s="63"/>
      <c r="AR116" s="63"/>
      <c r="AS116" s="63"/>
      <c r="AT116" s="63"/>
      <c r="AU116" s="63"/>
      <c r="AV116" s="63"/>
      <c r="AW116" s="63"/>
      <c r="AX116" s="63"/>
      <c r="AY116" s="63"/>
      <c r="AZ116" s="63"/>
      <c r="BA116" s="63"/>
      <c r="BB116" s="63"/>
      <c r="BC116" s="63"/>
      <c r="BD116" s="63"/>
      <c r="BE116" s="63"/>
    </row>
    <row r="117" spans="33:57" ht="13.5">
      <c r="AG117" s="68"/>
      <c r="AI117" s="132"/>
      <c r="AO117" s="63"/>
      <c r="AP117" s="63"/>
      <c r="AQ117" s="63"/>
      <c r="AR117" s="63"/>
      <c r="AS117" s="63"/>
      <c r="AT117" s="63"/>
      <c r="AU117" s="63"/>
      <c r="AV117" s="63"/>
      <c r="AW117" s="63"/>
      <c r="AX117" s="63"/>
      <c r="AY117" s="63"/>
      <c r="AZ117" s="63"/>
      <c r="BA117" s="63"/>
      <c r="BB117" s="63"/>
      <c r="BC117" s="63"/>
      <c r="BD117" s="63"/>
      <c r="BE117" s="63"/>
    </row>
    <row r="118" spans="41:57" ht="13.5">
      <c r="AO118" s="63"/>
      <c r="AP118" s="63"/>
      <c r="AQ118" s="63"/>
      <c r="AR118" s="63"/>
      <c r="AS118" s="63"/>
      <c r="AT118" s="63"/>
      <c r="AU118" s="63"/>
      <c r="AV118" s="63"/>
      <c r="AW118" s="63"/>
      <c r="AX118" s="63"/>
      <c r="AY118" s="63"/>
      <c r="AZ118" s="63"/>
      <c r="BA118" s="63"/>
      <c r="BB118" s="63"/>
      <c r="BC118" s="63"/>
      <c r="BD118" s="63"/>
      <c r="BE118" s="63"/>
    </row>
    <row r="119" spans="26:57" ht="14.25">
      <c r="Z119" s="63"/>
      <c r="AA119" s="50"/>
      <c r="AB119" s="50"/>
      <c r="AC119" s="85"/>
      <c r="AD119" s="85"/>
      <c r="AO119" s="63"/>
      <c r="AP119" s="63"/>
      <c r="AQ119" s="63"/>
      <c r="AR119" s="63"/>
      <c r="AS119" s="63"/>
      <c r="AT119" s="63"/>
      <c r="AU119" s="63"/>
      <c r="AV119" s="63"/>
      <c r="AW119" s="63"/>
      <c r="AX119" s="63"/>
      <c r="AY119" s="63"/>
      <c r="AZ119" s="63"/>
      <c r="BA119" s="63"/>
      <c r="BB119" s="63"/>
      <c r="BC119" s="63"/>
      <c r="BD119" s="63"/>
      <c r="BE119" s="63"/>
    </row>
    <row r="120" spans="41:57" ht="13.5">
      <c r="AO120" s="63"/>
      <c r="AP120" s="63"/>
      <c r="AQ120" s="63"/>
      <c r="AR120" s="63"/>
      <c r="AS120" s="63"/>
      <c r="AT120" s="63"/>
      <c r="AU120" s="63"/>
      <c r="AV120" s="63"/>
      <c r="AW120" s="63"/>
      <c r="AX120" s="63"/>
      <c r="AY120" s="63"/>
      <c r="AZ120" s="63"/>
      <c r="BA120" s="63"/>
      <c r="BB120" s="63"/>
      <c r="BC120" s="63"/>
      <c r="BD120" s="63"/>
      <c r="BE120" s="63"/>
    </row>
    <row r="121" spans="41:56" ht="13.5">
      <c r="AO121" s="63"/>
      <c r="AP121" s="63"/>
      <c r="AQ121" s="63"/>
      <c r="AR121" s="63"/>
      <c r="AS121" s="63"/>
      <c r="AT121" s="63"/>
      <c r="AU121" s="63"/>
      <c r="AV121" s="63"/>
      <c r="AW121" s="63"/>
      <c r="AX121" s="63"/>
      <c r="AY121" s="63"/>
      <c r="AZ121" s="63"/>
      <c r="BA121" s="63"/>
      <c r="BB121" s="63"/>
      <c r="BC121" s="63"/>
      <c r="BD121" s="63"/>
    </row>
    <row r="122" spans="25:56" ht="13.5">
      <c r="Y122" s="63"/>
      <c r="AO122" s="63"/>
      <c r="AP122" s="63"/>
      <c r="AQ122" s="63"/>
      <c r="AR122" s="63"/>
      <c r="AS122" s="63"/>
      <c r="AT122" s="63"/>
      <c r="AU122" s="63"/>
      <c r="AV122" s="63"/>
      <c r="AW122" s="63"/>
      <c r="AX122" s="63"/>
      <c r="AY122" s="63"/>
      <c r="AZ122" s="63"/>
      <c r="BA122" s="63"/>
      <c r="BB122" s="63"/>
      <c r="BC122" s="63"/>
      <c r="BD122" s="63"/>
    </row>
    <row r="123" spans="42:57" ht="13.5">
      <c r="AP123" s="63"/>
      <c r="AQ123" s="63"/>
      <c r="AR123" s="63"/>
      <c r="AS123" s="63"/>
      <c r="AT123" s="63"/>
      <c r="AU123" s="63"/>
      <c r="AV123" s="63"/>
      <c r="AW123" s="63"/>
      <c r="AX123" s="63"/>
      <c r="AY123" s="63"/>
      <c r="AZ123" s="63"/>
      <c r="BA123" s="63"/>
      <c r="BB123" s="63"/>
      <c r="BC123" s="63"/>
      <c r="BD123" s="63"/>
      <c r="BE123" s="63"/>
    </row>
    <row r="124" spans="42:56" ht="13.5">
      <c r="AP124" s="63"/>
      <c r="AQ124" s="63"/>
      <c r="AR124" s="63"/>
      <c r="AS124" s="63"/>
      <c r="AT124" s="63"/>
      <c r="AU124" s="63"/>
      <c r="AV124" s="63"/>
      <c r="AW124" s="63"/>
      <c r="AX124" s="63"/>
      <c r="AY124" s="63"/>
      <c r="AZ124" s="63"/>
      <c r="BA124" s="63"/>
      <c r="BB124" s="63"/>
      <c r="BC124" s="63"/>
      <c r="BD124" s="63"/>
    </row>
  </sheetData>
  <sheetProtection sheet="1" objects="1" scenarios="1"/>
  <mergeCells count="98">
    <mergeCell ref="B26:U27"/>
    <mergeCell ref="O24:U24"/>
    <mergeCell ref="AB15:AD15"/>
    <mergeCell ref="Z47:Z49"/>
    <mergeCell ref="AB7:AD7"/>
    <mergeCell ref="H11:I11"/>
    <mergeCell ref="J11:K11"/>
    <mergeCell ref="L11:M11"/>
    <mergeCell ref="N11:O11"/>
    <mergeCell ref="AA47:AA49"/>
    <mergeCell ref="AB47:AB49"/>
    <mergeCell ref="R11:S11"/>
    <mergeCell ref="P11:Q11"/>
    <mergeCell ref="T11:U11"/>
    <mergeCell ref="J10:K10"/>
    <mergeCell ref="L10:M10"/>
    <mergeCell ref="N10:O10"/>
    <mergeCell ref="P10:S10"/>
    <mergeCell ref="T10:U10"/>
    <mergeCell ref="AB25:AB27"/>
    <mergeCell ref="B17:C17"/>
    <mergeCell ref="D11:E11"/>
    <mergeCell ref="F11:G11"/>
    <mergeCell ref="B18:C18"/>
    <mergeCell ref="B12:C12"/>
    <mergeCell ref="B13:C13"/>
    <mergeCell ref="D5:G5"/>
    <mergeCell ref="B7:C7"/>
    <mergeCell ref="D7:U7"/>
    <mergeCell ref="B8:C11"/>
    <mergeCell ref="D8:K8"/>
    <mergeCell ref="L8:U8"/>
    <mergeCell ref="H9:I9"/>
    <mergeCell ref="J9:K9"/>
    <mergeCell ref="D10:G10"/>
    <mergeCell ref="H10:I10"/>
    <mergeCell ref="AF5:AK5"/>
    <mergeCell ref="AG6:AK7"/>
    <mergeCell ref="AF6:AF7"/>
    <mergeCell ref="L5:O5"/>
    <mergeCell ref="AG16:AK17"/>
    <mergeCell ref="AG10:AK11"/>
    <mergeCell ref="AG8:AK9"/>
    <mergeCell ref="AG15:AK15"/>
    <mergeCell ref="AG14:AK14"/>
    <mergeCell ref="AG13:AK13"/>
    <mergeCell ref="AA6:AA7"/>
    <mergeCell ref="AG20:AK20"/>
    <mergeCell ref="B19:C19"/>
    <mergeCell ref="B15:C15"/>
    <mergeCell ref="AM25:AM27"/>
    <mergeCell ref="AL25:AL27"/>
    <mergeCell ref="AE25:AE27"/>
    <mergeCell ref="AB18:AD18"/>
    <mergeCell ref="B22:C23"/>
    <mergeCell ref="B20:C20"/>
    <mergeCell ref="AB22:AC22"/>
    <mergeCell ref="AU25:AW25"/>
    <mergeCell ref="AQ25:AQ26"/>
    <mergeCell ref="AJ25:AJ27"/>
    <mergeCell ref="AN25:AN27"/>
    <mergeCell ref="AO25:AO27"/>
    <mergeCell ref="AH25:AH27"/>
    <mergeCell ref="AG66:AG67"/>
    <mergeCell ref="AH66:AJ67"/>
    <mergeCell ref="AB16:AD16"/>
    <mergeCell ref="AB19:AD19"/>
    <mergeCell ref="AG60:AG61"/>
    <mergeCell ref="AG25:AG27"/>
    <mergeCell ref="AH38:AN38"/>
    <mergeCell ref="AI25:AI27"/>
    <mergeCell ref="AK25:AK27"/>
    <mergeCell ref="AB21:AC21"/>
    <mergeCell ref="BA25:BC25"/>
    <mergeCell ref="AX25:AZ25"/>
    <mergeCell ref="B14:C14"/>
    <mergeCell ref="B16:C16"/>
    <mergeCell ref="B21:C21"/>
    <mergeCell ref="AB17:AD17"/>
    <mergeCell ref="AR25:AT25"/>
    <mergeCell ref="AF25:AF27"/>
    <mergeCell ref="AG21:AK21"/>
    <mergeCell ref="AC20:AD20"/>
    <mergeCell ref="AG64:AG65"/>
    <mergeCell ref="AG52:AG53"/>
    <mergeCell ref="AG54:AG55"/>
    <mergeCell ref="AG56:AG57"/>
    <mergeCell ref="AG58:AG59"/>
    <mergeCell ref="AG62:AG63"/>
    <mergeCell ref="AO28:AO37"/>
    <mergeCell ref="AG18:AK19"/>
    <mergeCell ref="AM6:AP7"/>
    <mergeCell ref="AM8:AP8"/>
    <mergeCell ref="AM9:AP9"/>
    <mergeCell ref="AM10:AP10"/>
    <mergeCell ref="AM11:AP11"/>
    <mergeCell ref="AL6:AL7"/>
    <mergeCell ref="AG12:AK12"/>
  </mergeCells>
  <conditionalFormatting sqref="AA8:AD9">
    <cfRule type="expression" priority="90" dxfId="0" stopIfTrue="1">
      <formula>$AA$9="×"</formula>
    </cfRule>
  </conditionalFormatting>
  <conditionalFormatting sqref="AF8:AK9">
    <cfRule type="expression" priority="88" dxfId="0" stopIfTrue="1">
      <formula>$AF$9="×"</formula>
    </cfRule>
  </conditionalFormatting>
  <conditionalFormatting sqref="U19">
    <cfRule type="expression" priority="3" dxfId="0" stopIfTrue="1">
      <formula>AND($S$19&gt;0,$U$19=0)</formula>
    </cfRule>
    <cfRule type="expression" priority="80" dxfId="0" stopIfTrue="1">
      <formula>$T$19="×"</formula>
    </cfRule>
  </conditionalFormatting>
  <conditionalFormatting sqref="U21">
    <cfRule type="expression" priority="1" dxfId="0" stopIfTrue="1">
      <formula>AND($S$21&gt;0,$U$21=0)</formula>
    </cfRule>
    <cfRule type="expression" priority="78" dxfId="0" stopIfTrue="1">
      <formula>$T$21="×"</formula>
    </cfRule>
  </conditionalFormatting>
  <conditionalFormatting sqref="U15">
    <cfRule type="expression" priority="7" dxfId="0" stopIfTrue="1">
      <formula>AND($S$15&gt;0,$U$15=0)</formula>
    </cfRule>
    <cfRule type="expression" priority="76" dxfId="0" stopIfTrue="1">
      <formula>$T$15="×"</formula>
    </cfRule>
  </conditionalFormatting>
  <conditionalFormatting sqref="U17">
    <cfRule type="expression" priority="5" dxfId="0" stopIfTrue="1">
      <formula>AND($S$17&gt;0,$U$17=0)</formula>
    </cfRule>
    <cfRule type="expression" priority="74" dxfId="0" stopIfTrue="1">
      <formula>$T$17="×"</formula>
    </cfRule>
  </conditionalFormatting>
  <conditionalFormatting sqref="U12">
    <cfRule type="expression" priority="10" dxfId="0" stopIfTrue="1">
      <formula>AND($S$12&gt;0,$U$12=0)</formula>
    </cfRule>
    <cfRule type="expression" priority="84" dxfId="0" stopIfTrue="1">
      <formula>$T$12="×"</formula>
    </cfRule>
  </conditionalFormatting>
  <conditionalFormatting sqref="U13">
    <cfRule type="expression" priority="9" dxfId="0" stopIfTrue="1">
      <formula>AND($S$13&gt;0,$U$13=0)</formula>
    </cfRule>
    <cfRule type="expression" priority="83" dxfId="0" stopIfTrue="1">
      <formula>$T$13="×"</formula>
    </cfRule>
  </conditionalFormatting>
  <conditionalFormatting sqref="U18">
    <cfRule type="expression" priority="4" dxfId="0" stopIfTrue="1">
      <formula>AND($S$18&gt;0,$U$18=0)</formula>
    </cfRule>
    <cfRule type="expression" priority="82" dxfId="0" stopIfTrue="1">
      <formula>$T$18="×"</formula>
    </cfRule>
  </conditionalFormatting>
  <conditionalFormatting sqref="U14">
    <cfRule type="expression" priority="8" dxfId="0" stopIfTrue="1">
      <formula>AND($S$14&gt;0,$U$14=0)</formula>
    </cfRule>
    <cfRule type="expression" priority="73" dxfId="0" stopIfTrue="1">
      <formula>$T$14="×"</formula>
    </cfRule>
  </conditionalFormatting>
  <conditionalFormatting sqref="AF10:AK11">
    <cfRule type="expression" priority="71" dxfId="0" stopIfTrue="1">
      <formula>$AF$11="×"</formula>
    </cfRule>
  </conditionalFormatting>
  <conditionalFormatting sqref="AF14:AK15">
    <cfRule type="expression" priority="66" dxfId="0" stopIfTrue="1">
      <formula>$AF$15="×"</formula>
    </cfRule>
  </conditionalFormatting>
  <conditionalFormatting sqref="AA10:AD11">
    <cfRule type="expression" priority="65" dxfId="0" stopIfTrue="1">
      <formula>$AA$11="×"</formula>
    </cfRule>
  </conditionalFormatting>
  <conditionalFormatting sqref="AF16:AK17">
    <cfRule type="expression" priority="61" dxfId="0" stopIfTrue="1">
      <formula>$AF$17="×"</formula>
    </cfRule>
  </conditionalFormatting>
  <conditionalFormatting sqref="AF12:AK13">
    <cfRule type="expression" priority="89" dxfId="0" stopIfTrue="1">
      <formula>$AF$13="×"</formula>
    </cfRule>
  </conditionalFormatting>
  <conditionalFormatting sqref="B12 M12:U12">
    <cfRule type="expression" priority="56" dxfId="0" stopIfTrue="1">
      <formula>$AF$28="×"</formula>
    </cfRule>
  </conditionalFormatting>
  <conditionalFormatting sqref="B13 M13:U13">
    <cfRule type="expression" priority="55" dxfId="0" stopIfTrue="1">
      <formula>$AF$29="×"</formula>
    </cfRule>
  </conditionalFormatting>
  <conditionalFormatting sqref="B18 M18:U18">
    <cfRule type="expression" priority="54" dxfId="0" stopIfTrue="1">
      <formula>$AF$34="×"</formula>
    </cfRule>
  </conditionalFormatting>
  <conditionalFormatting sqref="B14 M14:U14">
    <cfRule type="expression" priority="99" dxfId="0" stopIfTrue="1">
      <formula>$AF$30="×"</formula>
    </cfRule>
  </conditionalFormatting>
  <conditionalFormatting sqref="B15 M15:U15">
    <cfRule type="expression" priority="116" dxfId="0" stopIfTrue="1">
      <formula>$AF$31="×"</formula>
    </cfRule>
  </conditionalFormatting>
  <conditionalFormatting sqref="B16 M16:U16">
    <cfRule type="expression" priority="127" dxfId="0" stopIfTrue="1">
      <formula>$AF$32="×"</formula>
    </cfRule>
  </conditionalFormatting>
  <conditionalFormatting sqref="B19 M19:U19">
    <cfRule type="expression" priority="123" dxfId="0" stopIfTrue="1">
      <formula>$AF$35="×"</formula>
    </cfRule>
    <cfRule type="expression" priority="124" dxfId="0" stopIfTrue="1">
      <formula>$P$19="×"</formula>
    </cfRule>
  </conditionalFormatting>
  <conditionalFormatting sqref="U20">
    <cfRule type="expression" priority="2" dxfId="0" stopIfTrue="1">
      <formula>AND($S$20&gt;0,$U$20=0)</formula>
    </cfRule>
    <cfRule type="expression" priority="46" dxfId="0" stopIfTrue="1">
      <formula>$T$20="×"</formula>
    </cfRule>
  </conditionalFormatting>
  <conditionalFormatting sqref="AF18:AK19">
    <cfRule type="expression" priority="43" dxfId="0" stopIfTrue="1">
      <formula>$AF$19="×"</formula>
    </cfRule>
  </conditionalFormatting>
  <conditionalFormatting sqref="AF20:AG21">
    <cfRule type="expression" priority="42" dxfId="0" stopIfTrue="1">
      <formula>$AF$21="×"</formula>
    </cfRule>
  </conditionalFormatting>
  <conditionalFormatting sqref="U22">
    <cfRule type="expression" priority="21" dxfId="0" stopIfTrue="1">
      <formula>$T$22="×"</formula>
    </cfRule>
  </conditionalFormatting>
  <conditionalFormatting sqref="S22">
    <cfRule type="expression" priority="20" dxfId="0" stopIfTrue="1">
      <formula>$R$22="×"</formula>
    </cfRule>
  </conditionalFormatting>
  <conditionalFormatting sqref="K22">
    <cfRule type="expression" priority="19" dxfId="0" stopIfTrue="1">
      <formula>$J$22="×"</formula>
    </cfRule>
  </conditionalFormatting>
  <conditionalFormatting sqref="I22">
    <cfRule type="expression" priority="18" dxfId="0" stopIfTrue="1">
      <formula>$H$22="×"</formula>
    </cfRule>
  </conditionalFormatting>
  <conditionalFormatting sqref="B20 M20:U20">
    <cfRule type="expression" priority="121" dxfId="0" stopIfTrue="1">
      <formula>$AF$36="×"</formula>
    </cfRule>
    <cfRule type="expression" priority="122" dxfId="0" stopIfTrue="1">
      <formula>$P$20="×"</formula>
    </cfRule>
  </conditionalFormatting>
  <conditionalFormatting sqref="B21 M21:U21">
    <cfRule type="expression" priority="119" dxfId="0" stopIfTrue="1">
      <formula>$AF$37="×"</formula>
    </cfRule>
    <cfRule type="expression" priority="120" dxfId="0" stopIfTrue="1">
      <formula>$P$21="×"</formula>
    </cfRule>
  </conditionalFormatting>
  <conditionalFormatting sqref="B17 M17:U17">
    <cfRule type="expression" priority="128" dxfId="0" stopIfTrue="1">
      <formula>$AF$33="×"</formula>
    </cfRule>
  </conditionalFormatting>
  <conditionalFormatting sqref="AL8:AM9">
    <cfRule type="expression" priority="17" dxfId="0" stopIfTrue="1">
      <formula>$AL$9="×"</formula>
    </cfRule>
  </conditionalFormatting>
  <conditionalFormatting sqref="AL10:AM11">
    <cfRule type="expression" priority="16" dxfId="0" stopIfTrue="1">
      <formula>$AL$11="×"</formula>
    </cfRule>
  </conditionalFormatting>
  <conditionalFormatting sqref="U16">
    <cfRule type="expression" priority="6" dxfId="0" stopIfTrue="1">
      <formula>AND($S$16&gt;0,$U$16=0)</formula>
    </cfRule>
  </conditionalFormatting>
  <dataValidations count="3">
    <dataValidation allowBlank="1" showInputMessage="1" showErrorMessage="1" imeMode="halfAlpha" sqref="Q22 S22 I22"/>
    <dataValidation allowBlank="1" showInputMessage="1" showErrorMessage="1" imeMode="hiragana" sqref="D6"/>
    <dataValidation type="whole" operator="greaterThanOrEqual" allowBlank="1" showInputMessage="1" showErrorMessage="1" errorTitle="0以上の数字を入力して下さい。" imeMode="halfAlpha" sqref="M12:M21 U12:U21 O12:O21 Q12:Q21 K12:K21 I12:I21 G12:G21 E12:E21 S12:S21">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50"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59" customWidth="1"/>
    <col min="2" max="4" width="3.7109375" style="161" customWidth="1"/>
    <col min="5" max="5" width="16.421875" style="160" customWidth="1"/>
    <col min="6" max="6" width="16.140625" style="1" customWidth="1"/>
    <col min="7" max="7" width="9.140625" style="161" customWidth="1"/>
    <col min="8" max="8" width="6.421875" style="159" customWidth="1"/>
    <col min="9" max="13" width="15.140625" style="161" customWidth="1"/>
    <col min="14" max="14" width="16.140625" style="161" bestFit="1" customWidth="1"/>
    <col min="15" max="15" width="5.28125" style="159" customWidth="1"/>
    <col min="16" max="16" width="2.140625" style="159" customWidth="1"/>
    <col min="17" max="17" width="15.140625" style="161" customWidth="1"/>
    <col min="18" max="18" width="0" style="161" hidden="1" customWidth="1"/>
    <col min="19" max="16384" width="9.00390625" style="161" customWidth="1"/>
  </cols>
  <sheetData>
    <row r="1" ht="13.5"/>
    <row r="2" spans="2:4" ht="13.5">
      <c r="B2" s="634" t="s">
        <v>170</v>
      </c>
      <c r="C2" s="634"/>
      <c r="D2" s="634"/>
    </row>
    <row r="3" ht="13.5"/>
    <row r="4" spans="1:6" ht="13.5" customHeight="1">
      <c r="A4" s="635" t="s">
        <v>207</v>
      </c>
      <c r="B4" s="635"/>
      <c r="C4" s="635"/>
      <c r="D4" s="635"/>
      <c r="E4" s="635"/>
      <c r="F4" s="159"/>
    </row>
    <row r="5" spans="1:6" ht="13.5" customHeight="1">
      <c r="A5" s="163"/>
      <c r="B5" s="163"/>
      <c r="C5" s="163"/>
      <c r="D5" s="163"/>
      <c r="E5" s="164"/>
      <c r="F5" s="159"/>
    </row>
    <row r="6" spans="1:8" ht="13.5" customHeight="1">
      <c r="A6" s="163"/>
      <c r="B6" s="165" t="s">
        <v>151</v>
      </c>
      <c r="C6" s="166"/>
      <c r="D6" s="167"/>
      <c r="E6" s="168"/>
      <c r="F6" s="482" t="s">
        <v>13</v>
      </c>
      <c r="G6" s="631"/>
      <c r="H6" s="483"/>
    </row>
    <row r="7" spans="1:8" ht="13.5" customHeight="1">
      <c r="A7" s="163"/>
      <c r="B7" s="163"/>
      <c r="C7" s="163"/>
      <c r="D7" s="163"/>
      <c r="E7" s="164"/>
      <c r="F7" s="638" t="s">
        <v>82</v>
      </c>
      <c r="G7" s="639"/>
      <c r="H7" s="640"/>
    </row>
    <row r="8" spans="1:15" ht="13.5" customHeight="1">
      <c r="A8" s="163"/>
      <c r="B8" s="167"/>
      <c r="C8" s="167"/>
      <c r="D8" s="167"/>
      <c r="E8" s="168"/>
      <c r="F8" s="203"/>
      <c r="O8" s="169"/>
    </row>
    <row r="9" spans="1:12" ht="13.5" customHeight="1">
      <c r="A9" s="163"/>
      <c r="B9" s="201"/>
      <c r="C9" s="201"/>
      <c r="D9" s="201"/>
      <c r="E9" s="204"/>
      <c r="F9" s="203"/>
      <c r="I9" s="170" t="s">
        <v>28</v>
      </c>
      <c r="J9" s="1" t="str">
        <f>IF('基本情報入力（使い方）'!$C$12="","",'基本情報入力（使い方）'!$C$12)</f>
        <v>Ｂ金属株式会社</v>
      </c>
      <c r="K9" s="170"/>
      <c r="L9" s="1"/>
    </row>
    <row r="10" spans="1:15" ht="13.5" customHeight="1" thickBot="1">
      <c r="A10" s="163"/>
      <c r="B10" s="201"/>
      <c r="C10" s="201"/>
      <c r="D10" s="201"/>
      <c r="E10" s="204"/>
      <c r="F10" s="203"/>
      <c r="M10" s="170"/>
      <c r="N10" s="170" t="s">
        <v>17</v>
      </c>
      <c r="O10" s="170"/>
    </row>
    <row r="11" spans="1:17" ht="27" customHeight="1">
      <c r="A11" s="636" t="s">
        <v>1</v>
      </c>
      <c r="B11" s="627" t="s">
        <v>2</v>
      </c>
      <c r="C11" s="627"/>
      <c r="D11" s="628"/>
      <c r="E11" s="171" t="s">
        <v>3</v>
      </c>
      <c r="F11" s="172" t="s">
        <v>4</v>
      </c>
      <c r="G11" s="172" t="s">
        <v>5</v>
      </c>
      <c r="H11" s="173" t="s">
        <v>6</v>
      </c>
      <c r="I11" s="172" t="s">
        <v>0</v>
      </c>
      <c r="J11" s="172" t="s">
        <v>0</v>
      </c>
      <c r="K11" s="627" t="s">
        <v>283</v>
      </c>
      <c r="L11" s="628"/>
      <c r="M11" s="623" t="s">
        <v>223</v>
      </c>
      <c r="N11" s="624"/>
      <c r="O11" s="632" t="s">
        <v>35</v>
      </c>
      <c r="Q11" s="445" t="str">
        <f>"補助対象経費の（"&amp;補助名&amp;"）"</f>
        <v>補助対象経費の（２／３）</v>
      </c>
    </row>
    <row r="12" spans="1:17" ht="42" customHeight="1" thickBot="1">
      <c r="A12" s="637"/>
      <c r="B12" s="174" t="s">
        <v>7</v>
      </c>
      <c r="C12" s="174" t="s">
        <v>8</v>
      </c>
      <c r="D12" s="175" t="s">
        <v>9</v>
      </c>
      <c r="E12" s="176"/>
      <c r="F12" s="177"/>
      <c r="G12" s="178"/>
      <c r="H12" s="179"/>
      <c r="I12" s="448" t="s">
        <v>10</v>
      </c>
      <c r="J12" s="448" t="s">
        <v>21</v>
      </c>
      <c r="K12" s="449" t="s">
        <v>11</v>
      </c>
      <c r="L12" s="450" t="s">
        <v>19</v>
      </c>
      <c r="M12" s="447" t="s">
        <v>287</v>
      </c>
      <c r="N12" s="447" t="s">
        <v>286</v>
      </c>
      <c r="O12" s="633"/>
      <c r="Q12" s="451" t="s">
        <v>179</v>
      </c>
    </row>
    <row r="13" spans="1:17" ht="61.5" customHeight="1">
      <c r="A13" s="206">
        <v>1</v>
      </c>
      <c r="B13" s="621">
        <v>43738</v>
      </c>
      <c r="C13" s="622"/>
      <c r="D13" s="622"/>
      <c r="E13" s="209" t="s">
        <v>90</v>
      </c>
      <c r="F13" s="209" t="s">
        <v>91</v>
      </c>
      <c r="G13" s="224">
        <v>1</v>
      </c>
      <c r="H13" s="225" t="s">
        <v>92</v>
      </c>
      <c r="I13" s="25">
        <f aca="true" t="shared" si="0" ref="I13:I22">IF(J13="","",ROUNDDOWN(J13*(1+O13/100),0))</f>
        <v>2160000</v>
      </c>
      <c r="J13" s="219">
        <v>2000000</v>
      </c>
      <c r="K13" s="25">
        <f aca="true" t="shared" si="1" ref="K13:K22">IF(L13="","",ROUNDDOWN(L13*(1+O13/100),0))</f>
        <v>2160000</v>
      </c>
      <c r="L13" s="25">
        <f>IF(OR(J13="",G13=""),"",ROUNDDOWN(J13*G13,0))</f>
        <v>2000000</v>
      </c>
      <c r="M13" s="26">
        <f>L13</f>
        <v>2000000</v>
      </c>
      <c r="N13" s="228">
        <v>2000000</v>
      </c>
      <c r="O13" s="221">
        <v>8</v>
      </c>
      <c r="P13" s="161"/>
      <c r="Q13" s="442">
        <f aca="true" t="shared" si="2" ref="Q13:Q22">IF(N13="","",ROUNDDOWN(N13/G13*補助率,0)*G13)</f>
        <v>1333333</v>
      </c>
    </row>
    <row r="14" spans="1:17" ht="61.5" customHeight="1">
      <c r="A14" s="207">
        <v>2</v>
      </c>
      <c r="B14" s="621">
        <v>43799</v>
      </c>
      <c r="C14" s="622"/>
      <c r="D14" s="622"/>
      <c r="E14" s="214" t="s">
        <v>90</v>
      </c>
      <c r="F14" s="214" t="s">
        <v>256</v>
      </c>
      <c r="G14" s="213">
        <v>1</v>
      </c>
      <c r="H14" s="226" t="s">
        <v>92</v>
      </c>
      <c r="I14" s="25">
        <f t="shared" si="0"/>
        <v>5697023</v>
      </c>
      <c r="J14" s="219">
        <v>5275022</v>
      </c>
      <c r="K14" s="25">
        <f t="shared" si="1"/>
        <v>5697023</v>
      </c>
      <c r="L14" s="25">
        <f aca="true" t="shared" si="3" ref="L14:L22">IF(OR(J14="",G14=""),"",ROUNDDOWN(J14*G14,0))</f>
        <v>5275022</v>
      </c>
      <c r="M14" s="26">
        <f aca="true" t="shared" si="4" ref="M14:M22">L14</f>
        <v>5275022</v>
      </c>
      <c r="N14" s="228">
        <v>5275022</v>
      </c>
      <c r="O14" s="221">
        <v>8</v>
      </c>
      <c r="Q14" s="443">
        <f t="shared" si="2"/>
        <v>3516681</v>
      </c>
    </row>
    <row r="15" spans="1:17" ht="61.5" customHeight="1">
      <c r="A15" s="206"/>
      <c r="B15" s="621"/>
      <c r="C15" s="622"/>
      <c r="D15" s="622"/>
      <c r="E15" s="214"/>
      <c r="F15" s="214"/>
      <c r="G15" s="211"/>
      <c r="H15" s="212"/>
      <c r="I15" s="25">
        <f t="shared" si="0"/>
      </c>
      <c r="J15" s="219"/>
      <c r="K15" s="25">
        <f t="shared" si="1"/>
      </c>
      <c r="L15" s="25">
        <f t="shared" si="3"/>
      </c>
      <c r="M15" s="26">
        <f t="shared" si="4"/>
      </c>
      <c r="N15" s="228"/>
      <c r="O15" s="221">
        <v>8</v>
      </c>
      <c r="P15" s="162"/>
      <c r="Q15" s="443">
        <f t="shared" si="2"/>
      </c>
    </row>
    <row r="16" spans="1:17" s="180" customFormat="1" ht="61.5" customHeight="1">
      <c r="A16" s="207"/>
      <c r="B16" s="621"/>
      <c r="C16" s="622"/>
      <c r="D16" s="622"/>
      <c r="E16" s="214"/>
      <c r="F16" s="214"/>
      <c r="G16" s="211"/>
      <c r="H16" s="212"/>
      <c r="I16" s="25">
        <f t="shared" si="0"/>
      </c>
      <c r="J16" s="219"/>
      <c r="K16" s="25">
        <f t="shared" si="1"/>
      </c>
      <c r="L16" s="25">
        <f t="shared" si="3"/>
      </c>
      <c r="M16" s="26">
        <f t="shared" si="4"/>
      </c>
      <c r="N16" s="228"/>
      <c r="O16" s="221">
        <v>8</v>
      </c>
      <c r="P16" s="162"/>
      <c r="Q16" s="443">
        <f t="shared" si="2"/>
      </c>
    </row>
    <row r="17" spans="1:17" ht="61.5" customHeight="1">
      <c r="A17" s="206"/>
      <c r="B17" s="621"/>
      <c r="C17" s="622"/>
      <c r="D17" s="622"/>
      <c r="E17" s="214"/>
      <c r="F17" s="214"/>
      <c r="G17" s="211"/>
      <c r="H17" s="212"/>
      <c r="I17" s="25">
        <f t="shared" si="0"/>
      </c>
      <c r="J17" s="219"/>
      <c r="K17" s="25">
        <f t="shared" si="1"/>
      </c>
      <c r="L17" s="25">
        <f t="shared" si="3"/>
      </c>
      <c r="M17" s="26">
        <f t="shared" si="4"/>
      </c>
      <c r="N17" s="228"/>
      <c r="O17" s="221">
        <v>8</v>
      </c>
      <c r="P17" s="162"/>
      <c r="Q17" s="443">
        <f t="shared" si="2"/>
      </c>
    </row>
    <row r="18" spans="1:17" ht="61.5" customHeight="1">
      <c r="A18" s="207"/>
      <c r="B18" s="621"/>
      <c r="C18" s="622"/>
      <c r="D18" s="622"/>
      <c r="E18" s="214"/>
      <c r="F18" s="214"/>
      <c r="G18" s="211"/>
      <c r="H18" s="212"/>
      <c r="I18" s="25">
        <f t="shared" si="0"/>
      </c>
      <c r="J18" s="219"/>
      <c r="K18" s="25">
        <f t="shared" si="1"/>
      </c>
      <c r="L18" s="25">
        <f t="shared" si="3"/>
      </c>
      <c r="M18" s="26">
        <f t="shared" si="4"/>
      </c>
      <c r="N18" s="228"/>
      <c r="O18" s="221">
        <v>8</v>
      </c>
      <c r="P18" s="162"/>
      <c r="Q18" s="443">
        <f t="shared" si="2"/>
      </c>
    </row>
    <row r="19" spans="1:17" ht="61.5" customHeight="1">
      <c r="A19" s="206"/>
      <c r="B19" s="621"/>
      <c r="C19" s="622"/>
      <c r="D19" s="622"/>
      <c r="E19" s="214"/>
      <c r="F19" s="215"/>
      <c r="G19" s="211"/>
      <c r="H19" s="212"/>
      <c r="I19" s="25">
        <f t="shared" si="0"/>
      </c>
      <c r="J19" s="219"/>
      <c r="K19" s="25">
        <f t="shared" si="1"/>
      </c>
      <c r="L19" s="25">
        <f t="shared" si="3"/>
      </c>
      <c r="M19" s="26">
        <f t="shared" si="4"/>
      </c>
      <c r="N19" s="228"/>
      <c r="O19" s="221">
        <v>8</v>
      </c>
      <c r="P19" s="162"/>
      <c r="Q19" s="443">
        <f t="shared" si="2"/>
      </c>
    </row>
    <row r="20" spans="1:17" s="180" customFormat="1" ht="61.5" customHeight="1">
      <c r="A20" s="207"/>
      <c r="B20" s="621"/>
      <c r="C20" s="622"/>
      <c r="D20" s="622"/>
      <c r="E20" s="214"/>
      <c r="F20" s="214"/>
      <c r="G20" s="211"/>
      <c r="H20" s="212"/>
      <c r="I20" s="25">
        <f t="shared" si="0"/>
      </c>
      <c r="J20" s="219"/>
      <c r="K20" s="25">
        <f t="shared" si="1"/>
      </c>
      <c r="L20" s="25">
        <f t="shared" si="3"/>
      </c>
      <c r="M20" s="26">
        <f t="shared" si="4"/>
      </c>
      <c r="N20" s="228"/>
      <c r="O20" s="221">
        <v>8</v>
      </c>
      <c r="P20" s="181"/>
      <c r="Q20" s="443">
        <f t="shared" si="2"/>
      </c>
    </row>
    <row r="21" spans="1:17" ht="61.5" customHeight="1">
      <c r="A21" s="206"/>
      <c r="B21" s="621"/>
      <c r="C21" s="622"/>
      <c r="D21" s="622"/>
      <c r="E21" s="214"/>
      <c r="F21" s="214"/>
      <c r="G21" s="211"/>
      <c r="H21" s="212"/>
      <c r="I21" s="25">
        <f t="shared" si="0"/>
      </c>
      <c r="J21" s="219"/>
      <c r="K21" s="25">
        <f t="shared" si="1"/>
      </c>
      <c r="L21" s="25">
        <f t="shared" si="3"/>
      </c>
      <c r="M21" s="26">
        <f t="shared" si="4"/>
      </c>
      <c r="N21" s="228"/>
      <c r="O21" s="221">
        <v>8</v>
      </c>
      <c r="Q21" s="443">
        <f t="shared" si="2"/>
      </c>
    </row>
    <row r="22" spans="1:17" ht="61.5" customHeight="1" thickBot="1">
      <c r="A22" s="208"/>
      <c r="B22" s="629"/>
      <c r="C22" s="630"/>
      <c r="D22" s="630"/>
      <c r="E22" s="216"/>
      <c r="F22" s="216"/>
      <c r="G22" s="217"/>
      <c r="H22" s="218"/>
      <c r="I22" s="27">
        <f t="shared" si="0"/>
      </c>
      <c r="J22" s="220"/>
      <c r="K22" s="27">
        <f t="shared" si="1"/>
      </c>
      <c r="L22" s="27">
        <f t="shared" si="3"/>
      </c>
      <c r="M22" s="27">
        <f t="shared" si="4"/>
      </c>
      <c r="N22" s="220"/>
      <c r="O22" s="222">
        <v>8</v>
      </c>
      <c r="Q22" s="443">
        <f t="shared" si="2"/>
      </c>
    </row>
    <row r="23" spans="1:18" ht="21" customHeight="1" thickBot="1">
      <c r="A23" s="625" t="s">
        <v>12</v>
      </c>
      <c r="B23" s="626"/>
      <c r="C23" s="626"/>
      <c r="D23" s="626"/>
      <c r="E23" s="626"/>
      <c r="F23" s="626"/>
      <c r="G23" s="626"/>
      <c r="H23" s="626"/>
      <c r="I23" s="626"/>
      <c r="J23" s="182"/>
      <c r="K23" s="24">
        <f>SUM(K13:K22)</f>
        <v>7857023</v>
      </c>
      <c r="L23" s="24">
        <f>SUM(L13:L22)</f>
        <v>7275022</v>
      </c>
      <c r="M23" s="264">
        <f>SUM(M13:M22)</f>
        <v>7275022</v>
      </c>
      <c r="N23" s="149">
        <f>SUM(N13:N22)</f>
        <v>7275022</v>
      </c>
      <c r="Q23" s="444">
        <f>SUM(Q13:Q22)</f>
        <v>4850014</v>
      </c>
      <c r="R23" s="161">
        <f>'経費明細表'!S12</f>
        <v>7275022</v>
      </c>
    </row>
    <row r="24" spans="1:20" ht="13.5" customHeight="1">
      <c r="A24" s="163"/>
      <c r="L24" s="184"/>
      <c r="M24" s="185"/>
      <c r="N24" s="185"/>
      <c r="Q24" s="200"/>
      <c r="R24" s="201"/>
      <c r="S24" s="201"/>
      <c r="T24" s="201"/>
    </row>
    <row r="25" spans="2:20" ht="13.5" customHeight="1">
      <c r="B25" s="161" t="s">
        <v>14</v>
      </c>
      <c r="D25" s="186"/>
      <c r="E25" s="1" t="s">
        <v>29</v>
      </c>
      <c r="H25" s="161"/>
      <c r="M25" s="187"/>
      <c r="N25" s="187"/>
      <c r="Q25" s="187"/>
      <c r="R25" s="201"/>
      <c r="S25" s="201"/>
      <c r="T25" s="201"/>
    </row>
    <row r="26" spans="1:20" s="1" customFormat="1" ht="13.5" customHeight="1">
      <c r="A26" s="159"/>
      <c r="B26" s="161" t="s">
        <v>15</v>
      </c>
      <c r="C26" s="161"/>
      <c r="D26" s="161"/>
      <c r="E26" s="1" t="s">
        <v>30</v>
      </c>
      <c r="G26" s="161"/>
      <c r="H26" s="161"/>
      <c r="I26" s="161"/>
      <c r="J26" s="161"/>
      <c r="K26" s="161"/>
      <c r="L26" s="161"/>
      <c r="M26" s="187"/>
      <c r="N26" s="187"/>
      <c r="O26" s="159"/>
      <c r="P26" s="159"/>
      <c r="Q26" s="187"/>
      <c r="R26" s="202"/>
      <c r="S26" s="202"/>
      <c r="T26" s="202"/>
    </row>
    <row r="27" spans="1:17" s="1" customFormat="1" ht="13.5" customHeight="1">
      <c r="A27" s="159"/>
      <c r="B27" s="161" t="s">
        <v>16</v>
      </c>
      <c r="C27" s="161"/>
      <c r="D27" s="161"/>
      <c r="E27" s="1" t="s">
        <v>31</v>
      </c>
      <c r="G27" s="161"/>
      <c r="H27" s="161"/>
      <c r="I27" s="161"/>
      <c r="J27" s="161"/>
      <c r="K27" s="161"/>
      <c r="L27" s="161"/>
      <c r="M27" s="187"/>
      <c r="N27" s="187"/>
      <c r="O27" s="159"/>
      <c r="P27" s="159"/>
      <c r="Q27" s="187"/>
    </row>
    <row r="28" spans="13:17" ht="13.5">
      <c r="M28" s="188"/>
      <c r="N28" s="188"/>
      <c r="Q28" s="188"/>
    </row>
  </sheetData>
  <sheetProtection sheet="1" objects="1" scenarios="1"/>
  <mergeCells count="20">
    <mergeCell ref="B22:D22"/>
    <mergeCell ref="B16:D16"/>
    <mergeCell ref="B17:D17"/>
    <mergeCell ref="F6:H6"/>
    <mergeCell ref="O11:O12"/>
    <mergeCell ref="B2:D2"/>
    <mergeCell ref="A4:E4"/>
    <mergeCell ref="A11:A12"/>
    <mergeCell ref="B11:D11"/>
    <mergeCell ref="F7:H7"/>
    <mergeCell ref="B14:D14"/>
    <mergeCell ref="B15:D15"/>
    <mergeCell ref="M11:N11"/>
    <mergeCell ref="A23:I23"/>
    <mergeCell ref="B18:D18"/>
    <mergeCell ref="B19:D19"/>
    <mergeCell ref="B20:D20"/>
    <mergeCell ref="B21:D21"/>
    <mergeCell ref="K11:L11"/>
    <mergeCell ref="B13:D13"/>
  </mergeCells>
  <conditionalFormatting sqref="N23">
    <cfRule type="expression" priority="1" dxfId="0" stopIfTrue="1">
      <formula>$N$23&lt;&gt;$R$23</formula>
    </cfRule>
  </conditionalFormatting>
  <dataValidations count="5">
    <dataValidation allowBlank="1" showInputMessage="1" showErrorMessage="1" imeMode="halfAlpha" sqref="M13:N23 K13:L22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7" r:id="rId3"/>
  <ignoredErrors>
    <ignoredError sqref="Q13:Q23" unlockedFormula="1"/>
  </ignoredErrors>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59" customWidth="1"/>
    <col min="2" max="4" width="3.7109375" style="161" customWidth="1"/>
    <col min="5" max="5" width="16.421875" style="160" customWidth="1"/>
    <col min="6" max="6" width="16.140625" style="1" customWidth="1"/>
    <col min="7" max="7" width="9.140625" style="161" customWidth="1"/>
    <col min="8" max="8" width="6.421875" style="159" customWidth="1"/>
    <col min="9" max="13" width="15.140625" style="161" customWidth="1"/>
    <col min="14" max="14" width="16.140625" style="161" bestFit="1" customWidth="1"/>
    <col min="15" max="15" width="5.28125" style="159" customWidth="1"/>
    <col min="16" max="16" width="2.140625" style="159" customWidth="1"/>
    <col min="17" max="17" width="15.140625" style="161" customWidth="1"/>
    <col min="18" max="18" width="12.140625" style="161" hidden="1" customWidth="1"/>
    <col min="19" max="16384" width="9.00390625" style="161" customWidth="1"/>
  </cols>
  <sheetData>
    <row r="1" ht="13.5"/>
    <row r="2" spans="2:4" ht="13.5">
      <c r="B2" s="634" t="s">
        <v>170</v>
      </c>
      <c r="C2" s="634"/>
      <c r="D2" s="634"/>
    </row>
    <row r="3" ht="13.5"/>
    <row r="4" spans="1:6" ht="13.5" customHeight="1">
      <c r="A4" s="635" t="s">
        <v>207</v>
      </c>
      <c r="B4" s="635"/>
      <c r="C4" s="635"/>
      <c r="D4" s="635"/>
      <c r="E4" s="635"/>
      <c r="F4" s="159"/>
    </row>
    <row r="5" spans="1:6" ht="13.5" customHeight="1">
      <c r="A5" s="163"/>
      <c r="B5" s="163"/>
      <c r="C5" s="163"/>
      <c r="D5" s="163"/>
      <c r="E5" s="164"/>
      <c r="F5" s="159"/>
    </row>
    <row r="6" spans="1:8" ht="13.5" customHeight="1">
      <c r="A6" s="163"/>
      <c r="B6" s="165" t="s">
        <v>129</v>
      </c>
      <c r="C6" s="166"/>
      <c r="D6" s="167"/>
      <c r="E6" s="168"/>
      <c r="F6" s="482" t="s">
        <v>13</v>
      </c>
      <c r="G6" s="631"/>
      <c r="H6" s="483"/>
    </row>
    <row r="7" spans="1:8" ht="13.5" customHeight="1">
      <c r="A7" s="163"/>
      <c r="B7" s="163"/>
      <c r="C7" s="163"/>
      <c r="D7" s="163"/>
      <c r="E7" s="164"/>
      <c r="F7" s="638" t="s">
        <v>83</v>
      </c>
      <c r="G7" s="639"/>
      <c r="H7" s="640"/>
    </row>
    <row r="8" spans="1:15" ht="13.5" customHeight="1">
      <c r="A8" s="163"/>
      <c r="B8" s="163"/>
      <c r="C8" s="163"/>
      <c r="D8" s="163"/>
      <c r="E8" s="164"/>
      <c r="F8" s="159"/>
      <c r="O8" s="169"/>
    </row>
    <row r="9" spans="1:12" ht="13.5" customHeight="1">
      <c r="A9" s="163"/>
      <c r="F9" s="159"/>
      <c r="I9" s="170" t="s">
        <v>28</v>
      </c>
      <c r="J9" s="1" t="str">
        <f>IF('基本情報入力（使い方）'!$C$12="","",'基本情報入力（使い方）'!$C$12)</f>
        <v>Ｂ金属株式会社</v>
      </c>
      <c r="K9" s="170"/>
      <c r="L9" s="1"/>
    </row>
    <row r="10" spans="1:15" ht="13.5" customHeight="1" thickBot="1">
      <c r="A10" s="163"/>
      <c r="F10" s="159"/>
      <c r="M10" s="170"/>
      <c r="N10" s="170" t="s">
        <v>17</v>
      </c>
      <c r="O10" s="170"/>
    </row>
    <row r="11" spans="1:17" ht="27" customHeight="1">
      <c r="A11" s="643" t="s">
        <v>1</v>
      </c>
      <c r="B11" s="627" t="s">
        <v>2</v>
      </c>
      <c r="C11" s="627"/>
      <c r="D11" s="628"/>
      <c r="E11" s="171" t="s">
        <v>3</v>
      </c>
      <c r="F11" s="172" t="s">
        <v>4</v>
      </c>
      <c r="G11" s="172" t="s">
        <v>5</v>
      </c>
      <c r="H11" s="173" t="s">
        <v>6</v>
      </c>
      <c r="I11" s="172" t="s">
        <v>0</v>
      </c>
      <c r="J11" s="172" t="s">
        <v>0</v>
      </c>
      <c r="K11" s="627" t="s">
        <v>283</v>
      </c>
      <c r="L11" s="628"/>
      <c r="M11" s="623" t="s">
        <v>223</v>
      </c>
      <c r="N11" s="624"/>
      <c r="O11" s="632" t="s">
        <v>35</v>
      </c>
      <c r="Q11" s="445" t="str">
        <f>"補助対象経費の（"&amp;補助名&amp;"）"</f>
        <v>補助対象経費の（２／３）</v>
      </c>
    </row>
    <row r="12" spans="1:17" ht="42" customHeight="1" thickBot="1">
      <c r="A12" s="644"/>
      <c r="B12" s="174" t="s">
        <v>7</v>
      </c>
      <c r="C12" s="174" t="s">
        <v>8</v>
      </c>
      <c r="D12" s="175" t="s">
        <v>9</v>
      </c>
      <c r="E12" s="176"/>
      <c r="F12" s="177"/>
      <c r="G12" s="178"/>
      <c r="H12" s="179"/>
      <c r="I12" s="448" t="s">
        <v>10</v>
      </c>
      <c r="J12" s="448" t="s">
        <v>21</v>
      </c>
      <c r="K12" s="449" t="s">
        <v>11</v>
      </c>
      <c r="L12" s="450" t="s">
        <v>19</v>
      </c>
      <c r="M12" s="447" t="s">
        <v>287</v>
      </c>
      <c r="N12" s="447" t="s">
        <v>286</v>
      </c>
      <c r="O12" s="633"/>
      <c r="Q12" s="451" t="s">
        <v>179</v>
      </c>
    </row>
    <row r="13" spans="1:17" ht="61.5" customHeight="1">
      <c r="A13" s="223">
        <v>3</v>
      </c>
      <c r="B13" s="645">
        <v>43753</v>
      </c>
      <c r="C13" s="646"/>
      <c r="D13" s="646"/>
      <c r="E13" s="209" t="s">
        <v>93</v>
      </c>
      <c r="F13" s="209" t="s">
        <v>94</v>
      </c>
      <c r="G13" s="224">
        <v>3</v>
      </c>
      <c r="H13" s="225" t="s">
        <v>92</v>
      </c>
      <c r="I13" s="28">
        <f aca="true" t="shared" si="0" ref="I13:I22">IF(J13="","",ROUNDDOWN(J13*(1+O13/100),0))</f>
        <v>432000</v>
      </c>
      <c r="J13" s="227">
        <v>400000</v>
      </c>
      <c r="K13" s="28">
        <f>IF(L13="","",ROUNDDOWN(L13*(1+O13/100),0))</f>
        <v>1296000</v>
      </c>
      <c r="L13" s="28">
        <f>IF(OR(J13="",G13=""),"",ROUNDDOWN(J13*G13,0))</f>
        <v>1200000</v>
      </c>
      <c r="M13" s="26">
        <f>L13</f>
        <v>1200000</v>
      </c>
      <c r="N13" s="228">
        <v>1200000</v>
      </c>
      <c r="O13" s="229">
        <v>8</v>
      </c>
      <c r="P13" s="161"/>
      <c r="Q13" s="442">
        <f aca="true" t="shared" si="1" ref="Q13:Q22">IF(N13="","",ROUNDDOWN(N13/G13*補助率,0)*G13)</f>
        <v>799998</v>
      </c>
    </row>
    <row r="14" spans="1:17" ht="61.5" customHeight="1">
      <c r="A14" s="207">
        <v>4</v>
      </c>
      <c r="B14" s="641">
        <v>43769</v>
      </c>
      <c r="C14" s="642"/>
      <c r="D14" s="642"/>
      <c r="E14" s="214" t="s">
        <v>95</v>
      </c>
      <c r="F14" s="214" t="s">
        <v>96</v>
      </c>
      <c r="G14" s="213">
        <v>2</v>
      </c>
      <c r="H14" s="226" t="s">
        <v>92</v>
      </c>
      <c r="I14" s="26">
        <f t="shared" si="0"/>
        <v>432000</v>
      </c>
      <c r="J14" s="228">
        <v>400000</v>
      </c>
      <c r="K14" s="26">
        <f aca="true" t="shared" si="2" ref="K14:K22">IF(L14="","",ROUNDDOWN(L14*(1+O14/100),0))</f>
        <v>864000</v>
      </c>
      <c r="L14" s="26">
        <f aca="true" t="shared" si="3" ref="L14:L22">IF(OR(J14="",G14=""),"",ROUNDDOWN(J14*G14,0))</f>
        <v>800000</v>
      </c>
      <c r="M14" s="26">
        <f aca="true" t="shared" si="4" ref="M14:M22">L14</f>
        <v>800000</v>
      </c>
      <c r="N14" s="228">
        <v>800000</v>
      </c>
      <c r="O14" s="230">
        <v>8</v>
      </c>
      <c r="Q14" s="443">
        <f t="shared" si="1"/>
        <v>533332</v>
      </c>
    </row>
    <row r="15" spans="1:17" ht="61.5" customHeight="1">
      <c r="A15" s="207">
        <v>5</v>
      </c>
      <c r="B15" s="641">
        <v>43769</v>
      </c>
      <c r="C15" s="642"/>
      <c r="D15" s="642"/>
      <c r="E15" s="214" t="s">
        <v>95</v>
      </c>
      <c r="F15" s="214" t="s">
        <v>97</v>
      </c>
      <c r="G15" s="213">
        <v>5</v>
      </c>
      <c r="H15" s="226" t="s">
        <v>92</v>
      </c>
      <c r="I15" s="26">
        <f t="shared" si="0"/>
        <v>432000</v>
      </c>
      <c r="J15" s="228">
        <v>400000</v>
      </c>
      <c r="K15" s="26">
        <f t="shared" si="2"/>
        <v>2160000</v>
      </c>
      <c r="L15" s="26">
        <f t="shared" si="3"/>
        <v>2000000</v>
      </c>
      <c r="M15" s="26">
        <f t="shared" si="4"/>
        <v>2000000</v>
      </c>
      <c r="N15" s="228">
        <v>2000000</v>
      </c>
      <c r="O15" s="230">
        <v>8</v>
      </c>
      <c r="P15" s="162"/>
      <c r="Q15" s="443">
        <f t="shared" si="1"/>
        <v>1333330</v>
      </c>
    </row>
    <row r="16" spans="1:17" s="180" customFormat="1" ht="61.5" customHeight="1">
      <c r="A16" s="207">
        <v>6</v>
      </c>
      <c r="B16" s="641">
        <v>43738</v>
      </c>
      <c r="C16" s="642"/>
      <c r="D16" s="642"/>
      <c r="E16" s="214" t="s">
        <v>95</v>
      </c>
      <c r="F16" s="214" t="s">
        <v>98</v>
      </c>
      <c r="G16" s="213">
        <v>1</v>
      </c>
      <c r="H16" s="226" t="s">
        <v>92</v>
      </c>
      <c r="I16" s="26">
        <f t="shared" si="0"/>
        <v>432000</v>
      </c>
      <c r="J16" s="228">
        <v>400000</v>
      </c>
      <c r="K16" s="26">
        <f t="shared" si="2"/>
        <v>432000</v>
      </c>
      <c r="L16" s="26">
        <f t="shared" si="3"/>
        <v>400000</v>
      </c>
      <c r="M16" s="26">
        <f t="shared" si="4"/>
        <v>400000</v>
      </c>
      <c r="N16" s="228">
        <v>400000</v>
      </c>
      <c r="O16" s="230">
        <v>8</v>
      </c>
      <c r="P16" s="162"/>
      <c r="Q16" s="443">
        <f t="shared" si="1"/>
        <v>266666</v>
      </c>
    </row>
    <row r="17" spans="1:17" ht="61.5" customHeight="1">
      <c r="A17" s="207">
        <v>7</v>
      </c>
      <c r="B17" s="641">
        <v>43753</v>
      </c>
      <c r="C17" s="642"/>
      <c r="D17" s="642"/>
      <c r="E17" s="214" t="s">
        <v>95</v>
      </c>
      <c r="F17" s="214" t="s">
        <v>99</v>
      </c>
      <c r="G17" s="213">
        <v>1</v>
      </c>
      <c r="H17" s="226" t="s">
        <v>92</v>
      </c>
      <c r="I17" s="26">
        <f t="shared" si="0"/>
        <v>432000</v>
      </c>
      <c r="J17" s="228">
        <v>400000</v>
      </c>
      <c r="K17" s="26">
        <f t="shared" si="2"/>
        <v>432000</v>
      </c>
      <c r="L17" s="26">
        <f t="shared" si="3"/>
        <v>400000</v>
      </c>
      <c r="M17" s="26">
        <f t="shared" si="4"/>
        <v>400000</v>
      </c>
      <c r="N17" s="228">
        <v>400000</v>
      </c>
      <c r="O17" s="230">
        <v>8</v>
      </c>
      <c r="P17" s="162"/>
      <c r="Q17" s="443">
        <f t="shared" si="1"/>
        <v>266666</v>
      </c>
    </row>
    <row r="18" spans="1:17" ht="61.5" customHeight="1">
      <c r="A18" s="207">
        <v>8</v>
      </c>
      <c r="B18" s="641">
        <v>43769</v>
      </c>
      <c r="C18" s="642"/>
      <c r="D18" s="642"/>
      <c r="E18" s="214" t="s">
        <v>95</v>
      </c>
      <c r="F18" s="214" t="s">
        <v>100</v>
      </c>
      <c r="G18" s="213">
        <v>4</v>
      </c>
      <c r="H18" s="226" t="s">
        <v>92</v>
      </c>
      <c r="I18" s="26">
        <f t="shared" si="0"/>
        <v>432000</v>
      </c>
      <c r="J18" s="228">
        <v>400000</v>
      </c>
      <c r="K18" s="26">
        <f t="shared" si="2"/>
        <v>1728000</v>
      </c>
      <c r="L18" s="26">
        <f t="shared" si="3"/>
        <v>1600000</v>
      </c>
      <c r="M18" s="26">
        <f t="shared" si="4"/>
        <v>1600000</v>
      </c>
      <c r="N18" s="228">
        <v>1600000</v>
      </c>
      <c r="O18" s="230">
        <v>8</v>
      </c>
      <c r="P18" s="162"/>
      <c r="Q18" s="443">
        <f t="shared" si="1"/>
        <v>1066664</v>
      </c>
    </row>
    <row r="19" spans="1:17" ht="61.5" customHeight="1">
      <c r="A19" s="207">
        <v>9</v>
      </c>
      <c r="B19" s="641">
        <v>43799</v>
      </c>
      <c r="C19" s="642"/>
      <c r="D19" s="642"/>
      <c r="E19" s="214" t="s">
        <v>95</v>
      </c>
      <c r="F19" s="214" t="s">
        <v>101</v>
      </c>
      <c r="G19" s="213">
        <v>2</v>
      </c>
      <c r="H19" s="226" t="s">
        <v>92</v>
      </c>
      <c r="I19" s="26">
        <f t="shared" si="0"/>
        <v>432000</v>
      </c>
      <c r="J19" s="228">
        <v>400000</v>
      </c>
      <c r="K19" s="26">
        <f t="shared" si="2"/>
        <v>864000</v>
      </c>
      <c r="L19" s="26">
        <f t="shared" si="3"/>
        <v>800000</v>
      </c>
      <c r="M19" s="26">
        <f t="shared" si="4"/>
        <v>800000</v>
      </c>
      <c r="N19" s="228">
        <v>800000</v>
      </c>
      <c r="O19" s="230">
        <v>8</v>
      </c>
      <c r="P19" s="162"/>
      <c r="Q19" s="443">
        <f t="shared" si="1"/>
        <v>533332</v>
      </c>
    </row>
    <row r="20" spans="1:17" s="180" customFormat="1" ht="61.5" customHeight="1">
      <c r="A20" s="207">
        <v>10</v>
      </c>
      <c r="B20" s="641">
        <v>43799</v>
      </c>
      <c r="C20" s="642"/>
      <c r="D20" s="642"/>
      <c r="E20" s="214" t="s">
        <v>95</v>
      </c>
      <c r="F20" s="214" t="s">
        <v>102</v>
      </c>
      <c r="G20" s="213">
        <v>1</v>
      </c>
      <c r="H20" s="226" t="s">
        <v>92</v>
      </c>
      <c r="I20" s="26">
        <f t="shared" si="0"/>
        <v>432000</v>
      </c>
      <c r="J20" s="228">
        <v>400000</v>
      </c>
      <c r="K20" s="26">
        <f t="shared" si="2"/>
        <v>432000</v>
      </c>
      <c r="L20" s="26">
        <f t="shared" si="3"/>
        <v>400000</v>
      </c>
      <c r="M20" s="26">
        <f t="shared" si="4"/>
        <v>400000</v>
      </c>
      <c r="N20" s="228">
        <v>400000</v>
      </c>
      <c r="O20" s="230">
        <v>8</v>
      </c>
      <c r="P20" s="181"/>
      <c r="Q20" s="443">
        <f t="shared" si="1"/>
        <v>266666</v>
      </c>
    </row>
    <row r="21" spans="1:17" ht="61.5" customHeight="1">
      <c r="A21" s="207"/>
      <c r="B21" s="641"/>
      <c r="C21" s="642"/>
      <c r="D21" s="642"/>
      <c r="E21" s="214"/>
      <c r="F21" s="214"/>
      <c r="G21" s="213"/>
      <c r="H21" s="226"/>
      <c r="I21" s="26">
        <f t="shared" si="0"/>
      </c>
      <c r="J21" s="228"/>
      <c r="K21" s="26">
        <f t="shared" si="2"/>
      </c>
      <c r="L21" s="26">
        <f t="shared" si="3"/>
      </c>
      <c r="M21" s="26">
        <f t="shared" si="4"/>
      </c>
      <c r="N21" s="228"/>
      <c r="O21" s="230">
        <v>8</v>
      </c>
      <c r="Q21" s="443">
        <f t="shared" si="1"/>
      </c>
    </row>
    <row r="22" spans="1:17" ht="61.5" customHeight="1" thickBot="1">
      <c r="A22" s="208"/>
      <c r="B22" s="629"/>
      <c r="C22" s="630"/>
      <c r="D22" s="630"/>
      <c r="E22" s="216"/>
      <c r="F22" s="216"/>
      <c r="G22" s="217"/>
      <c r="H22" s="218"/>
      <c r="I22" s="27">
        <f t="shared" si="0"/>
      </c>
      <c r="J22" s="220"/>
      <c r="K22" s="27">
        <f t="shared" si="2"/>
      </c>
      <c r="L22" s="27">
        <f t="shared" si="3"/>
      </c>
      <c r="M22" s="27">
        <f t="shared" si="4"/>
      </c>
      <c r="N22" s="220"/>
      <c r="O22" s="222">
        <v>8</v>
      </c>
      <c r="Q22" s="443">
        <f t="shared" si="1"/>
      </c>
    </row>
    <row r="23" spans="1:18" ht="21" customHeight="1" thickBot="1">
      <c r="A23" s="625" t="s">
        <v>12</v>
      </c>
      <c r="B23" s="626"/>
      <c r="C23" s="626"/>
      <c r="D23" s="626"/>
      <c r="E23" s="626"/>
      <c r="F23" s="626"/>
      <c r="G23" s="626"/>
      <c r="H23" s="626"/>
      <c r="I23" s="626"/>
      <c r="J23" s="182"/>
      <c r="K23" s="24">
        <f>SUM(K13:K22)</f>
        <v>8208000</v>
      </c>
      <c r="L23" s="24">
        <f>SUM(L13:L22)</f>
        <v>7600000</v>
      </c>
      <c r="M23" s="280">
        <f>SUM(M13:M22)</f>
        <v>7600000</v>
      </c>
      <c r="N23" s="149">
        <f>SUM(N13:N22)</f>
        <v>7600000</v>
      </c>
      <c r="Q23" s="444">
        <f>SUM(Q13:Q22)</f>
        <v>5066654</v>
      </c>
      <c r="R23" s="161">
        <f>'経費明細表'!S13</f>
        <v>7600000</v>
      </c>
    </row>
    <row r="24" spans="1:14" ht="13.5" customHeight="1">
      <c r="A24" s="163"/>
      <c r="L24" s="184"/>
      <c r="M24" s="185"/>
      <c r="N24" s="185"/>
    </row>
    <row r="25" spans="2:17" ht="13.5" customHeight="1">
      <c r="B25" s="161" t="s">
        <v>14</v>
      </c>
      <c r="D25" s="186"/>
      <c r="E25" s="1" t="s">
        <v>29</v>
      </c>
      <c r="H25" s="161"/>
      <c r="M25" s="187"/>
      <c r="N25" s="187"/>
      <c r="Q25" s="187"/>
    </row>
    <row r="26" spans="1:17" s="1" customFormat="1" ht="13.5" customHeight="1">
      <c r="A26" s="159"/>
      <c r="B26" s="161" t="s">
        <v>15</v>
      </c>
      <c r="C26" s="161"/>
      <c r="D26" s="161"/>
      <c r="E26" s="1" t="s">
        <v>30</v>
      </c>
      <c r="G26" s="161"/>
      <c r="H26" s="161"/>
      <c r="I26" s="161"/>
      <c r="J26" s="161"/>
      <c r="K26" s="161"/>
      <c r="L26" s="161"/>
      <c r="M26" s="187"/>
      <c r="N26" s="187"/>
      <c r="O26" s="159"/>
      <c r="P26" s="159"/>
      <c r="Q26" s="187"/>
    </row>
    <row r="27" spans="1:17" s="1" customFormat="1" ht="13.5" customHeight="1">
      <c r="A27" s="159"/>
      <c r="B27" s="161" t="s">
        <v>16</v>
      </c>
      <c r="C27" s="161"/>
      <c r="D27" s="161"/>
      <c r="E27" s="1" t="s">
        <v>31</v>
      </c>
      <c r="G27" s="161"/>
      <c r="H27" s="161"/>
      <c r="I27" s="161"/>
      <c r="J27" s="161"/>
      <c r="K27" s="161"/>
      <c r="L27" s="161"/>
      <c r="M27" s="187"/>
      <c r="N27" s="187"/>
      <c r="O27" s="159"/>
      <c r="P27" s="159"/>
      <c r="Q27" s="187"/>
    </row>
    <row r="28" spans="13:17" ht="13.5">
      <c r="M28" s="188"/>
      <c r="N28" s="188"/>
      <c r="Q28" s="188"/>
    </row>
  </sheetData>
  <sheetProtection sheet="1" objects="1" scenarios="1"/>
  <mergeCells count="20">
    <mergeCell ref="B14:D14"/>
    <mergeCell ref="O11:O12"/>
    <mergeCell ref="K11:L11"/>
    <mergeCell ref="A23:I23"/>
    <mergeCell ref="B19:D19"/>
    <mergeCell ref="B20:D20"/>
    <mergeCell ref="B21:D21"/>
    <mergeCell ref="B22:D22"/>
    <mergeCell ref="B13:D13"/>
    <mergeCell ref="B16:D16"/>
    <mergeCell ref="M11:N11"/>
    <mergeCell ref="B2:D2"/>
    <mergeCell ref="F7:H7"/>
    <mergeCell ref="B15:D15"/>
    <mergeCell ref="B18:D18"/>
    <mergeCell ref="B17:D17"/>
    <mergeCell ref="F6:H6"/>
    <mergeCell ref="A4:E4"/>
    <mergeCell ref="A11:A12"/>
    <mergeCell ref="B11:D11"/>
  </mergeCells>
  <conditionalFormatting sqref="N23">
    <cfRule type="expression" priority="1" dxfId="0" stopIfTrue="1">
      <formula>$N$23&lt;&gt;$R$23</formula>
    </cfRule>
  </conditionalFormatting>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N13:N23 I13:I22 K13:M22 Q13:Q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ignoredErrors>
    <ignoredError sqref="Q13:Q23"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61" customWidth="1"/>
    <col min="2" max="4" width="3.7109375" style="161" customWidth="1"/>
    <col min="5" max="5" width="16.421875" style="160" customWidth="1"/>
    <col min="6" max="6" width="16.140625" style="1" customWidth="1"/>
    <col min="7" max="7" width="9.140625" style="161" customWidth="1"/>
    <col min="8" max="8" width="6.421875" style="161" customWidth="1"/>
    <col min="9" max="13" width="15.140625" style="161" customWidth="1"/>
    <col min="14" max="14" width="16.140625" style="161" bestFit="1" customWidth="1"/>
    <col min="15" max="15" width="5.28125" style="159" customWidth="1"/>
    <col min="16" max="16" width="3.57421875" style="159" customWidth="1"/>
    <col min="17" max="17" width="9.00390625" style="161" customWidth="1"/>
    <col min="18" max="18" width="8.421875" style="161" hidden="1" customWidth="1"/>
    <col min="19" max="16384" width="9.00390625" style="161" customWidth="1"/>
  </cols>
  <sheetData>
    <row r="1" spans="1:18" ht="13.5">
      <c r="A1" s="159"/>
      <c r="H1" s="159"/>
      <c r="Q1" s="162"/>
      <c r="R1" s="162"/>
    </row>
    <row r="2" spans="1:18" ht="13.5">
      <c r="A2" s="159"/>
      <c r="B2" s="634" t="s">
        <v>170</v>
      </c>
      <c r="C2" s="634"/>
      <c r="D2" s="634"/>
      <c r="H2" s="159"/>
      <c r="Q2" s="162"/>
      <c r="R2" s="162"/>
    </row>
    <row r="3" spans="1:18" ht="13.5">
      <c r="A3" s="159"/>
      <c r="H3" s="159"/>
      <c r="Q3" s="162"/>
      <c r="R3" s="162"/>
    </row>
    <row r="4" spans="1:6" ht="13.5" customHeight="1">
      <c r="A4" s="635" t="s">
        <v>207</v>
      </c>
      <c r="B4" s="635"/>
      <c r="C4" s="635"/>
      <c r="D4" s="635"/>
      <c r="E4" s="635"/>
      <c r="F4" s="159"/>
    </row>
    <row r="5" spans="1:16" ht="13.5" customHeight="1">
      <c r="A5" s="163"/>
      <c r="B5" s="163"/>
      <c r="C5" s="163"/>
      <c r="D5" s="163"/>
      <c r="E5" s="164"/>
      <c r="F5" s="159"/>
      <c r="P5" s="163"/>
    </row>
    <row r="6" spans="1:16" ht="13.5" customHeight="1">
      <c r="A6" s="163"/>
      <c r="B6" s="165" t="s">
        <v>129</v>
      </c>
      <c r="C6" s="166"/>
      <c r="D6" s="167"/>
      <c r="E6" s="168"/>
      <c r="F6" s="482" t="s">
        <v>13</v>
      </c>
      <c r="G6" s="631"/>
      <c r="H6" s="483"/>
      <c r="P6" s="163"/>
    </row>
    <row r="7" spans="1:16" ht="13.5" customHeight="1">
      <c r="A7" s="163"/>
      <c r="B7" s="163"/>
      <c r="C7" s="163"/>
      <c r="D7" s="163"/>
      <c r="E7" s="164"/>
      <c r="F7" s="638" t="s">
        <v>23</v>
      </c>
      <c r="G7" s="639"/>
      <c r="H7" s="640"/>
      <c r="P7" s="163"/>
    </row>
    <row r="8" spans="1:16" ht="13.5" customHeight="1">
      <c r="A8" s="163"/>
      <c r="B8" s="163"/>
      <c r="C8" s="163"/>
      <c r="D8" s="163"/>
      <c r="E8" s="164"/>
      <c r="F8" s="159"/>
      <c r="O8" s="169"/>
      <c r="P8" s="163"/>
    </row>
    <row r="9" spans="1:16" ht="13.5" customHeight="1">
      <c r="A9" s="186"/>
      <c r="F9" s="159"/>
      <c r="I9" s="170" t="s">
        <v>28</v>
      </c>
      <c r="J9" s="1" t="str">
        <f>IF('基本情報入力（使い方）'!$C$12="","",'基本情報入力（使い方）'!$C$12)</f>
        <v>Ｂ金属株式会社</v>
      </c>
      <c r="K9" s="170"/>
      <c r="L9" s="1"/>
      <c r="P9" s="163"/>
    </row>
    <row r="10" spans="1:16" ht="13.5" customHeight="1" thickBot="1">
      <c r="A10" s="186"/>
      <c r="F10" s="159"/>
      <c r="M10" s="170"/>
      <c r="N10" s="170" t="s">
        <v>17</v>
      </c>
      <c r="O10" s="170"/>
      <c r="P10" s="163"/>
    </row>
    <row r="11" spans="1:16" ht="27" customHeight="1">
      <c r="A11" s="636" t="s">
        <v>1</v>
      </c>
      <c r="B11" s="627" t="s">
        <v>2</v>
      </c>
      <c r="C11" s="627"/>
      <c r="D11" s="628"/>
      <c r="E11" s="171" t="s">
        <v>3</v>
      </c>
      <c r="F11" s="172" t="s">
        <v>4</v>
      </c>
      <c r="G11" s="172" t="s">
        <v>5</v>
      </c>
      <c r="H11" s="172" t="s">
        <v>6</v>
      </c>
      <c r="I11" s="172" t="s">
        <v>0</v>
      </c>
      <c r="J11" s="172" t="s">
        <v>0</v>
      </c>
      <c r="K11" s="647" t="s">
        <v>283</v>
      </c>
      <c r="L11" s="628"/>
      <c r="M11" s="623" t="s">
        <v>223</v>
      </c>
      <c r="N11" s="624"/>
      <c r="O11" s="632" t="s">
        <v>35</v>
      </c>
      <c r="P11" s="189"/>
    </row>
    <row r="12" spans="1:17" ht="42" customHeight="1" thickBot="1">
      <c r="A12" s="637"/>
      <c r="B12" s="174" t="s">
        <v>7</v>
      </c>
      <c r="C12" s="174" t="s">
        <v>8</v>
      </c>
      <c r="D12" s="175" t="s">
        <v>9</v>
      </c>
      <c r="E12" s="176"/>
      <c r="F12" s="177"/>
      <c r="G12" s="178"/>
      <c r="H12" s="178"/>
      <c r="I12" s="448" t="s">
        <v>10</v>
      </c>
      <c r="J12" s="448" t="s">
        <v>21</v>
      </c>
      <c r="K12" s="449" t="s">
        <v>11</v>
      </c>
      <c r="L12" s="450" t="s">
        <v>19</v>
      </c>
      <c r="M12" s="447" t="s">
        <v>287</v>
      </c>
      <c r="N12" s="447" t="s">
        <v>286</v>
      </c>
      <c r="O12" s="633"/>
      <c r="P12" s="189"/>
      <c r="Q12" s="157"/>
    </row>
    <row r="13" spans="1:16" ht="61.5" customHeight="1">
      <c r="A13" s="190">
        <v>1</v>
      </c>
      <c r="B13" s="645">
        <v>43769</v>
      </c>
      <c r="C13" s="646"/>
      <c r="D13" s="646"/>
      <c r="E13" s="209" t="s">
        <v>103</v>
      </c>
      <c r="F13" s="210" t="s">
        <v>257</v>
      </c>
      <c r="G13" s="211">
        <v>1</v>
      </c>
      <c r="H13" s="212" t="s">
        <v>104</v>
      </c>
      <c r="I13" s="25">
        <f>IF(J13="","",ROUNDDOWN(J13*(1+O13/100),0))</f>
        <v>5522040</v>
      </c>
      <c r="J13" s="219">
        <v>5113000</v>
      </c>
      <c r="K13" s="25">
        <f>IF(L13="","",ROUNDDOWN(L13*(1+O13/100),0))</f>
        <v>5522040</v>
      </c>
      <c r="L13" s="25">
        <f>IF(OR(J13="",G13=""),"",ROUNDDOWN(J13*G13,0))</f>
        <v>5113000</v>
      </c>
      <c r="M13" s="26">
        <f>L13</f>
        <v>5113000</v>
      </c>
      <c r="N13" s="228">
        <v>5113000</v>
      </c>
      <c r="O13" s="233">
        <v>8</v>
      </c>
      <c r="P13" s="161"/>
    </row>
    <row r="14" spans="1:16" ht="61.5" customHeight="1">
      <c r="A14" s="191">
        <v>2</v>
      </c>
      <c r="B14" s="621"/>
      <c r="C14" s="622"/>
      <c r="D14" s="622"/>
      <c r="E14" s="231"/>
      <c r="F14" s="214"/>
      <c r="G14" s="211"/>
      <c r="H14" s="212"/>
      <c r="I14" s="25">
        <f aca="true" t="shared" si="0" ref="I14:I22">IF(J14="","",ROUNDDOWN(J14*(1+O14/100),0))</f>
      </c>
      <c r="J14" s="219"/>
      <c r="K14" s="25">
        <f aca="true" t="shared" si="1" ref="K14:K22">IF(L14="","",ROUNDDOWN(L14*(1+O14/100),0))</f>
      </c>
      <c r="L14" s="25">
        <f aca="true" t="shared" si="2" ref="L14:L22">IF(OR(J14="",G14=""),"",ROUNDDOWN(J14*G14,0))</f>
      </c>
      <c r="M14" s="26">
        <f aca="true" t="shared" si="3" ref="M14:M22">L14</f>
      </c>
      <c r="N14" s="228"/>
      <c r="O14" s="233">
        <v>8</v>
      </c>
      <c r="P14" s="189"/>
    </row>
    <row r="15" spans="1:16" ht="61.5" customHeight="1">
      <c r="A15" s="190">
        <v>3</v>
      </c>
      <c r="B15" s="621"/>
      <c r="C15" s="622"/>
      <c r="D15" s="622"/>
      <c r="E15" s="231"/>
      <c r="F15" s="214"/>
      <c r="G15" s="211"/>
      <c r="H15" s="212"/>
      <c r="I15" s="25">
        <f t="shared" si="0"/>
      </c>
      <c r="J15" s="219"/>
      <c r="K15" s="25">
        <f t="shared" si="1"/>
      </c>
      <c r="L15" s="25">
        <f t="shared" si="2"/>
      </c>
      <c r="M15" s="26">
        <f t="shared" si="3"/>
      </c>
      <c r="N15" s="228"/>
      <c r="O15" s="233">
        <v>8</v>
      </c>
      <c r="P15" s="189"/>
    </row>
    <row r="16" spans="1:16" s="180" customFormat="1" ht="61.5" customHeight="1">
      <c r="A16" s="192">
        <v>4</v>
      </c>
      <c r="B16" s="621"/>
      <c r="C16" s="622"/>
      <c r="D16" s="622"/>
      <c r="E16" s="231"/>
      <c r="F16" s="214"/>
      <c r="G16" s="211"/>
      <c r="H16" s="212"/>
      <c r="I16" s="25">
        <f t="shared" si="0"/>
      </c>
      <c r="J16" s="219"/>
      <c r="K16" s="25">
        <f t="shared" si="1"/>
      </c>
      <c r="L16" s="25">
        <f t="shared" si="2"/>
      </c>
      <c r="M16" s="26">
        <f t="shared" si="3"/>
      </c>
      <c r="N16" s="228"/>
      <c r="O16" s="233">
        <v>8</v>
      </c>
      <c r="P16" s="193"/>
    </row>
    <row r="17" spans="1:16" s="180" customFormat="1" ht="61.5" customHeight="1">
      <c r="A17" s="194">
        <v>5</v>
      </c>
      <c r="B17" s="621"/>
      <c r="C17" s="622"/>
      <c r="D17" s="622"/>
      <c r="E17" s="231"/>
      <c r="F17" s="214"/>
      <c r="G17" s="211"/>
      <c r="H17" s="212"/>
      <c r="I17" s="25">
        <f t="shared" si="0"/>
      </c>
      <c r="J17" s="219"/>
      <c r="K17" s="25">
        <f t="shared" si="1"/>
      </c>
      <c r="L17" s="25">
        <f t="shared" si="2"/>
      </c>
      <c r="M17" s="26">
        <f t="shared" si="3"/>
      </c>
      <c r="N17" s="228"/>
      <c r="O17" s="233">
        <v>8</v>
      </c>
      <c r="P17" s="193"/>
    </row>
    <row r="18" spans="1:16" ht="61.5" customHeight="1">
      <c r="A18" s="191">
        <v>6</v>
      </c>
      <c r="B18" s="621"/>
      <c r="C18" s="622"/>
      <c r="D18" s="622"/>
      <c r="E18" s="231"/>
      <c r="F18" s="214"/>
      <c r="G18" s="211"/>
      <c r="H18" s="212"/>
      <c r="I18" s="25">
        <f t="shared" si="0"/>
      </c>
      <c r="J18" s="219"/>
      <c r="K18" s="25">
        <f t="shared" si="1"/>
      </c>
      <c r="L18" s="25">
        <f t="shared" si="2"/>
      </c>
      <c r="M18" s="26">
        <f t="shared" si="3"/>
      </c>
      <c r="N18" s="228"/>
      <c r="O18" s="233">
        <v>8</v>
      </c>
      <c r="P18" s="189"/>
    </row>
    <row r="19" spans="1:16" ht="61.5" customHeight="1">
      <c r="A19" s="190">
        <v>7</v>
      </c>
      <c r="B19" s="621"/>
      <c r="C19" s="622"/>
      <c r="D19" s="622"/>
      <c r="E19" s="231"/>
      <c r="F19" s="215"/>
      <c r="G19" s="211"/>
      <c r="H19" s="212"/>
      <c r="I19" s="25">
        <f t="shared" si="0"/>
      </c>
      <c r="J19" s="219"/>
      <c r="K19" s="25">
        <f t="shared" si="1"/>
      </c>
      <c r="L19" s="25">
        <f t="shared" si="2"/>
      </c>
      <c r="M19" s="26">
        <f t="shared" si="3"/>
      </c>
      <c r="N19" s="228"/>
      <c r="O19" s="233">
        <v>8</v>
      </c>
      <c r="P19" s="189"/>
    </row>
    <row r="20" spans="1:16" ht="61.5" customHeight="1">
      <c r="A20" s="191">
        <v>8</v>
      </c>
      <c r="B20" s="621"/>
      <c r="C20" s="622"/>
      <c r="D20" s="622"/>
      <c r="E20" s="231"/>
      <c r="F20" s="214"/>
      <c r="G20" s="211"/>
      <c r="H20" s="212"/>
      <c r="I20" s="25">
        <f t="shared" si="0"/>
      </c>
      <c r="J20" s="219"/>
      <c r="K20" s="25">
        <f t="shared" si="1"/>
      </c>
      <c r="L20" s="25">
        <f t="shared" si="2"/>
      </c>
      <c r="M20" s="26">
        <f t="shared" si="3"/>
      </c>
      <c r="N20" s="228"/>
      <c r="O20" s="233">
        <v>8</v>
      </c>
      <c r="P20" s="189"/>
    </row>
    <row r="21" spans="1:16" ht="61.5" customHeight="1">
      <c r="A21" s="190">
        <v>9</v>
      </c>
      <c r="B21" s="621"/>
      <c r="C21" s="622"/>
      <c r="D21" s="622"/>
      <c r="E21" s="231"/>
      <c r="F21" s="214"/>
      <c r="G21" s="211"/>
      <c r="H21" s="212"/>
      <c r="I21" s="25">
        <f t="shared" si="0"/>
      </c>
      <c r="J21" s="219"/>
      <c r="K21" s="25">
        <f t="shared" si="1"/>
      </c>
      <c r="L21" s="25">
        <f t="shared" si="2"/>
      </c>
      <c r="M21" s="26">
        <f t="shared" si="3"/>
      </c>
      <c r="N21" s="228"/>
      <c r="O21" s="233">
        <v>8</v>
      </c>
      <c r="P21" s="189"/>
    </row>
    <row r="22" spans="1:16" ht="61.5" customHeight="1" thickBot="1">
      <c r="A22" s="195">
        <v>10</v>
      </c>
      <c r="B22" s="629"/>
      <c r="C22" s="630"/>
      <c r="D22" s="630"/>
      <c r="E22" s="232"/>
      <c r="F22" s="216"/>
      <c r="G22" s="217"/>
      <c r="H22" s="218"/>
      <c r="I22" s="27">
        <f t="shared" si="0"/>
      </c>
      <c r="J22" s="220"/>
      <c r="K22" s="27">
        <f t="shared" si="1"/>
      </c>
      <c r="L22" s="27">
        <f t="shared" si="2"/>
      </c>
      <c r="M22" s="27">
        <f t="shared" si="3"/>
      </c>
      <c r="N22" s="220"/>
      <c r="O22" s="234">
        <v>8</v>
      </c>
      <c r="P22" s="189"/>
    </row>
    <row r="23" spans="1:18" ht="21" customHeight="1" thickBot="1">
      <c r="A23" s="625" t="s">
        <v>12</v>
      </c>
      <c r="B23" s="626"/>
      <c r="C23" s="626"/>
      <c r="D23" s="626"/>
      <c r="E23" s="626"/>
      <c r="F23" s="626"/>
      <c r="G23" s="626"/>
      <c r="H23" s="626"/>
      <c r="I23" s="626"/>
      <c r="J23" s="182"/>
      <c r="K23" s="24">
        <f>SUM(K13:K22)</f>
        <v>5522040</v>
      </c>
      <c r="L23" s="24">
        <f>SUM(L13:L22)</f>
        <v>5113000</v>
      </c>
      <c r="M23" s="280">
        <f>SUM(M13:M22)</f>
        <v>5113000</v>
      </c>
      <c r="N23" s="149">
        <f>SUM(N13:N22)</f>
        <v>5113000</v>
      </c>
      <c r="P23" s="183"/>
      <c r="R23" s="161">
        <f>'経費明細表'!S14</f>
        <v>5113000</v>
      </c>
    </row>
    <row r="24" spans="1:16" ht="13.5" customHeight="1">
      <c r="A24" s="186"/>
      <c r="L24" s="184"/>
      <c r="M24" s="185"/>
      <c r="N24" s="185"/>
      <c r="P24" s="163"/>
    </row>
    <row r="25" spans="2:16" ht="13.5" customHeight="1">
      <c r="B25" s="161" t="s">
        <v>14</v>
      </c>
      <c r="D25" s="186"/>
      <c r="E25" s="1" t="s">
        <v>29</v>
      </c>
      <c r="N25" s="187"/>
      <c r="P25" s="163"/>
    </row>
    <row r="26" spans="1:16" s="1" customFormat="1" ht="13.5" customHeight="1">
      <c r="A26" s="161"/>
      <c r="B26" s="161" t="s">
        <v>15</v>
      </c>
      <c r="C26" s="161"/>
      <c r="D26" s="161"/>
      <c r="E26" s="1" t="s">
        <v>30</v>
      </c>
      <c r="G26" s="161"/>
      <c r="H26" s="161"/>
      <c r="I26" s="161"/>
      <c r="J26" s="161"/>
      <c r="K26" s="161"/>
      <c r="L26" s="161"/>
      <c r="M26" s="161"/>
      <c r="N26" s="187"/>
      <c r="O26" s="159"/>
      <c r="P26" s="159"/>
    </row>
    <row r="27" spans="1:16" s="1" customFormat="1" ht="13.5" customHeight="1">
      <c r="A27" s="161"/>
      <c r="B27" s="161" t="s">
        <v>16</v>
      </c>
      <c r="C27" s="161"/>
      <c r="D27" s="161"/>
      <c r="E27" s="1" t="s">
        <v>31</v>
      </c>
      <c r="G27" s="161"/>
      <c r="H27" s="161"/>
      <c r="I27" s="161"/>
      <c r="J27" s="161"/>
      <c r="K27" s="161"/>
      <c r="L27" s="161"/>
      <c r="M27" s="161"/>
      <c r="N27" s="187"/>
      <c r="O27" s="159"/>
      <c r="P27" s="159"/>
    </row>
    <row r="28" ht="13.5">
      <c r="N28" s="188"/>
    </row>
  </sheetData>
  <sheetProtection sheet="1" objects="1" scenarios="1"/>
  <mergeCells count="20">
    <mergeCell ref="B17:D17"/>
    <mergeCell ref="B2:D2"/>
    <mergeCell ref="O11:O12"/>
    <mergeCell ref="B18:D18"/>
    <mergeCell ref="A4:E4"/>
    <mergeCell ref="A11:A12"/>
    <mergeCell ref="B11:D11"/>
    <mergeCell ref="K11:L11"/>
    <mergeCell ref="F7:H7"/>
    <mergeCell ref="F6:H6"/>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61" customWidth="1"/>
    <col min="2" max="4" width="3.7109375" style="161" customWidth="1"/>
    <col min="5" max="5" width="16.421875" style="1" customWidth="1"/>
    <col min="6" max="6" width="16.140625" style="1" customWidth="1"/>
    <col min="7" max="7" width="9.140625" style="161" customWidth="1"/>
    <col min="8" max="8" width="6.421875" style="161" customWidth="1"/>
    <col min="9" max="13" width="15.140625" style="161" customWidth="1"/>
    <col min="14" max="14" width="16.140625" style="161" bestFit="1" customWidth="1"/>
    <col min="15" max="15" width="5.28125" style="159" customWidth="1"/>
    <col min="16" max="17" width="9.00390625" style="161" customWidth="1"/>
    <col min="18" max="18" width="7.421875" style="161" hidden="1" customWidth="1"/>
    <col min="19" max="16384" width="9.00390625" style="161" customWidth="1"/>
  </cols>
  <sheetData>
    <row r="1" spans="1:18" ht="13.5">
      <c r="A1" s="159"/>
      <c r="E1" s="160"/>
      <c r="H1" s="159"/>
      <c r="P1" s="159"/>
      <c r="Q1" s="162"/>
      <c r="R1" s="162"/>
    </row>
    <row r="2" spans="1:18" ht="13.5">
      <c r="A2" s="159"/>
      <c r="B2" s="634" t="s">
        <v>170</v>
      </c>
      <c r="C2" s="634"/>
      <c r="D2" s="634"/>
      <c r="E2" s="160"/>
      <c r="H2" s="159"/>
      <c r="P2" s="159"/>
      <c r="Q2" s="162"/>
      <c r="R2" s="162"/>
    </row>
    <row r="3" spans="1:18" ht="13.5">
      <c r="A3" s="159"/>
      <c r="E3" s="160"/>
      <c r="H3" s="159"/>
      <c r="P3" s="159"/>
      <c r="Q3" s="162"/>
      <c r="R3" s="162"/>
    </row>
    <row r="4" spans="1:6" ht="13.5" customHeight="1">
      <c r="A4" s="635" t="s">
        <v>207</v>
      </c>
      <c r="B4" s="635"/>
      <c r="C4" s="635"/>
      <c r="D4" s="635"/>
      <c r="E4" s="635"/>
      <c r="F4" s="159"/>
    </row>
    <row r="5" spans="1:6" ht="13.5" customHeight="1">
      <c r="A5" s="163"/>
      <c r="B5" s="163"/>
      <c r="C5" s="163"/>
      <c r="D5" s="163"/>
      <c r="E5" s="196"/>
      <c r="F5" s="159"/>
    </row>
    <row r="6" spans="1:8" ht="13.5" customHeight="1">
      <c r="A6" s="163"/>
      <c r="B6" s="165" t="s">
        <v>129</v>
      </c>
      <c r="C6" s="166"/>
      <c r="D6" s="167"/>
      <c r="E6" s="168"/>
      <c r="F6" s="482" t="s">
        <v>13</v>
      </c>
      <c r="G6" s="631"/>
      <c r="H6" s="483"/>
    </row>
    <row r="7" spans="1:8" ht="13.5" customHeight="1">
      <c r="A7" s="163"/>
      <c r="B7" s="163"/>
      <c r="C7" s="163"/>
      <c r="D7" s="163"/>
      <c r="E7" s="196"/>
      <c r="F7" s="638" t="s">
        <v>71</v>
      </c>
      <c r="G7" s="639"/>
      <c r="H7" s="640"/>
    </row>
    <row r="8" spans="1:15" ht="13.5" customHeight="1">
      <c r="A8" s="163"/>
      <c r="B8" s="163"/>
      <c r="C8" s="163"/>
      <c r="D8" s="163"/>
      <c r="E8" s="196"/>
      <c r="F8" s="159"/>
      <c r="O8" s="169"/>
    </row>
    <row r="9" spans="1:12" ht="13.5" customHeight="1">
      <c r="A9" s="186"/>
      <c r="F9" s="159"/>
      <c r="I9" s="170" t="s">
        <v>28</v>
      </c>
      <c r="J9" s="1" t="str">
        <f>IF('基本情報入力（使い方）'!$C$12="","",'基本情報入力（使い方）'!$C$12)</f>
        <v>Ｂ金属株式会社</v>
      </c>
      <c r="K9" s="170"/>
      <c r="L9" s="1"/>
    </row>
    <row r="10" spans="1:15" ht="13.5" customHeight="1" thickBot="1">
      <c r="A10" s="186"/>
      <c r="F10" s="159"/>
      <c r="M10" s="170"/>
      <c r="N10" s="170" t="s">
        <v>17</v>
      </c>
      <c r="O10" s="170"/>
    </row>
    <row r="11" spans="1:15" ht="27" customHeight="1">
      <c r="A11" s="636" t="s">
        <v>1</v>
      </c>
      <c r="B11" s="627" t="s">
        <v>2</v>
      </c>
      <c r="C11" s="627"/>
      <c r="D11" s="628"/>
      <c r="E11" s="172" t="s">
        <v>3</v>
      </c>
      <c r="F11" s="172" t="s">
        <v>4</v>
      </c>
      <c r="G11" s="172" t="s">
        <v>5</v>
      </c>
      <c r="H11" s="172" t="s">
        <v>6</v>
      </c>
      <c r="I11" s="172" t="s">
        <v>0</v>
      </c>
      <c r="J11" s="172" t="s">
        <v>0</v>
      </c>
      <c r="K11" s="647" t="s">
        <v>283</v>
      </c>
      <c r="L11" s="628"/>
      <c r="M11" s="623" t="s">
        <v>223</v>
      </c>
      <c r="N11" s="624"/>
      <c r="O11" s="632" t="s">
        <v>35</v>
      </c>
    </row>
    <row r="12" spans="1:17" ht="42" customHeight="1" thickBot="1">
      <c r="A12" s="637"/>
      <c r="B12" s="174" t="s">
        <v>7</v>
      </c>
      <c r="C12" s="174" t="s">
        <v>8</v>
      </c>
      <c r="D12" s="175" t="s">
        <v>9</v>
      </c>
      <c r="E12" s="197"/>
      <c r="F12" s="177"/>
      <c r="G12" s="178"/>
      <c r="H12" s="178"/>
      <c r="I12" s="448" t="s">
        <v>10</v>
      </c>
      <c r="J12" s="448" t="s">
        <v>21</v>
      </c>
      <c r="K12" s="449" t="s">
        <v>11</v>
      </c>
      <c r="L12" s="450" t="s">
        <v>19</v>
      </c>
      <c r="M12" s="447" t="s">
        <v>287</v>
      </c>
      <c r="N12" s="447" t="s">
        <v>286</v>
      </c>
      <c r="O12" s="633"/>
      <c r="Q12" s="157"/>
    </row>
    <row r="13" spans="1:15" ht="61.5" customHeight="1">
      <c r="A13" s="190">
        <v>1</v>
      </c>
      <c r="B13" s="645">
        <v>43769</v>
      </c>
      <c r="C13" s="646"/>
      <c r="D13" s="646"/>
      <c r="E13" s="235" t="s">
        <v>258</v>
      </c>
      <c r="F13" s="209" t="s">
        <v>259</v>
      </c>
      <c r="G13" s="211">
        <v>1</v>
      </c>
      <c r="H13" s="212" t="s">
        <v>260</v>
      </c>
      <c r="I13" s="25">
        <f>IF(J13="","",ROUNDDOWN(J13*(1+O13/100),0))</f>
        <v>43200</v>
      </c>
      <c r="J13" s="236">
        <v>40000</v>
      </c>
      <c r="K13" s="25">
        <f>IF(L13="","",ROUNDDOWN(L13*(1+O13/100),0))</f>
        <v>43200</v>
      </c>
      <c r="L13" s="25">
        <f>IF(OR(J13="",G13=""),"",ROUNDDOWN(J13*G13,0))</f>
        <v>40000</v>
      </c>
      <c r="M13" s="26">
        <f>L13</f>
        <v>40000</v>
      </c>
      <c r="N13" s="228">
        <v>40000</v>
      </c>
      <c r="O13" s="221">
        <v>8</v>
      </c>
    </row>
    <row r="14" spans="1:15" ht="61.5" customHeight="1">
      <c r="A14" s="191">
        <v>2</v>
      </c>
      <c r="B14" s="621">
        <v>43799</v>
      </c>
      <c r="C14" s="622"/>
      <c r="D14" s="622"/>
      <c r="E14" s="231" t="s">
        <v>258</v>
      </c>
      <c r="F14" s="214" t="s">
        <v>259</v>
      </c>
      <c r="G14" s="211">
        <v>1</v>
      </c>
      <c r="H14" s="212" t="s">
        <v>260</v>
      </c>
      <c r="I14" s="25">
        <f aca="true" t="shared" si="0" ref="I14:I22">IF(J14="","",ROUNDDOWN(J14*(1+O14/100),0))</f>
        <v>43200</v>
      </c>
      <c r="J14" s="219">
        <v>40000</v>
      </c>
      <c r="K14" s="25">
        <f aca="true" t="shared" si="1" ref="K14:K22">IF(L14="","",ROUNDDOWN(L14*(1+O14/100),0))</f>
        <v>43200</v>
      </c>
      <c r="L14" s="25">
        <f aca="true" t="shared" si="2" ref="L14:L22">IF(OR(J14="",G14=""),"",ROUNDDOWN(J14*G14,0))</f>
        <v>40000</v>
      </c>
      <c r="M14" s="26">
        <f aca="true" t="shared" si="3" ref="M14:M22">L14</f>
        <v>40000</v>
      </c>
      <c r="N14" s="228">
        <v>40000</v>
      </c>
      <c r="O14" s="221">
        <v>8</v>
      </c>
    </row>
    <row r="15" spans="1:15" ht="61.5" customHeight="1">
      <c r="A15" s="191">
        <v>3</v>
      </c>
      <c r="B15" s="621">
        <v>43753</v>
      </c>
      <c r="C15" s="622"/>
      <c r="D15" s="622"/>
      <c r="E15" s="231" t="s">
        <v>261</v>
      </c>
      <c r="F15" s="214" t="s">
        <v>262</v>
      </c>
      <c r="G15" s="211">
        <v>1</v>
      </c>
      <c r="H15" s="212" t="s">
        <v>260</v>
      </c>
      <c r="I15" s="25">
        <f t="shared" si="0"/>
        <v>43200</v>
      </c>
      <c r="J15" s="219">
        <v>40000</v>
      </c>
      <c r="K15" s="25">
        <f t="shared" si="1"/>
        <v>43200</v>
      </c>
      <c r="L15" s="25">
        <f t="shared" si="2"/>
        <v>40000</v>
      </c>
      <c r="M15" s="26">
        <f t="shared" si="3"/>
        <v>40000</v>
      </c>
      <c r="N15" s="228">
        <v>40000</v>
      </c>
      <c r="O15" s="221">
        <v>8</v>
      </c>
    </row>
    <row r="16" spans="1:15" ht="61.5" customHeight="1">
      <c r="A16" s="191">
        <v>4</v>
      </c>
      <c r="B16" s="621">
        <v>43769</v>
      </c>
      <c r="C16" s="622"/>
      <c r="D16" s="622"/>
      <c r="E16" s="231" t="s">
        <v>261</v>
      </c>
      <c r="F16" s="214" t="s">
        <v>262</v>
      </c>
      <c r="G16" s="211">
        <v>1</v>
      </c>
      <c r="H16" s="212" t="s">
        <v>260</v>
      </c>
      <c r="I16" s="25">
        <f t="shared" si="0"/>
        <v>43200</v>
      </c>
      <c r="J16" s="219">
        <v>40000</v>
      </c>
      <c r="K16" s="25">
        <f t="shared" si="1"/>
        <v>43200</v>
      </c>
      <c r="L16" s="25">
        <f t="shared" si="2"/>
        <v>40000</v>
      </c>
      <c r="M16" s="26">
        <f t="shared" si="3"/>
        <v>40000</v>
      </c>
      <c r="N16" s="228">
        <v>40000</v>
      </c>
      <c r="O16" s="221">
        <v>8</v>
      </c>
    </row>
    <row r="17" spans="1:15" ht="61.5" customHeight="1">
      <c r="A17" s="191">
        <v>5</v>
      </c>
      <c r="B17" s="621">
        <v>43784</v>
      </c>
      <c r="C17" s="622"/>
      <c r="D17" s="622"/>
      <c r="E17" s="231" t="s">
        <v>261</v>
      </c>
      <c r="F17" s="215" t="s">
        <v>262</v>
      </c>
      <c r="G17" s="211">
        <v>1</v>
      </c>
      <c r="H17" s="212" t="s">
        <v>260</v>
      </c>
      <c r="I17" s="25">
        <f t="shared" si="0"/>
        <v>43200</v>
      </c>
      <c r="J17" s="219">
        <v>40000</v>
      </c>
      <c r="K17" s="25">
        <f t="shared" si="1"/>
        <v>43200</v>
      </c>
      <c r="L17" s="25">
        <f t="shared" si="2"/>
        <v>40000</v>
      </c>
      <c r="M17" s="26">
        <f t="shared" si="3"/>
        <v>40000</v>
      </c>
      <c r="N17" s="228">
        <v>40000</v>
      </c>
      <c r="O17" s="221">
        <v>8</v>
      </c>
    </row>
    <row r="18" spans="1:15" ht="61.5" customHeight="1">
      <c r="A18" s="191">
        <v>6</v>
      </c>
      <c r="B18" s="621">
        <v>43738</v>
      </c>
      <c r="C18" s="622"/>
      <c r="D18" s="622"/>
      <c r="E18" s="231" t="s">
        <v>263</v>
      </c>
      <c r="F18" s="214" t="s">
        <v>264</v>
      </c>
      <c r="G18" s="211">
        <v>1</v>
      </c>
      <c r="H18" s="212" t="s">
        <v>260</v>
      </c>
      <c r="I18" s="25">
        <f t="shared" si="0"/>
        <v>54000</v>
      </c>
      <c r="J18" s="219">
        <v>50000</v>
      </c>
      <c r="K18" s="25">
        <f t="shared" si="1"/>
        <v>54000</v>
      </c>
      <c r="L18" s="25">
        <f t="shared" si="2"/>
        <v>50000</v>
      </c>
      <c r="M18" s="26">
        <f t="shared" si="3"/>
        <v>50000</v>
      </c>
      <c r="N18" s="228">
        <v>50000</v>
      </c>
      <c r="O18" s="221">
        <v>8</v>
      </c>
    </row>
    <row r="19" spans="1:15" ht="61.5" customHeight="1">
      <c r="A19" s="191">
        <v>7</v>
      </c>
      <c r="B19" s="621">
        <v>43753</v>
      </c>
      <c r="C19" s="622"/>
      <c r="D19" s="622"/>
      <c r="E19" s="231" t="s">
        <v>263</v>
      </c>
      <c r="F19" s="214" t="s">
        <v>264</v>
      </c>
      <c r="G19" s="211">
        <v>1</v>
      </c>
      <c r="H19" s="212" t="s">
        <v>260</v>
      </c>
      <c r="I19" s="25">
        <f t="shared" si="0"/>
        <v>54000</v>
      </c>
      <c r="J19" s="219">
        <v>50000</v>
      </c>
      <c r="K19" s="25">
        <f t="shared" si="1"/>
        <v>54000</v>
      </c>
      <c r="L19" s="25">
        <f t="shared" si="2"/>
        <v>50000</v>
      </c>
      <c r="M19" s="26">
        <f t="shared" si="3"/>
        <v>50000</v>
      </c>
      <c r="N19" s="228">
        <v>50000</v>
      </c>
      <c r="O19" s="221">
        <v>8</v>
      </c>
    </row>
    <row r="20" spans="1:15" ht="61.5" customHeight="1">
      <c r="A20" s="191">
        <v>8</v>
      </c>
      <c r="B20" s="621">
        <v>43769</v>
      </c>
      <c r="C20" s="622"/>
      <c r="D20" s="622"/>
      <c r="E20" s="231" t="s">
        <v>263</v>
      </c>
      <c r="F20" s="214" t="s">
        <v>264</v>
      </c>
      <c r="G20" s="211">
        <v>1</v>
      </c>
      <c r="H20" s="212" t="s">
        <v>260</v>
      </c>
      <c r="I20" s="25">
        <f t="shared" si="0"/>
        <v>54000</v>
      </c>
      <c r="J20" s="219">
        <v>50000</v>
      </c>
      <c r="K20" s="25">
        <f t="shared" si="1"/>
        <v>54000</v>
      </c>
      <c r="L20" s="25">
        <f t="shared" si="2"/>
        <v>50000</v>
      </c>
      <c r="M20" s="26">
        <f t="shared" si="3"/>
        <v>50000</v>
      </c>
      <c r="N20" s="228">
        <v>50000</v>
      </c>
      <c r="O20" s="221">
        <v>8</v>
      </c>
    </row>
    <row r="21" spans="1:15" ht="61.5" customHeight="1">
      <c r="A21" s="191">
        <v>9</v>
      </c>
      <c r="B21" s="621">
        <v>43784</v>
      </c>
      <c r="C21" s="622"/>
      <c r="D21" s="622"/>
      <c r="E21" s="231" t="s">
        <v>263</v>
      </c>
      <c r="F21" s="214" t="s">
        <v>264</v>
      </c>
      <c r="G21" s="211">
        <v>2</v>
      </c>
      <c r="H21" s="212" t="s">
        <v>260</v>
      </c>
      <c r="I21" s="25">
        <f t="shared" si="0"/>
        <v>54000</v>
      </c>
      <c r="J21" s="219">
        <v>50000</v>
      </c>
      <c r="K21" s="25">
        <f t="shared" si="1"/>
        <v>108000</v>
      </c>
      <c r="L21" s="25">
        <f t="shared" si="2"/>
        <v>100000</v>
      </c>
      <c r="M21" s="26">
        <f t="shared" si="3"/>
        <v>100000</v>
      </c>
      <c r="N21" s="228">
        <v>50000</v>
      </c>
      <c r="O21" s="221">
        <v>8</v>
      </c>
    </row>
    <row r="22" spans="1:15" ht="61.5" customHeight="1" thickBot="1">
      <c r="A22" s="195">
        <v>10</v>
      </c>
      <c r="B22" s="629">
        <v>43799</v>
      </c>
      <c r="C22" s="630"/>
      <c r="D22" s="630"/>
      <c r="E22" s="232" t="s">
        <v>263</v>
      </c>
      <c r="F22" s="216" t="s">
        <v>264</v>
      </c>
      <c r="G22" s="217">
        <v>2</v>
      </c>
      <c r="H22" s="218" t="s">
        <v>260</v>
      </c>
      <c r="I22" s="27">
        <f t="shared" si="0"/>
        <v>54000</v>
      </c>
      <c r="J22" s="220">
        <v>50000</v>
      </c>
      <c r="K22" s="27">
        <f t="shared" si="1"/>
        <v>108000</v>
      </c>
      <c r="L22" s="27">
        <f t="shared" si="2"/>
        <v>100000</v>
      </c>
      <c r="M22" s="27">
        <f t="shared" si="3"/>
        <v>100000</v>
      </c>
      <c r="N22" s="220">
        <v>50000</v>
      </c>
      <c r="O22" s="222">
        <v>8</v>
      </c>
    </row>
    <row r="23" spans="1:18" ht="21" customHeight="1" thickBot="1">
      <c r="A23" s="625" t="s">
        <v>12</v>
      </c>
      <c r="B23" s="626"/>
      <c r="C23" s="626"/>
      <c r="D23" s="626"/>
      <c r="E23" s="626"/>
      <c r="F23" s="626"/>
      <c r="G23" s="626"/>
      <c r="H23" s="626"/>
      <c r="I23" s="626"/>
      <c r="J23" s="182"/>
      <c r="K23" s="24">
        <f>SUM(K13:K22)</f>
        <v>594000</v>
      </c>
      <c r="L23" s="24">
        <f>SUM(L13:L22)</f>
        <v>550000</v>
      </c>
      <c r="M23" s="280">
        <f>SUM(M13:M22)</f>
        <v>550000</v>
      </c>
      <c r="N23" s="149">
        <f>SUM(N13:N22)</f>
        <v>450000</v>
      </c>
      <c r="R23" s="161">
        <f>'経費明細表'!S15</f>
        <v>450000</v>
      </c>
    </row>
    <row r="24" spans="1:14" ht="13.5" customHeight="1">
      <c r="A24" s="186"/>
      <c r="L24" s="184"/>
      <c r="M24" s="185"/>
      <c r="N24" s="185"/>
    </row>
    <row r="25" spans="1:14" ht="13.5" customHeight="1">
      <c r="A25" s="186"/>
      <c r="B25" s="161" t="s">
        <v>14</v>
      </c>
      <c r="D25" s="186"/>
      <c r="E25" s="1" t="s">
        <v>29</v>
      </c>
      <c r="N25" s="187"/>
    </row>
    <row r="26" spans="2:14" ht="13.5" customHeight="1">
      <c r="B26" s="161" t="s">
        <v>15</v>
      </c>
      <c r="E26" s="1" t="s">
        <v>30</v>
      </c>
      <c r="N26" s="187"/>
    </row>
    <row r="27" spans="2:14" ht="13.5" customHeight="1">
      <c r="B27" s="161" t="s">
        <v>16</v>
      </c>
      <c r="E27" s="1" t="s">
        <v>31</v>
      </c>
      <c r="N27" s="187"/>
    </row>
    <row r="28" ht="13.5">
      <c r="N28" s="188"/>
    </row>
  </sheetData>
  <sheetProtection sheet="1" objects="1" scenarios="1"/>
  <mergeCells count="20">
    <mergeCell ref="B17:D17"/>
    <mergeCell ref="B2:D2"/>
    <mergeCell ref="O11:O12"/>
    <mergeCell ref="B18:D18"/>
    <mergeCell ref="A4:E4"/>
    <mergeCell ref="A11:A12"/>
    <mergeCell ref="B11:D11"/>
    <mergeCell ref="K11:L11"/>
    <mergeCell ref="F7:H7"/>
    <mergeCell ref="F6:H6"/>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2019-04-01T12:46:11Z</cp:lastPrinted>
  <dcterms:created xsi:type="dcterms:W3CDTF">2013-05-03T10:01:41Z</dcterms:created>
  <dcterms:modified xsi:type="dcterms:W3CDTF">2019-04-25T08:42:47Z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