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6690" tabRatio="726" activeTab="0"/>
  </bookViews>
  <sheets>
    <sheet name="目次" sheetId="1" r:id="rId1"/>
    <sheet name="設定" sheetId="2" state="hidden" r:id="rId2"/>
    <sheet name="基本情報入力（使い方）" sheetId="3" r:id="rId3"/>
    <sheet name="経費明細表" sheetId="4" r:id="rId4"/>
    <sheet name="機械装置費（50万円以上）" sheetId="5" r:id="rId5"/>
    <sheet name="機械装置費（50万円未満）" sheetId="6" r:id="rId6"/>
    <sheet name="技術導入費" sheetId="7" r:id="rId7"/>
    <sheet name="専門家経費" sheetId="8" r:id="rId8"/>
    <sheet name="運搬費" sheetId="9" r:id="rId9"/>
    <sheet name="原材料費" sheetId="10" r:id="rId10"/>
    <sheet name="外注加工費" sheetId="11" r:id="rId11"/>
    <sheet name="委託費" sheetId="12" r:id="rId12"/>
    <sheet name="知的財産権等関連経費" sheetId="13" r:id="rId13"/>
    <sheet name="クラウド利用費" sheetId="14" r:id="rId14"/>
  </sheets>
  <definedNames>
    <definedName name="_xlfn.IFERROR" hidden="1">#NAME?</definedName>
    <definedName name="_xlfn.SHEETS" hidden="1">#NAME?</definedName>
    <definedName name="_xlfn.SUMIFS" hidden="1">#NAME?</definedName>
    <definedName name="ｃaaa">'経費明細表'!#REF!</definedName>
    <definedName name="_xlnm.Print_Area" localSheetId="13">'クラウド利用費'!$A$4:$O$27</definedName>
    <definedName name="_xlnm.Print_Area" localSheetId="11">'委託費'!$A$4:$O$27</definedName>
    <definedName name="_xlnm.Print_Area" localSheetId="8">'運搬費'!$A$4:$O$27</definedName>
    <definedName name="_xlnm.Print_Area" localSheetId="10">'外注加工費'!$A$4:$O$27</definedName>
    <definedName name="_xlnm.Print_Area" localSheetId="4">'機械装置費（50万円以上）'!$A$4:$Q$27</definedName>
    <definedName name="_xlnm.Print_Area" localSheetId="5">'機械装置費（50万円未満）'!$A$4:$O$27</definedName>
    <definedName name="_xlnm.Print_Area" localSheetId="6">'技術導入費'!$A$4:$O$27</definedName>
    <definedName name="_xlnm.Print_Area" localSheetId="3">'経費明細表'!$A$3:$J$24</definedName>
    <definedName name="_xlnm.Print_Area" localSheetId="9">'原材料費'!$A$4:$O$27</definedName>
    <definedName name="_xlnm.Print_Area" localSheetId="7">'専門家経費'!$A$4:$O$27</definedName>
    <definedName name="_xlnm.Print_Area" localSheetId="12">'知的財産権等関連経費'!$A$4:$O$27</definedName>
    <definedName name="事業類型" localSheetId="3">'経費明細表'!$N$49</definedName>
    <definedName name="消費税率" localSheetId="3">'経費明細表'!$N$48</definedName>
    <definedName name="補助下限額">'経費明細表'!$N$53</definedName>
    <definedName name="補助上限額" localSheetId="3">'経費明細表'!$N$52</definedName>
  </definedNames>
  <calcPr fullCalcOnLoad="1"/>
</workbook>
</file>

<file path=xl/comments4.xml><?xml version="1.0" encoding="utf-8"?>
<comments xmlns="http://schemas.openxmlformats.org/spreadsheetml/2006/main">
  <authors>
    <author>PCUser</author>
    <author>bara</author>
    <author>EH</author>
  </authors>
  <commentList>
    <comment ref="S25" authorId="0">
      <text>
        <r>
          <rPr>
            <sz val="11"/>
            <rFont val="ＭＳ Ｐゴシック"/>
            <family val="3"/>
          </rPr>
          <t xml:space="preserve">各経費区分ごとに判定。
判定１～判定３に「×」が１つでもあると、「×」と判定。
</t>
        </r>
      </text>
    </comment>
    <comment ref="T25" authorId="1">
      <text>
        <r>
          <rPr>
            <sz val="11"/>
            <rFont val="ＭＳ Ｐゴシック"/>
            <family val="3"/>
          </rPr>
          <t xml:space="preserve">外注加工費、委託費、知的財産関連経費については、補助対象経費総額の1/2、1/2、1/3を超えてはならない。外注加工費＋委託費についても補助対象経費総額の1/2を超えないこと。
</t>
        </r>
      </text>
    </comment>
    <comment ref="AA25" authorId="0">
      <text>
        <r>
          <rPr>
            <sz val="11"/>
            <rFont val="ＭＳ Ｐゴシック"/>
            <family val="3"/>
          </rPr>
          <t>判定１～７、「実績額の総額についての判定」がすべて「○」のとき、総合判定は「○」</t>
        </r>
      </text>
    </comment>
    <comment ref="T34" authorId="2">
      <text>
        <r>
          <rPr>
            <b/>
            <sz val="11"/>
            <rFont val="ＭＳ Ｐゴシック"/>
            <family val="3"/>
          </rPr>
          <t>補助対象経費について</t>
        </r>
        <r>
          <rPr>
            <sz val="11"/>
            <rFont val="ＭＳ Ｐゴシック"/>
            <family val="3"/>
          </rPr>
          <t>、「外注加工費≦1/2×総額」と「委託費＋外注加工費≦1/2×総額」の制約がある。（いくつかある制約のうち、委託費に関わる部分のみ抜粋）
ここでは外注加工費に修正が必要な場合に「×」と判定、外注加工費の修正は必要ない場合に「○」と判定している。
①</t>
        </r>
        <r>
          <rPr>
            <b/>
            <sz val="11"/>
            <rFont val="ＭＳ Ｐゴシック"/>
            <family val="3"/>
          </rPr>
          <t>「委託費＋外注加工費≦1/2×総額」のとき</t>
        </r>
        <r>
          <rPr>
            <sz val="11"/>
            <rFont val="ＭＳ Ｐゴシック"/>
            <family val="3"/>
          </rPr>
          <t xml:space="preserve">
（「外注加工費≦1/2×総額」と「委託費＋外注加工費≦1/2×総額」の両方を満たすので、外注加工費の修正は必要ない→外注加工費として「○」と判定）
</t>
        </r>
        <r>
          <rPr>
            <b/>
            <sz val="11"/>
            <rFont val="ＭＳ Ｐゴシック"/>
            <family val="3"/>
          </rPr>
          <t>または</t>
        </r>
        <r>
          <rPr>
            <sz val="11"/>
            <rFont val="ＭＳ Ｐゴシック"/>
            <family val="3"/>
          </rPr>
          <t xml:space="preserve">
②</t>
        </r>
        <r>
          <rPr>
            <b/>
            <sz val="11"/>
            <rFont val="ＭＳ Ｐゴシック"/>
            <family val="3"/>
          </rPr>
          <t>「委託費＞1/2×総額」のとき</t>
        </r>
        <r>
          <rPr>
            <sz val="11"/>
            <rFont val="ＭＳ Ｐゴシック"/>
            <family val="3"/>
          </rPr>
          <t xml:space="preserve">
（「委託費＋外注加工費≦1/2×総額」にならないが、原因は委託費にあり、外注加工費には原因がない。外注加工費の修正は必要ない→外注加工費として「○」と判定）</t>
        </r>
        <r>
          <rPr>
            <sz val="16"/>
            <rFont val="ＭＳ Ｐゴシック"/>
            <family val="3"/>
          </rPr>
          <t xml:space="preserve">
</t>
        </r>
      </text>
    </comment>
    <comment ref="T35" authorId="2">
      <text>
        <r>
          <rPr>
            <b/>
            <sz val="11"/>
            <rFont val="ＭＳ Ｐゴシック"/>
            <family val="3"/>
          </rPr>
          <t>補助対象経費について</t>
        </r>
        <r>
          <rPr>
            <sz val="11"/>
            <rFont val="ＭＳ Ｐゴシック"/>
            <family val="3"/>
          </rPr>
          <t>、「委託費≦1/2×総額」と「委託費＋外注加工費≦1/2×総額」の制約がある。（いくつかある制約のうち、委託費に関わる部分のみ抜粋）
ここでは委託費に修正が必要な場合に「×」と判定、委託費の修正は必要ない場合に「○」と判定している。
①</t>
        </r>
        <r>
          <rPr>
            <b/>
            <sz val="11"/>
            <rFont val="ＭＳ Ｐゴシック"/>
            <family val="3"/>
          </rPr>
          <t xml:space="preserve">「委託費＋外注加工費≦1/2×総額」のとき
</t>
        </r>
        <r>
          <rPr>
            <sz val="11"/>
            <rFont val="ＭＳ Ｐゴシック"/>
            <family val="3"/>
          </rPr>
          <t xml:space="preserve">（「委託費≦1/2×総額」と「委託費＋外注加工費≦1/2×総額」の両方を満たすので、委託費の修正は必要ない→委託費として「○」と判定）
</t>
        </r>
        <r>
          <rPr>
            <b/>
            <sz val="11"/>
            <rFont val="ＭＳ Ｐゴシック"/>
            <family val="3"/>
          </rPr>
          <t>または</t>
        </r>
        <r>
          <rPr>
            <sz val="11"/>
            <rFont val="ＭＳ Ｐゴシック"/>
            <family val="3"/>
          </rPr>
          <t xml:space="preserve">
②</t>
        </r>
        <r>
          <rPr>
            <b/>
            <sz val="11"/>
            <rFont val="ＭＳ Ｐゴシック"/>
            <family val="3"/>
          </rPr>
          <t>「外注加工費＞1/2×総額」のとき</t>
        </r>
        <r>
          <rPr>
            <sz val="11"/>
            <rFont val="ＭＳ Ｐゴシック"/>
            <family val="3"/>
          </rPr>
          <t xml:space="preserve">
（「委託費＋外注加工費≦1/2×総額」にならないが、原因は外注加工費にあり、委託費には原因がない。委託費の修正は必要ない→委託費として「○」と判定）</t>
        </r>
        <r>
          <rPr>
            <sz val="18"/>
            <rFont val="ＭＳ Ｐゴシック"/>
            <family val="3"/>
          </rPr>
          <t xml:space="preserve">
</t>
        </r>
      </text>
    </comment>
  </commentList>
</comments>
</file>

<file path=xl/comments6.xml><?xml version="1.0" encoding="utf-8"?>
<comments xmlns="http://schemas.openxmlformats.org/spreadsheetml/2006/main">
  <authors>
    <author>高村 育子</author>
  </authors>
  <commentList>
    <comment ref="A11" authorId="0">
      <text>
        <r>
          <rPr>
            <sz val="11"/>
            <rFont val="ＭＳ Ｐゴシック"/>
            <family val="3"/>
          </rPr>
          <t>機械装置費（50万円未満）の管理№は、機械装置費（50万円以上）の管理№からの通番としてください。</t>
        </r>
      </text>
    </comment>
  </commentList>
</comments>
</file>

<file path=xl/sharedStrings.xml><?xml version="1.0" encoding="utf-8"?>
<sst xmlns="http://schemas.openxmlformats.org/spreadsheetml/2006/main" count="687" uniqueCount="257">
  <si>
    <t>単価</t>
  </si>
  <si>
    <t>管理No.</t>
  </si>
  <si>
    <t>支払</t>
  </si>
  <si>
    <t>支払先</t>
  </si>
  <si>
    <t>内容および仕様等詳細</t>
  </si>
  <si>
    <t>数量</t>
  </si>
  <si>
    <t>単位</t>
  </si>
  <si>
    <t>補助事業に要した経費
＜支払額＞</t>
  </si>
  <si>
    <t>補助対象経費</t>
  </si>
  <si>
    <t>年</t>
  </si>
  <si>
    <t>月</t>
  </si>
  <si>
    <t>日</t>
  </si>
  <si>
    <t>(税込み)</t>
  </si>
  <si>
    <t>（税込み）</t>
  </si>
  <si>
    <t>（税抜き）</t>
  </si>
  <si>
    <t>合　　　　計</t>
  </si>
  <si>
    <t>経費区分</t>
  </si>
  <si>
    <t>(注1)</t>
  </si>
  <si>
    <t>(注2)</t>
  </si>
  <si>
    <t>(注3)</t>
  </si>
  <si>
    <t>(単位:円)</t>
  </si>
  <si>
    <t>B×2/3以内</t>
  </si>
  <si>
    <t>補助金交付申請額</t>
  </si>
  <si>
    <t>（税抜き）</t>
  </si>
  <si>
    <t>原材料費</t>
  </si>
  <si>
    <t>(税抜き)</t>
  </si>
  <si>
    <t>合計</t>
  </si>
  <si>
    <t>技術導入費</t>
  </si>
  <si>
    <t>委託費</t>
  </si>
  <si>
    <t>外注加工費</t>
  </si>
  <si>
    <t>運搬費</t>
  </si>
  <si>
    <t>№</t>
  </si>
  <si>
    <t>事業者名：</t>
  </si>
  <si>
    <t>支出明細は原材料費、機械装置費など「経費区分」別に記入してください。</t>
  </si>
  <si>
    <t>管理№ごとに、証拠書類を整備してください。</t>
  </si>
  <si>
    <t>本様式は日本工業規格Ａ４判としてください。</t>
  </si>
  <si>
    <t>順位</t>
  </si>
  <si>
    <t>判定</t>
  </si>
  <si>
    <t>消費税率(%)</t>
  </si>
  <si>
    <t>補助上限額</t>
  </si>
  <si>
    <t>設備投資の制限</t>
  </si>
  <si>
    <t>その他の経費の制限</t>
  </si>
  <si>
    <t>外注加工費+委託費</t>
  </si>
  <si>
    <t>なお、このＥＸＣＥＬのフォーマットは計算式に保護をかけています。</t>
  </si>
  <si>
    <t>消費税は切り捨てにしてありますので微調整は必要です。</t>
  </si>
  <si>
    <t>本ワークシートの使い方について</t>
  </si>
  <si>
    <t>知的財産権等関連経費</t>
  </si>
  <si>
    <t>内容</t>
  </si>
  <si>
    <t>差額</t>
  </si>
  <si>
    <t>仮計算
補助金交付申請額</t>
  </si>
  <si>
    <t>按分計算
補助金交付申請額</t>
  </si>
  <si>
    <t>機械装置費で補助対象経費にして単価５０万円以上の設備投資が必要</t>
  </si>
  <si>
    <t>機械装置費以外の経費の補助金交付申請額は５００万円以下</t>
  </si>
  <si>
    <t>総合判定</t>
  </si>
  <si>
    <t>名前の管理（引用しているため削除不可）</t>
  </si>
  <si>
    <t>名前</t>
  </si>
  <si>
    <t>消費税率</t>
  </si>
  <si>
    <t>事業類型</t>
  </si>
  <si>
    <t>補助上限額</t>
  </si>
  <si>
    <t>合　計</t>
  </si>
  <si>
    <t>↑</t>
  </si>
  <si>
    <t>予算額　計算シート</t>
  </si>
  <si>
    <t>機械装置費を除く補助金申請額の合計額(修正前)</t>
  </si>
  <si>
    <t>順位２</t>
  </si>
  <si>
    <t>補助金交付申請限度額</t>
  </si>
  <si>
    <t>順位２の合計額</t>
  </si>
  <si>
    <t>保護を解除する場合は「校閲」のタブをクリックして、「シート保護の解除」をしてください。パスワードはかけていません。</t>
  </si>
  <si>
    <t>企業名を入力してください。</t>
  </si>
  <si>
    <t>■はじめに</t>
  </si>
  <si>
    <t>　 ※下記の各費用項目をクリックすると対象のシートに移動します。</t>
  </si>
  <si>
    <t>機械装置費（50万円以上）</t>
  </si>
  <si>
    <t>機械装置費（50万円未満）</t>
  </si>
  <si>
    <t>専門家経費</t>
  </si>
  <si>
    <t>クラウド利用費</t>
  </si>
  <si>
    <t>機械装置費（50万円以上）</t>
  </si>
  <si>
    <t>機械装置費（50万円未満）</t>
  </si>
  <si>
    <t>補助対象経費</t>
  </si>
  <si>
    <t xml:space="preserve">補助対象経費
</t>
  </si>
  <si>
    <t>機械装置費を優先した残りの補助金交付申請額</t>
  </si>
  <si>
    <t xml:space="preserve">機械装置費を除く合計額の補助金交付申請額の上限 </t>
  </si>
  <si>
    <t>この申請の事業類型は、</t>
  </si>
  <si>
    <t>見積書等の証拠書類をもとに、各経費のそれぞれの単価・数量・内容を入力すると、経費明細へ自動的に反映されます。</t>
  </si>
  <si>
    <t>機械装置費（50万円以上）</t>
  </si>
  <si>
    <t>機械装置費（50万円未満）</t>
  </si>
  <si>
    <t>日</t>
  </si>
  <si>
    <t>判定１</t>
  </si>
  <si>
    <t>判定２</t>
  </si>
  <si>
    <t>判定３</t>
  </si>
  <si>
    <t>目次</t>
  </si>
  <si>
    <t>シート名</t>
  </si>
  <si>
    <t>下記の各費用項目をクリックすると対象のシートに移動します。</t>
  </si>
  <si>
    <t>ＡＡ株式会社</t>
  </si>
  <si>
    <t>○○装置　(型番１２３型番TK)</t>
  </si>
  <si>
    <t>台</t>
  </si>
  <si>
    <t>ＢＢ株式会社</t>
  </si>
  <si>
    <t>○○装置　(型番１型番TK)</t>
  </si>
  <si>
    <t>ＢＢ株式会社</t>
  </si>
  <si>
    <t>○○装置　(型番２型番TK)</t>
  </si>
  <si>
    <t>○○装置　(型番３型番TK)</t>
  </si>
  <si>
    <t>○○装置　(型番４型番TK)</t>
  </si>
  <si>
    <t>○○装置　(型番５型番TK)</t>
  </si>
  <si>
    <t>○○装置　(型番６型番TK)</t>
  </si>
  <si>
    <t>○○装置　(型番７型番TK)</t>
  </si>
  <si>
    <t>○○装置　(型番８型番TK)</t>
  </si>
  <si>
    <t>ＣＣ株式会社</t>
  </si>
  <si>
    <t>金属Ａ</t>
  </si>
  <si>
    <t>ｋｇ</t>
  </si>
  <si>
    <t>金属Ｂ</t>
  </si>
  <si>
    <t>ｇ</t>
  </si>
  <si>
    <t>合金Ａ</t>
  </si>
  <si>
    <t>ｇ</t>
  </si>
  <si>
    <t>合金Ｂ</t>
  </si>
  <si>
    <t>ｇ</t>
  </si>
  <si>
    <t>Ｄ株式会社</t>
  </si>
  <si>
    <t>○○指導</t>
  </si>
  <si>
    <t>Ｅ株式会社</t>
  </si>
  <si>
    <t>切削加工</t>
  </si>
  <si>
    <t>件</t>
  </si>
  <si>
    <t>○○市工業研究所</t>
  </si>
  <si>
    <t>○○の委託研究開発</t>
  </si>
  <si>
    <t>○○研究所</t>
  </si>
  <si>
    <t>○○技術について</t>
  </si>
  <si>
    <t>○○運輸</t>
  </si>
  <si>
    <t>○○機材</t>
  </si>
  <si>
    <t>個</t>
  </si>
  <si>
    <t>○○弁理士</t>
  </si>
  <si>
    <t>○○株式会社</t>
  </si>
  <si>
    <t>○○作業
（20日）</t>
  </si>
  <si>
    <t>日</t>
  </si>
  <si>
    <t>初期費用</t>
  </si>
  <si>
    <t>固定料金費用</t>
  </si>
  <si>
    <t>従量制料金費用</t>
  </si>
  <si>
    <t>月</t>
  </si>
  <si>
    <t>件</t>
  </si>
  <si>
    <t>ＴＢ</t>
  </si>
  <si>
    <t>調整される補助金の額</t>
  </si>
  <si>
    <t>調整する件数</t>
  </si>
  <si>
    <t>基本情報入力（使い方）</t>
  </si>
  <si>
    <t>「機械装置費（50万円以上）」から「クラウド利用費」まで該当の「費目別経費支出明細書」へ見積書等の証拠書類をもとに入力してください。</t>
  </si>
  <si>
    <t>小規模型</t>
  </si>
  <si>
    <t>事業類型</t>
  </si>
  <si>
    <t>№</t>
  </si>
  <si>
    <t>事業内容</t>
  </si>
  <si>
    <t>条件</t>
  </si>
  <si>
    <t>照合金額</t>
  </si>
  <si>
    <t>判定</t>
  </si>
  <si>
    <t>結果</t>
  </si>
  <si>
    <t>委託費</t>
  </si>
  <si>
    <t>判定対象外</t>
  </si>
  <si>
    <t>判定内容</t>
  </si>
  <si>
    <t>革新的サービス</t>
  </si>
  <si>
    <t>ものづくり技術</t>
  </si>
  <si>
    <t>補助下限額</t>
  </si>
  <si>
    <t>経費明細表</t>
  </si>
  <si>
    <t>原材料費(※）</t>
  </si>
  <si>
    <t>外注加工費(※）</t>
  </si>
  <si>
    <t>委託費(※）</t>
  </si>
  <si>
    <t>知的財産権等関連経費(※）</t>
  </si>
  <si>
    <t>クラウド利用費(※）</t>
  </si>
  <si>
    <t>※は小規模型の「試作開発等」のみ使用可</t>
  </si>
  <si>
    <t>機械装置費で補助対象経費にして単価５０万円以上の設備投資が必要</t>
  </si>
  <si>
    <t>①費目別経費支出明細書</t>
  </si>
  <si>
    <t>原材料費、外注加工費、委託費、知的財産権等関連経費、クラウド利用費</t>
  </si>
  <si>
    <t>知的財産権等関連経費</t>
  </si>
  <si>
    <t>事業対象外の経費を使用していないか</t>
  </si>
  <si>
    <t>対象項目</t>
  </si>
  <si>
    <t>機械装置費（単価50万円以上）</t>
  </si>
  <si>
    <t>機械装置費（単価50万円未満）</t>
  </si>
  <si>
    <t xml:space="preserve"> </t>
  </si>
  <si>
    <t>補助事業に要した経費（税込）≧補助事業に要した経費（税抜）
補助事業に要した経費（税抜）≧補助対象経費</t>
  </si>
  <si>
    <t>判定1</t>
  </si>
  <si>
    <t>判定2</t>
  </si>
  <si>
    <t>判定3</t>
  </si>
  <si>
    <t>その他経費の制限に抵触していないか</t>
  </si>
  <si>
    <t>判定４</t>
  </si>
  <si>
    <t>技術導入費</t>
  </si>
  <si>
    <t>運搬費</t>
  </si>
  <si>
    <t>専門家経費</t>
  </si>
  <si>
    <t>判定５</t>
  </si>
  <si>
    <t>設備投資の制限に抵触していないか</t>
  </si>
  <si>
    <t>「×」の場合、判定１～判定5参照</t>
  </si>
  <si>
    <t>円</t>
  </si>
  <si>
    <t>Ｂ金属株式会社</t>
  </si>
  <si>
    <t>第四次産業革命型</t>
  </si>
  <si>
    <t>一般型</t>
  </si>
  <si>
    <t>第四次産業革命型</t>
  </si>
  <si>
    <t>一般型</t>
  </si>
  <si>
    <t>①費目別経費支出明細書</t>
  </si>
  <si>
    <t>補助上限額1</t>
  </si>
  <si>
    <t>補助上限額2</t>
  </si>
  <si>
    <t>補助上限額3</t>
  </si>
  <si>
    <t>【様式第１の別紙】①費目別経費支出明細書</t>
  </si>
  <si>
    <t>小規模型（設備投資のみ）</t>
  </si>
  <si>
    <t>小規模型（試作開発等）</t>
  </si>
  <si>
    <t>外注加工費は補助対象経費の1/2を超えていないか</t>
  </si>
  <si>
    <t>委託費は補助対象経費の1/2を超えていないか</t>
  </si>
  <si>
    <t>知的財産権関連経費が補助対象経費の1/3を超えていないか</t>
  </si>
  <si>
    <t>上記の合計額が補助対象経費の1/2を超えていないか</t>
  </si>
  <si>
    <t/>
  </si>
  <si>
    <t>判定６</t>
  </si>
  <si>
    <t>判定７</t>
  </si>
  <si>
    <t>公募時の補助対象経費を超えていないか</t>
  </si>
  <si>
    <t>外、委、知は補助対象経費総額の1/2・1/2・1/3以内か</t>
  </si>
  <si>
    <t>公募時の補助金交付申請額を超えていないか</t>
  </si>
  <si>
    <t>第四次産業革命型が対象</t>
  </si>
  <si>
    <t>一般型、小規模型が対象</t>
  </si>
  <si>
    <t>原材料費（小規模型・試作開発等のみ）</t>
  </si>
  <si>
    <t>外注加工費（小規模型・試作開発等のみ）</t>
  </si>
  <si>
    <t>委託費(小規模型・試作開発等のみ）</t>
  </si>
  <si>
    <t>知的財産権等関連経費(小規模型・試作開発等のみ）</t>
  </si>
  <si>
    <t>クラウド利用費（小規模型・試作開発等のみ）</t>
  </si>
  <si>
    <t>原材料費（小規模型・試作開発等のみ）</t>
  </si>
  <si>
    <t>外注加工費（小規模型・試作開発等のみ）</t>
  </si>
  <si>
    <t>委託費(小規模型・試作開発等のみ）</t>
  </si>
  <si>
    <t>知的財産権等関連経費(小規模型・試作開発等のみ）</t>
  </si>
  <si>
    <t>クラウド利用費（小規模型・試作開発等のみ）</t>
  </si>
  <si>
    <t>目次に戻る</t>
  </si>
  <si>
    <t>雇用増（維持）5%の賃上げ</t>
  </si>
  <si>
    <t>雇用増（維持）10%の賃上げ</t>
  </si>
  <si>
    <t>（試作開発等）</t>
  </si>
  <si>
    <t>（設備投資のみ）</t>
  </si>
  <si>
    <t>※赤色の費目別経費支出明細書を修正してください</t>
  </si>
  <si>
    <t>判定６</t>
  </si>
  <si>
    <t>判定７</t>
  </si>
  <si>
    <t>コンテンツを有効にしていただく必要があります。</t>
  </si>
  <si>
    <t>また、本ツールを起動の際に「コンテンツの有効化」ボタンが表示される場合は、</t>
  </si>
  <si>
    <t>次に、補助金の上限を設定するため事業類型を選択してください。</t>
  </si>
  <si>
    <t>費目別支出明細では原則円未満切り捨てで計算しています。</t>
  </si>
  <si>
    <t>●各経費の合計額が、「費目別経費支出明細書」の合計と一致しているか確認してください。</t>
  </si>
  <si>
    <t>■操作手順（下記１～５を入力してください。必須項目です。）</t>
  </si>
  <si>
    <t>補助対象経費の（2/3）</t>
  </si>
  <si>
    <t>（切捨て）</t>
  </si>
  <si>
    <t>事業形態</t>
  </si>
  <si>
    <t>（税抜き）</t>
  </si>
  <si>
    <t>（税込み）</t>
  </si>
  <si>
    <t>Ａ</t>
  </si>
  <si>
    <t>補助金の額</t>
  </si>
  <si>
    <t>Ｂ×２／３以内</t>
  </si>
  <si>
    <t>積算基礎　(Ａ.税込み)</t>
  </si>
  <si>
    <t>補助事業に要した経費</t>
  </si>
  <si>
    <t>Ｂ</t>
  </si>
  <si>
    <t>別紙　費目別経費支出明細書のとおり</t>
  </si>
  <si>
    <t>様式第５の別紙　経費明細表</t>
  </si>
  <si>
    <t>様式第５の別紙</t>
  </si>
  <si>
    <t>このエクセルは事務処理の手引きの遂行状況報告書　様式第５の別紙　経費明細表</t>
  </si>
  <si>
    <t>を作成するために用意したものです。</t>
  </si>
  <si>
    <t>様式第５の別紙　経費明細表を作成して下さい。</t>
  </si>
  <si>
    <r>
      <t xml:space="preserve">補助金
交付決定額
</t>
    </r>
    <r>
      <rPr>
        <sz val="14"/>
        <color indexed="10"/>
        <rFont val="ＭＳ ゴシック"/>
        <family val="3"/>
      </rPr>
      <t>（入力してください）</t>
    </r>
  </si>
  <si>
    <t>「様式第２　交付決定通知書」の補助対象経費と補助金交付決定額を入力してください。</t>
  </si>
  <si>
    <t>※上記は必ず入力してください。</t>
  </si>
  <si>
    <t>　補助対象経費</t>
  </si>
  <si>
    <t>　補助金交付決定額</t>
  </si>
  <si>
    <t>（注1）「積算基礎」は、「Ａ．補助事業に要する経費（税込み）」について導入設備の単価や数量など経費の内訳を明確に記載してください。</t>
  </si>
  <si>
    <t>優先される数値（P列で機械以外の費目の補助金を按分計算するにあたり、機械以外の費目の補助金の合計額）</t>
  </si>
  <si>
    <t>Q列に加算する金額</t>
  </si>
  <si>
    <t>順位２が複数ある場合はQ列で調整してください。</t>
  </si>
  <si>
    <t>Ｐ列では設備投資にウエイトをおいて補助金額を按分しています。</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</si>
</sst>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 "/>
    <numFmt numFmtId="185" formatCode="0_ "/>
    <numFmt numFmtId="186" formatCode="#,##0_);[Red]\(#,##0\)"/>
    <numFmt numFmtId="187" formatCode="#,##0.00_ "/>
    <numFmt numFmtId="188" formatCode="0.00_ "/>
    <numFmt numFmtId="189" formatCode="0.000_ "/>
    <numFmt numFmtId="190" formatCode="#,##0&quot;円&quot;"/>
    <numFmt numFmtId="191" formatCode="0&quot;件&quot;"/>
    <numFmt numFmtId="192" formatCode="&quot;参考：補助上限額　&quot;#,##0&quot;円&quot;"/>
    <numFmt numFmtId="193" formatCode="&quot;（B)補助対象経費上限金額:&quot;#,##0&quot;円&quot;"/>
    <numFmt numFmtId="194" formatCode="&quot;（C)補助金交付申請額:&quot;#,##0&quot;円&quot;"/>
    <numFmt numFmtId="195" formatCode="&quot;（C)補助金交付申請上限額:&quot;#,##0&quot;円&quot;"/>
    <numFmt numFmtId="196" formatCode="&quot;（B)補助対象経費上限額:&quot;#,##0&quot;円&quot;"/>
    <numFmt numFmtId="197" formatCode="&quot;Yes&quot;;&quot;Yes&quot;;&quot;No&quot;"/>
    <numFmt numFmtId="198" formatCode="&quot;True&quot;;&quot;True&quot;;&quot;False&quot;"/>
    <numFmt numFmtId="199" formatCode="&quot;On&quot;;&quot;On&quot;;&quot;Off&quot;"/>
    <numFmt numFmtId="200" formatCode="[$€-2]\ #,##0.00_);[Red]\([$€-2]\ #,##0.00\)"/>
    <numFmt numFmtId="201" formatCode="#"/>
    <numFmt numFmtId="202" formatCode="&quot;補助金交付決定額　&quot;#,##0&quot;円&quot;"/>
    <numFmt numFmtId="203" formatCode="&quot;参考：補助金交付決定額　&quot;#,##0&quot;円&quot;"/>
  </numFmts>
  <fonts count="116">
    <font>
      <sz val="11"/>
      <color theme="1"/>
      <name val="Calibri"/>
      <family val="3"/>
    </font>
    <font>
      <sz val="11"/>
      <color indexed="8"/>
      <name val="ＭＳ Ｐゴシック"/>
      <family val="3"/>
    </font>
    <font>
      <sz val="6"/>
      <name val="ＭＳ Ｐゴシック"/>
      <family val="3"/>
    </font>
    <font>
      <sz val="9"/>
      <name val="ＭＳ ゴシック"/>
      <family val="3"/>
    </font>
    <font>
      <sz val="12"/>
      <name val="ＭＳ ゴシック"/>
      <family val="3"/>
    </font>
    <font>
      <sz val="11"/>
      <name val="ＭＳ Ｐゴシック"/>
      <family val="3"/>
    </font>
    <font>
      <sz val="11"/>
      <name val="ＭＳ 明朝"/>
      <family val="1"/>
    </font>
    <font>
      <sz val="11"/>
      <name val="ＭＳ ゴシック"/>
      <family val="3"/>
    </font>
    <font>
      <b/>
      <sz val="11"/>
      <name val="ＭＳ ゴシック"/>
      <family val="3"/>
    </font>
    <font>
      <sz val="16"/>
      <name val="ＭＳ Ｐゴシック"/>
      <family val="3"/>
    </font>
    <font>
      <sz val="12"/>
      <name val="ＭＳ Ｐゴシック"/>
      <family val="3"/>
    </font>
    <font>
      <b/>
      <sz val="9"/>
      <name val="ＭＳ ゴシック"/>
      <family val="3"/>
    </font>
    <font>
      <sz val="20"/>
      <name val="ＭＳ Ｐゴシック"/>
      <family val="3"/>
    </font>
    <font>
      <b/>
      <sz val="11"/>
      <name val="ＭＳ Ｐゴシック"/>
      <family val="3"/>
    </font>
    <font>
      <sz val="18"/>
      <name val="ＭＳ Ｐゴシック"/>
      <family val="3"/>
    </font>
    <font>
      <sz val="9"/>
      <name val="Meiryo UI"/>
      <family val="3"/>
    </font>
    <font>
      <b/>
      <sz val="14"/>
      <name val="ＭＳ Ｐゴシック"/>
      <family val="3"/>
    </font>
    <font>
      <sz val="9"/>
      <name val="ＭＳ Ｐゴシック"/>
      <family val="3"/>
    </font>
    <font>
      <b/>
      <sz val="16"/>
      <name val="ＭＳ Ｐゴシック"/>
      <family val="3"/>
    </font>
    <font>
      <sz val="14"/>
      <name val="ＭＳ Ｐゴシック"/>
      <family val="3"/>
    </font>
    <font>
      <b/>
      <sz val="9"/>
      <name val="ＭＳ Ｐゴシック"/>
      <family val="3"/>
    </font>
    <font>
      <b/>
      <sz val="18"/>
      <name val="ＭＳ Ｐゴシック"/>
      <family val="3"/>
    </font>
    <font>
      <b/>
      <sz val="20"/>
      <name val="ＭＳ Ｐゴシック"/>
      <family val="3"/>
    </font>
    <font>
      <b/>
      <sz val="12"/>
      <name val="ＭＳ Ｐゴシック"/>
      <family val="3"/>
    </font>
    <font>
      <b/>
      <sz val="36"/>
      <name val="ＭＳ Ｐゴシック"/>
      <family val="3"/>
    </font>
    <font>
      <sz val="10"/>
      <name val="ＭＳ ゴシック"/>
      <family val="3"/>
    </font>
    <font>
      <b/>
      <sz val="12"/>
      <name val="ＭＳ ゴシック"/>
      <family val="3"/>
    </font>
    <font>
      <sz val="14"/>
      <name val="ＭＳ ゴシック"/>
      <family val="3"/>
    </font>
    <font>
      <sz val="14"/>
      <color indexed="10"/>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8"/>
      <name val="ＭＳ Ｐゴシック"/>
      <family val="3"/>
    </font>
    <font>
      <sz val="12"/>
      <color indexed="8"/>
      <name val="ＭＳ ゴシック"/>
      <family val="3"/>
    </font>
    <font>
      <b/>
      <sz val="12"/>
      <color indexed="8"/>
      <name val="ＭＳ ゴシック"/>
      <family val="3"/>
    </font>
    <font>
      <sz val="11"/>
      <color indexed="8"/>
      <name val="ＭＳ 明朝"/>
      <family val="1"/>
    </font>
    <font>
      <b/>
      <sz val="14"/>
      <color indexed="9"/>
      <name val="ＭＳ Ｐゴシック"/>
      <family val="3"/>
    </font>
    <font>
      <sz val="9"/>
      <color indexed="8"/>
      <name val="ＭＳ Ｐゴシック"/>
      <family val="3"/>
    </font>
    <font>
      <sz val="12"/>
      <color indexed="10"/>
      <name val="ＭＳ Ｐゴシック"/>
      <family val="3"/>
    </font>
    <font>
      <sz val="14"/>
      <color indexed="8"/>
      <name val="ＭＳ Ｐゴシック"/>
      <family val="3"/>
    </font>
    <font>
      <sz val="16"/>
      <color indexed="8"/>
      <name val="ＭＳ Ｐゴシック"/>
      <family val="3"/>
    </font>
    <font>
      <sz val="11"/>
      <color indexed="8"/>
      <name val="ＭＳ ゴシック"/>
      <family val="3"/>
    </font>
    <font>
      <b/>
      <sz val="11"/>
      <color indexed="8"/>
      <name val="ＭＳ ゴシック"/>
      <family val="3"/>
    </font>
    <font>
      <b/>
      <sz val="9"/>
      <color indexed="10"/>
      <name val="ＭＳ Ｐゴシック"/>
      <family val="3"/>
    </font>
    <font>
      <sz val="10"/>
      <name val="ＭＳ Ｐゴシック"/>
      <family val="3"/>
    </font>
    <font>
      <sz val="14"/>
      <color indexed="10"/>
      <name val="ＭＳ Ｐゴシック"/>
      <family val="3"/>
    </font>
    <font>
      <sz val="12"/>
      <color indexed="47"/>
      <name val="ＭＳ ゴシック"/>
      <family val="3"/>
    </font>
    <font>
      <sz val="12"/>
      <color indexed="10"/>
      <name val="ＭＳ ゴシック"/>
      <family val="3"/>
    </font>
    <font>
      <sz val="12"/>
      <color indexed="26"/>
      <name val="ＭＳ ゴシック"/>
      <family val="3"/>
    </font>
    <font>
      <b/>
      <sz val="12"/>
      <color indexed="10"/>
      <name val="ＭＳ ゴシック"/>
      <family val="3"/>
    </font>
    <font>
      <u val="single"/>
      <sz val="12"/>
      <color indexed="8"/>
      <name val="ＭＳ ゴシック"/>
      <family val="3"/>
    </font>
    <font>
      <sz val="11"/>
      <color indexed="10"/>
      <name val="ＭＳ ゴシック"/>
      <family val="3"/>
    </font>
    <font>
      <b/>
      <sz val="16"/>
      <color indexed="10"/>
      <name val="ＭＳ Ｐゴシック"/>
      <family val="3"/>
    </font>
    <font>
      <b/>
      <sz val="14"/>
      <color indexed="56"/>
      <name val="ＭＳ Ｐゴシック"/>
      <family val="3"/>
    </font>
    <font>
      <sz val="14"/>
      <color indexed="56"/>
      <name val="ＭＳ Ｐゴシック"/>
      <family val="3"/>
    </font>
    <font>
      <sz val="9"/>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2"/>
      <color theme="1"/>
      <name val="Calibri"/>
      <family val="3"/>
    </font>
    <font>
      <sz val="12"/>
      <color theme="1"/>
      <name val="ＭＳ ゴシック"/>
      <family val="3"/>
    </font>
    <font>
      <b/>
      <sz val="12"/>
      <color theme="1"/>
      <name val="ＭＳ ゴシック"/>
      <family val="3"/>
    </font>
    <font>
      <sz val="11"/>
      <color theme="1"/>
      <name val="ＭＳ 明朝"/>
      <family val="1"/>
    </font>
    <font>
      <b/>
      <sz val="14"/>
      <color theme="0"/>
      <name val="ＭＳ Ｐゴシック"/>
      <family val="3"/>
    </font>
    <font>
      <sz val="11"/>
      <color theme="1"/>
      <name val="ＭＳ Ｐゴシック"/>
      <family val="3"/>
    </font>
    <font>
      <sz val="9"/>
      <color theme="1"/>
      <name val="ＭＳ Ｐゴシック"/>
      <family val="3"/>
    </font>
    <font>
      <sz val="12"/>
      <color rgb="FFFF0000"/>
      <name val="ＭＳ Ｐゴシック"/>
      <family val="3"/>
    </font>
    <font>
      <sz val="12"/>
      <color theme="1"/>
      <name val="ＭＳ Ｐゴシック"/>
      <family val="3"/>
    </font>
    <font>
      <sz val="14"/>
      <color theme="1"/>
      <name val="ＭＳ Ｐゴシック"/>
      <family val="3"/>
    </font>
    <font>
      <sz val="16"/>
      <color theme="1"/>
      <name val="ＭＳ Ｐゴシック"/>
      <family val="3"/>
    </font>
    <font>
      <sz val="11"/>
      <color theme="1"/>
      <name val="ＭＳ ゴシック"/>
      <family val="3"/>
    </font>
    <font>
      <b/>
      <sz val="11"/>
      <color theme="1"/>
      <name val="ＭＳ ゴシック"/>
      <family val="3"/>
    </font>
    <font>
      <b/>
      <sz val="9"/>
      <color rgb="FFFF0000"/>
      <name val="Calibri"/>
      <family val="3"/>
    </font>
    <font>
      <sz val="10"/>
      <name val="Calibri"/>
      <family val="3"/>
    </font>
    <font>
      <sz val="11"/>
      <name val="Calibri"/>
      <family val="3"/>
    </font>
    <font>
      <sz val="14"/>
      <color rgb="FFFF0000"/>
      <name val="ＭＳ Ｐゴシック"/>
      <family val="3"/>
    </font>
    <font>
      <sz val="12"/>
      <color theme="9" tint="0.7999799847602844"/>
      <name val="ＭＳ ゴシック"/>
      <family val="3"/>
    </font>
    <font>
      <sz val="12"/>
      <color rgb="FFFF0000"/>
      <name val="ＭＳ ゴシック"/>
      <family val="3"/>
    </font>
    <font>
      <sz val="12"/>
      <color theme="2"/>
      <name val="ＭＳ ゴシック"/>
      <family val="3"/>
    </font>
    <font>
      <b/>
      <sz val="12"/>
      <color rgb="FFFF0000"/>
      <name val="ＭＳ ゴシック"/>
      <family val="3"/>
    </font>
    <font>
      <u val="single"/>
      <sz val="12"/>
      <color theme="1"/>
      <name val="ＭＳ ゴシック"/>
      <family val="3"/>
    </font>
    <font>
      <sz val="11"/>
      <color rgb="FFFF0000"/>
      <name val="ＭＳ ゴシック"/>
      <family val="3"/>
    </font>
    <font>
      <b/>
      <sz val="14"/>
      <color rgb="FF002060"/>
      <name val="ＭＳ Ｐゴシック"/>
      <family val="3"/>
    </font>
    <font>
      <b/>
      <sz val="16"/>
      <color rgb="FFFF0000"/>
      <name val="ＭＳ Ｐゴシック"/>
      <family val="3"/>
    </font>
    <font>
      <sz val="14"/>
      <color rgb="FF002060"/>
      <name val="ＭＳ Ｐゴシック"/>
      <family val="3"/>
    </font>
    <font>
      <b/>
      <sz val="8"/>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
      <patternFill patternType="solid">
        <fgColor theme="0" tint="-0.24997000396251678"/>
        <bgColor indexed="64"/>
      </patternFill>
    </fill>
    <fill>
      <patternFill patternType="solid">
        <fgColor rgb="FFFFFFB9"/>
        <bgColor indexed="64"/>
      </patternFill>
    </fill>
    <fill>
      <patternFill patternType="solid">
        <fgColor theme="8" tint="0.5999600291252136"/>
        <bgColor indexed="64"/>
      </patternFill>
    </fill>
    <fill>
      <patternFill patternType="solid">
        <fgColor theme="6" tint="0.5999600291252136"/>
        <bgColor indexed="64"/>
      </patternFill>
    </fill>
    <fill>
      <patternFill patternType="solid">
        <fgColor rgb="FFFFC000"/>
        <bgColor indexed="64"/>
      </patternFill>
    </fill>
  </fills>
  <borders count="10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hair"/>
    </border>
    <border>
      <left style="thin"/>
      <right style="thin"/>
      <top style="hair"/>
      <bottom style="hair"/>
    </border>
    <border>
      <left style="thin"/>
      <right style="thin"/>
      <top style="thin"/>
      <bottom style="thin"/>
    </border>
    <border>
      <left style="thin"/>
      <right style="thin"/>
      <top style="hair"/>
      <bottom style="thin"/>
    </border>
    <border>
      <left style="thin"/>
      <right/>
      <top style="thin"/>
      <bottom style="thin"/>
    </border>
    <border>
      <left style="thin"/>
      <right style="thin"/>
      <top style="thin"/>
      <bottom style="double"/>
    </border>
    <border>
      <left style="thin"/>
      <right style="thin"/>
      <top style="double"/>
      <bottom style="thin"/>
    </border>
    <border>
      <left style="thin"/>
      <right style="thin"/>
      <top/>
      <bottom style="medium"/>
    </border>
    <border>
      <left style="thin"/>
      <right style="medium"/>
      <top/>
      <bottom style="medium"/>
    </border>
    <border>
      <left style="thin"/>
      <right style="thin"/>
      <top/>
      <bottom style="thin"/>
    </border>
    <border>
      <left style="thin"/>
      <right style="thin"/>
      <top style="thin"/>
      <bottom style="medium"/>
    </border>
    <border>
      <left style="thin"/>
      <right style="thin"/>
      <top style="medium"/>
      <bottom style="thin"/>
    </border>
    <border>
      <left>
        <color indexed="63"/>
      </left>
      <right style="medium"/>
      <top>
        <color indexed="63"/>
      </top>
      <bottom style="medium"/>
    </border>
    <border>
      <left/>
      <right/>
      <top/>
      <bottom style="medium"/>
    </border>
    <border>
      <left style="medium"/>
      <right style="medium"/>
      <top>
        <color indexed="63"/>
      </top>
      <bottom style="medium"/>
    </border>
    <border>
      <left style="medium"/>
      <right style="medium"/>
      <top style="thin"/>
      <bottom style="thin"/>
    </border>
    <border>
      <left style="thin"/>
      <right/>
      <top/>
      <bottom style="thin"/>
    </border>
    <border>
      <left style="thin"/>
      <right style="thick">
        <color theme="8" tint="-0.4999699890613556"/>
      </right>
      <top style="thin"/>
      <bottom style="hair"/>
    </border>
    <border>
      <left style="thin"/>
      <right style="thick">
        <color theme="8" tint="-0.4999699890613556"/>
      </right>
      <top style="hair"/>
      <bottom style="hair"/>
    </border>
    <border>
      <left style="thin"/>
      <right style="thick">
        <color theme="8" tint="-0.4999699890613556"/>
      </right>
      <top style="hair"/>
      <bottom style="thin"/>
    </border>
    <border>
      <left/>
      <right/>
      <top style="thin"/>
      <bottom/>
    </border>
    <border>
      <left style="thick"/>
      <right style="thin"/>
      <top style="thick"/>
      <bottom style="hair"/>
    </border>
    <border>
      <left style="thick"/>
      <right style="thin"/>
      <top style="hair"/>
      <bottom style="hair"/>
    </border>
    <border>
      <left style="thick"/>
      <right style="thin"/>
      <top style="hair"/>
      <bottom style="thick"/>
    </border>
    <border>
      <left/>
      <right style="thin"/>
      <top/>
      <bottom style="thin"/>
    </border>
    <border>
      <left style="thin"/>
      <right>
        <color indexed="63"/>
      </right>
      <top style="thin"/>
      <bottom style="hair"/>
    </border>
    <border>
      <left style="thin"/>
      <right/>
      <top style="hair"/>
      <bottom style="hair"/>
    </border>
    <border>
      <left style="thin"/>
      <right>
        <color indexed="63"/>
      </right>
      <top style="hair"/>
      <bottom style="thin"/>
    </border>
    <border>
      <left style="thin"/>
      <right/>
      <top style="thin"/>
      <bottom/>
    </border>
    <border>
      <left/>
      <right style="thin"/>
      <top style="thin"/>
      <bottom/>
    </border>
    <border>
      <left style="thin"/>
      <right style="thin"/>
      <top style="thin"/>
      <bottom/>
    </border>
    <border>
      <left>
        <color indexed="63"/>
      </left>
      <right style="thin"/>
      <top style="thin"/>
      <bottom style="hair"/>
    </border>
    <border>
      <left/>
      <right/>
      <top/>
      <bottom style="thin"/>
    </border>
    <border>
      <left/>
      <right style="thin"/>
      <top style="hair"/>
      <bottom style="hair"/>
    </border>
    <border>
      <left style="thin"/>
      <right style="thin"/>
      <top/>
      <bottom/>
    </border>
    <border>
      <left style="thin"/>
      <right/>
      <top/>
      <bottom/>
    </border>
    <border>
      <left>
        <color indexed="63"/>
      </left>
      <right style="thin"/>
      <top style="hair"/>
      <bottom style="thin"/>
    </border>
    <border>
      <left style="double"/>
      <right style="thin"/>
      <top style="thin"/>
      <bottom style="double"/>
    </border>
    <border>
      <left style="thin"/>
      <right style="double"/>
      <top style="thin"/>
      <bottom style="double"/>
    </border>
    <border>
      <left>
        <color indexed="63"/>
      </left>
      <right style="thin"/>
      <top style="thin"/>
      <bottom style="double"/>
    </border>
    <border>
      <left style="thin"/>
      <right style="double"/>
      <top style="double"/>
      <bottom style="thin"/>
    </border>
    <border>
      <left>
        <color indexed="63"/>
      </left>
      <right style="thin"/>
      <top style="double"/>
      <bottom style="thin"/>
    </border>
    <border>
      <left style="thin"/>
      <right style="double"/>
      <top/>
      <bottom style="thin"/>
    </border>
    <border>
      <left/>
      <right style="thin"/>
      <top style="thin"/>
      <bottom style="thin"/>
    </border>
    <border>
      <left style="thin"/>
      <right style="double"/>
      <top style="thin"/>
      <bottom style="thin"/>
    </border>
    <border diagonalUp="1">
      <left style="thin"/>
      <right style="thin"/>
      <top style="thin"/>
      <bottom style="thin"/>
      <diagonal style="thin"/>
    </border>
    <border>
      <left>
        <color indexed="63"/>
      </left>
      <right style="thick"/>
      <top style="hair"/>
      <bottom style="thick"/>
    </border>
    <border>
      <left style="thin"/>
      <right style="medium"/>
      <top style="medium"/>
      <bottom style="medium"/>
    </border>
    <border>
      <left>
        <color indexed="63"/>
      </left>
      <right style="thin"/>
      <top style="thin"/>
      <bottom style="medium"/>
    </border>
    <border>
      <left/>
      <right style="thin"/>
      <top/>
      <bottom/>
    </border>
    <border>
      <left style="thin"/>
      <right style="thin"/>
      <top style="medium"/>
      <bottom/>
    </border>
    <border>
      <left style="thin"/>
      <right/>
      <top style="medium"/>
      <bottom/>
    </border>
    <border>
      <left/>
      <right style="thin"/>
      <top/>
      <bottom style="medium"/>
    </border>
    <border>
      <left style="thin"/>
      <right/>
      <top/>
      <bottom style="medium"/>
    </border>
    <border>
      <left style="medium"/>
      <right/>
      <top/>
      <bottom/>
    </border>
    <border>
      <left style="medium"/>
      <right style="thin"/>
      <top>
        <color indexed="63"/>
      </top>
      <bottom style="thin"/>
    </border>
    <border>
      <left style="medium"/>
      <right style="thin"/>
      <top style="thin"/>
      <bottom style="thin"/>
    </border>
    <border>
      <left style="medium"/>
      <right style="thin"/>
      <top style="thin"/>
      <bottom style="medium"/>
    </border>
    <border>
      <left style="thin"/>
      <right style="medium"/>
      <top/>
      <bottom style="thin"/>
    </border>
    <border>
      <left style="thin"/>
      <right style="medium"/>
      <top style="thin"/>
      <bottom style="medium"/>
    </border>
    <border>
      <left style="medium"/>
      <right style="thin"/>
      <top style="medium"/>
      <bottom style="thin"/>
    </border>
    <border>
      <left style="thin"/>
      <right style="medium"/>
      <top style="medium"/>
      <bottom style="thin"/>
    </border>
    <border>
      <left style="thin"/>
      <right style="medium"/>
      <top style="thin"/>
      <bottom style="thin"/>
    </border>
    <border>
      <left>
        <color indexed="63"/>
      </left>
      <right style="medium"/>
      <top/>
      <bottom style="thin"/>
    </border>
    <border>
      <left>
        <color indexed="63"/>
      </left>
      <right style="medium"/>
      <top style="thin"/>
      <bottom style="medium"/>
    </border>
    <border>
      <left style="medium"/>
      <right style="medium"/>
      <top style="medium"/>
      <bottom>
        <color indexed="63"/>
      </bottom>
    </border>
    <border>
      <left/>
      <right/>
      <top style="thin"/>
      <bottom style="thin"/>
    </border>
    <border>
      <left>
        <color indexed="63"/>
      </left>
      <right style="thick"/>
      <top style="hair"/>
      <bottom style="hair"/>
    </border>
    <border diagonalDown="1">
      <left>
        <color indexed="63"/>
      </left>
      <right>
        <color indexed="63"/>
      </right>
      <top style="thin"/>
      <bottom>
        <color indexed="63"/>
      </bottom>
      <diagonal style="thin"/>
    </border>
    <border diagonalDown="1">
      <left>
        <color indexed="63"/>
      </left>
      <right>
        <color indexed="63"/>
      </right>
      <top>
        <color indexed="63"/>
      </top>
      <bottom>
        <color indexed="63"/>
      </bottom>
      <diagonal style="thin"/>
    </border>
    <border diagonalDown="1">
      <left>
        <color indexed="63"/>
      </left>
      <right>
        <color indexed="63"/>
      </right>
      <top>
        <color indexed="63"/>
      </top>
      <bottom style="thin"/>
      <diagonal style="thin"/>
    </border>
    <border>
      <left style="double"/>
      <right/>
      <top style="thin"/>
      <bottom style="thin"/>
    </border>
    <border>
      <left>
        <color indexed="63"/>
      </left>
      <right>
        <color indexed="63"/>
      </right>
      <top style="hair"/>
      <bottom style="hair"/>
    </border>
    <border>
      <left style="thin"/>
      <right style="double"/>
      <top style="thin"/>
      <bottom>
        <color indexed="63"/>
      </bottom>
    </border>
    <border>
      <left style="thin"/>
      <right style="double"/>
      <top>
        <color indexed="63"/>
      </top>
      <bottom style="double"/>
    </border>
    <border>
      <left style="thin"/>
      <right>
        <color indexed="63"/>
      </right>
      <top style="thick"/>
      <bottom style="hair"/>
    </border>
    <border>
      <left>
        <color indexed="63"/>
      </left>
      <right>
        <color indexed="63"/>
      </right>
      <top style="thick"/>
      <bottom style="hair"/>
    </border>
    <border>
      <left>
        <color indexed="63"/>
      </left>
      <right style="thick"/>
      <top style="thick"/>
      <bottom style="hair"/>
    </border>
    <border>
      <left style="thin"/>
      <right>
        <color indexed="63"/>
      </right>
      <top style="hair"/>
      <bottom style="thick"/>
    </border>
    <border>
      <left>
        <color indexed="63"/>
      </left>
      <right>
        <color indexed="63"/>
      </right>
      <top style="hair"/>
      <bottom style="thick"/>
    </border>
    <border>
      <left style="thick">
        <color theme="8" tint="-0.4999699890613556"/>
      </left>
      <right style="thick">
        <color theme="8" tint="-0.4999699890613556"/>
      </right>
      <top style="thick">
        <color theme="8" tint="-0.4999699890613556"/>
      </top>
      <bottom>
        <color indexed="63"/>
      </bottom>
    </border>
    <border>
      <left style="thick">
        <color theme="8" tint="-0.4999699890613556"/>
      </left>
      <right style="thick">
        <color theme="8" tint="-0.4999699890613556"/>
      </right>
      <top>
        <color indexed="63"/>
      </top>
      <bottom>
        <color indexed="63"/>
      </bottom>
    </border>
    <border>
      <left style="thick">
        <color theme="8" tint="-0.4999699890613556"/>
      </left>
      <right style="thick">
        <color theme="8" tint="-0.4999699890613556"/>
      </right>
      <top>
        <color indexed="63"/>
      </top>
      <bottom style="thick">
        <color theme="8" tint="-0.4999699890613556"/>
      </bottom>
    </border>
    <border>
      <left style="thin"/>
      <right style="thick">
        <color theme="8" tint="-0.4999699890613556"/>
      </right>
      <top style="thin"/>
      <bottom/>
    </border>
    <border>
      <left style="thin"/>
      <right style="thick">
        <color theme="8" tint="-0.4999699890613556"/>
      </right>
      <top/>
      <bottom/>
    </border>
    <border>
      <left style="thin"/>
      <right style="thick">
        <color theme="8" tint="-0.4999699890613556"/>
      </right>
      <top>
        <color indexed="63"/>
      </top>
      <bottom style="thin"/>
    </border>
    <border>
      <left style="medium"/>
      <right/>
      <top/>
      <bottom style="medium"/>
    </border>
    <border>
      <left/>
      <right/>
      <top style="medium"/>
      <bottom/>
    </border>
    <border>
      <left/>
      <right style="thin"/>
      <top style="medium"/>
      <bottom/>
    </border>
    <border>
      <left style="thin"/>
      <right style="medium"/>
      <top style="medium"/>
      <bottom>
        <color indexed="63"/>
      </bottom>
    </border>
    <border>
      <left style="medium"/>
      <right style="thin"/>
      <top style="medium"/>
      <bottom>
        <color indexed="63"/>
      </bottom>
    </border>
    <border>
      <left style="medium"/>
      <right style="thin"/>
      <top/>
      <bottom style="medium"/>
    </border>
    <border>
      <left style="thin"/>
      <right/>
      <top style="thin"/>
      <bottom style="medium"/>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71"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2" fillId="0" borderId="0" applyNumberFormat="0" applyFill="0" applyBorder="0" applyAlignment="0" applyProtection="0"/>
    <xf numFmtId="0" fontId="73" fillId="26" borderId="1" applyNumberFormat="0" applyAlignment="0" applyProtection="0"/>
    <xf numFmtId="0" fontId="74" fillId="27" borderId="0" applyNumberFormat="0" applyBorder="0" applyAlignment="0" applyProtection="0"/>
    <xf numFmtId="9" fontId="0" fillId="0" borderId="0" applyFont="0" applyFill="0" applyBorder="0" applyAlignment="0" applyProtection="0"/>
    <xf numFmtId="9" fontId="5" fillId="0" borderId="0" applyFont="0" applyFill="0" applyBorder="0" applyAlignment="0" applyProtection="0"/>
    <xf numFmtId="0" fontId="75" fillId="0" borderId="0" applyNumberFormat="0" applyFill="0" applyBorder="0" applyAlignment="0" applyProtection="0"/>
    <xf numFmtId="0" fontId="0" fillId="28" borderId="2" applyNumberFormat="0" applyFont="0" applyAlignment="0" applyProtection="0"/>
    <xf numFmtId="0" fontId="76" fillId="0" borderId="3" applyNumberFormat="0" applyFill="0" applyAlignment="0" applyProtection="0"/>
    <xf numFmtId="0" fontId="77" fillId="29" borderId="0" applyNumberFormat="0" applyBorder="0" applyAlignment="0" applyProtection="0"/>
    <xf numFmtId="0" fontId="78" fillId="30" borderId="4" applyNumberFormat="0" applyAlignment="0" applyProtection="0"/>
    <xf numFmtId="0" fontId="7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5" fillId="0" borderId="0" applyFont="0" applyFill="0" applyBorder="0" applyAlignment="0" applyProtection="0"/>
    <xf numFmtId="0" fontId="80" fillId="0" borderId="5" applyNumberFormat="0" applyFill="0" applyAlignment="0" applyProtection="0"/>
    <xf numFmtId="0" fontId="81" fillId="0" borderId="6" applyNumberFormat="0" applyFill="0" applyAlignment="0" applyProtection="0"/>
    <xf numFmtId="0" fontId="82" fillId="0" borderId="7" applyNumberFormat="0" applyFill="0" applyAlignment="0" applyProtection="0"/>
    <xf numFmtId="0" fontId="82" fillId="0" borderId="0" applyNumberFormat="0" applyFill="0" applyBorder="0" applyAlignment="0" applyProtection="0"/>
    <xf numFmtId="0" fontId="83" fillId="0" borderId="8" applyNumberFormat="0" applyFill="0" applyAlignment="0" applyProtection="0"/>
    <xf numFmtId="0" fontId="84" fillId="30" borderId="9" applyNumberFormat="0" applyAlignment="0" applyProtection="0"/>
    <xf numFmtId="0" fontId="8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6" fillId="31" borderId="4" applyNumberFormat="0" applyAlignment="0" applyProtection="0"/>
    <xf numFmtId="0" fontId="0" fillId="0" borderId="0">
      <alignment vertical="center"/>
      <protection/>
    </xf>
    <xf numFmtId="0" fontId="5" fillId="0" borderId="0">
      <alignment/>
      <protection/>
    </xf>
    <xf numFmtId="0" fontId="5" fillId="0" borderId="0">
      <alignment vertical="center"/>
      <protection/>
    </xf>
    <xf numFmtId="0" fontId="87" fillId="0" borderId="0" applyNumberFormat="0" applyFill="0" applyBorder="0" applyAlignment="0" applyProtection="0"/>
    <xf numFmtId="0" fontId="88" fillId="32" borderId="0" applyNumberFormat="0" applyBorder="0" applyAlignment="0" applyProtection="0"/>
  </cellStyleXfs>
  <cellXfs count="575">
    <xf numFmtId="0" fontId="0" fillId="0" borderId="0" xfId="0" applyFont="1" applyAlignment="1">
      <alignment vertical="center"/>
    </xf>
    <xf numFmtId="0" fontId="0" fillId="0" borderId="0" xfId="0" applyFont="1" applyAlignment="1" applyProtection="1">
      <alignment horizontal="left" vertical="center"/>
      <protection/>
    </xf>
    <xf numFmtId="0" fontId="0" fillId="0" borderId="0" xfId="0" applyAlignment="1" applyProtection="1">
      <alignment vertical="center"/>
      <protection locked="0"/>
    </xf>
    <xf numFmtId="0" fontId="89" fillId="0" borderId="0" xfId="0" applyFont="1" applyAlignment="1" applyProtection="1">
      <alignment vertical="center"/>
      <protection locked="0"/>
    </xf>
    <xf numFmtId="38" fontId="9" fillId="0" borderId="10" xfId="50" applyFont="1" applyFill="1" applyBorder="1" applyAlignment="1" applyProtection="1">
      <alignment vertical="center"/>
      <protection/>
    </xf>
    <xf numFmtId="184" fontId="9" fillId="0" borderId="10" xfId="0" applyNumberFormat="1" applyFont="1" applyBorder="1" applyAlignment="1" applyProtection="1">
      <alignment horizontal="right" vertical="center"/>
      <protection/>
    </xf>
    <xf numFmtId="184" fontId="9" fillId="0" borderId="11" xfId="0" applyNumberFormat="1" applyFont="1" applyFill="1" applyBorder="1" applyAlignment="1" applyProtection="1">
      <alignment horizontal="right" vertical="center" wrapText="1"/>
      <protection/>
    </xf>
    <xf numFmtId="38" fontId="9" fillId="0" borderId="11" xfId="50" applyFont="1" applyFill="1" applyBorder="1" applyAlignment="1" applyProtection="1">
      <alignment vertical="center"/>
      <protection/>
    </xf>
    <xf numFmtId="184" fontId="9" fillId="0" borderId="11" xfId="0" applyNumberFormat="1" applyFont="1" applyBorder="1" applyAlignment="1" applyProtection="1">
      <alignment horizontal="right" vertical="center"/>
      <protection/>
    </xf>
    <xf numFmtId="184" fontId="9" fillId="0" borderId="12" xfId="0" applyNumberFormat="1" applyFont="1" applyFill="1" applyBorder="1" applyAlignment="1" applyProtection="1">
      <alignment horizontal="right" vertical="center" wrapText="1"/>
      <protection/>
    </xf>
    <xf numFmtId="184" fontId="9" fillId="0" borderId="11" xfId="0" applyNumberFormat="1" applyFont="1" applyFill="1" applyBorder="1" applyAlignment="1" applyProtection="1">
      <alignment horizontal="right" vertical="center"/>
      <protection/>
    </xf>
    <xf numFmtId="184" fontId="9" fillId="0" borderId="13" xfId="0" applyNumberFormat="1" applyFont="1" applyFill="1" applyBorder="1" applyAlignment="1" applyProtection="1">
      <alignment horizontal="right" vertical="center" wrapText="1"/>
      <protection/>
    </xf>
    <xf numFmtId="38" fontId="9" fillId="0" borderId="13" xfId="50" applyFont="1" applyFill="1" applyBorder="1" applyAlignment="1" applyProtection="1">
      <alignment vertical="center"/>
      <protection/>
    </xf>
    <xf numFmtId="184" fontId="9" fillId="0" borderId="14" xfId="0" applyNumberFormat="1" applyFont="1" applyFill="1" applyBorder="1" applyAlignment="1" applyProtection="1">
      <alignment horizontal="right" vertical="center" wrapText="1"/>
      <protection/>
    </xf>
    <xf numFmtId="190" fontId="9" fillId="0" borderId="12" xfId="50" applyNumberFormat="1" applyFont="1" applyFill="1" applyBorder="1" applyAlignment="1" applyProtection="1">
      <alignment vertical="center"/>
      <protection/>
    </xf>
    <xf numFmtId="191" fontId="9" fillId="0" borderId="12" xfId="50" applyNumberFormat="1" applyFont="1" applyFill="1" applyBorder="1" applyAlignment="1" applyProtection="1">
      <alignment vertical="center"/>
      <protection/>
    </xf>
    <xf numFmtId="0" fontId="90" fillId="0" borderId="0" xfId="0" applyFont="1" applyAlignment="1" applyProtection="1">
      <alignment vertical="center"/>
      <protection locked="0"/>
    </xf>
    <xf numFmtId="0" fontId="4" fillId="0" borderId="0" xfId="0" applyFont="1" applyAlignment="1" applyProtection="1">
      <alignment vertical="center"/>
      <protection locked="0"/>
    </xf>
    <xf numFmtId="0" fontId="90" fillId="0" borderId="0" xfId="0" applyFont="1" applyFill="1" applyAlignment="1" applyProtection="1">
      <alignment vertical="center"/>
      <protection locked="0"/>
    </xf>
    <xf numFmtId="38" fontId="9" fillId="0" borderId="11" xfId="50" applyFont="1" applyFill="1" applyBorder="1" applyAlignment="1" applyProtection="1">
      <alignment horizontal="center" vertical="center"/>
      <protection/>
    </xf>
    <xf numFmtId="184" fontId="9" fillId="0" borderId="13" xfId="0" applyNumberFormat="1" applyFont="1" applyFill="1" applyBorder="1" applyAlignment="1" applyProtection="1">
      <alignment horizontal="right" vertical="center"/>
      <protection/>
    </xf>
    <xf numFmtId="38" fontId="9" fillId="0" borderId="12" xfId="50" applyFont="1" applyFill="1" applyBorder="1" applyAlignment="1" applyProtection="1">
      <alignment vertical="center"/>
      <protection/>
    </xf>
    <xf numFmtId="0" fontId="91" fillId="0" borderId="0" xfId="0" applyFont="1" applyAlignment="1" applyProtection="1">
      <alignment vertical="center"/>
      <protection locked="0"/>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6" xfId="0" applyBorder="1" applyAlignment="1">
      <alignment vertical="center"/>
    </xf>
    <xf numFmtId="0" fontId="0" fillId="0" borderId="12" xfId="0" applyBorder="1" applyAlignment="1">
      <alignment horizontal="center" vertical="center"/>
    </xf>
    <xf numFmtId="0" fontId="75" fillId="0" borderId="12" xfId="44" applyBorder="1" applyAlignment="1" applyProtection="1">
      <alignment vertical="center"/>
      <protection/>
    </xf>
    <xf numFmtId="184" fontId="92" fillId="0" borderId="17" xfId="0" applyNumberFormat="1" applyFont="1" applyBorder="1" applyAlignment="1" applyProtection="1">
      <alignment vertical="center" shrinkToFit="1"/>
      <protection/>
    </xf>
    <xf numFmtId="186" fontId="92" fillId="33" borderId="18" xfId="0" applyNumberFormat="1" applyFont="1" applyFill="1" applyBorder="1" applyAlignment="1" applyProtection="1">
      <alignment vertical="center" shrinkToFit="1"/>
      <protection/>
    </xf>
    <xf numFmtId="186" fontId="92" fillId="33" borderId="17" xfId="0" applyNumberFormat="1" applyFont="1" applyFill="1" applyBorder="1" applyAlignment="1" applyProtection="1">
      <alignment vertical="center" shrinkToFit="1"/>
      <protection/>
    </xf>
    <xf numFmtId="184" fontId="6" fillId="0" borderId="19" xfId="0" applyNumberFormat="1" applyFont="1" applyBorder="1" applyAlignment="1" applyProtection="1">
      <alignment vertical="center" shrinkToFit="1"/>
      <protection/>
    </xf>
    <xf numFmtId="184" fontId="6" fillId="0" borderId="12" xfId="0" applyNumberFormat="1" applyFont="1" applyBorder="1" applyAlignment="1" applyProtection="1">
      <alignment vertical="center" shrinkToFit="1"/>
      <protection/>
    </xf>
    <xf numFmtId="184" fontId="6" fillId="0" borderId="20" xfId="0" applyNumberFormat="1" applyFont="1" applyBorder="1" applyAlignment="1" applyProtection="1">
      <alignment vertical="center" shrinkToFit="1"/>
      <protection/>
    </xf>
    <xf numFmtId="184" fontId="92" fillId="0" borderId="18" xfId="0" applyNumberFormat="1" applyFont="1" applyBorder="1" applyAlignment="1" applyProtection="1">
      <alignment vertical="center" shrinkToFit="1"/>
      <protection/>
    </xf>
    <xf numFmtId="184" fontId="6" fillId="0" borderId="21" xfId="0" applyNumberFormat="1" applyFont="1" applyBorder="1" applyAlignment="1" applyProtection="1">
      <alignment vertical="center" shrinkToFit="1"/>
      <protection/>
    </xf>
    <xf numFmtId="186" fontId="92" fillId="33" borderId="22" xfId="0" applyNumberFormat="1" applyFont="1" applyFill="1" applyBorder="1" applyAlignment="1" applyProtection="1">
      <alignment vertical="center" shrinkToFit="1"/>
      <protection/>
    </xf>
    <xf numFmtId="186" fontId="92" fillId="33" borderId="23" xfId="0" applyNumberFormat="1" applyFont="1" applyFill="1" applyBorder="1" applyAlignment="1" applyProtection="1">
      <alignment vertical="center" shrinkToFit="1"/>
      <protection/>
    </xf>
    <xf numFmtId="186" fontId="92" fillId="34" borderId="24" xfId="0" applyNumberFormat="1" applyFont="1" applyFill="1" applyBorder="1" applyAlignment="1" applyProtection="1">
      <alignment horizontal="right" vertical="center" wrapText="1"/>
      <protection/>
    </xf>
    <xf numFmtId="184" fontId="6" fillId="0" borderId="25" xfId="0" applyNumberFormat="1" applyFont="1" applyBorder="1" applyAlignment="1" applyProtection="1">
      <alignment horizontal="right" vertical="center" wrapText="1"/>
      <protection/>
    </xf>
    <xf numFmtId="3" fontId="0" fillId="0" borderId="12" xfId="0" applyNumberFormat="1" applyBorder="1" applyAlignment="1">
      <alignment horizontal="center" vertical="center"/>
    </xf>
    <xf numFmtId="0" fontId="0" fillId="0" borderId="12" xfId="0" applyBorder="1" applyAlignment="1">
      <alignment vertical="center"/>
    </xf>
    <xf numFmtId="3" fontId="0" fillId="0" borderId="12" xfId="0" applyNumberFormat="1" applyBorder="1" applyAlignment="1">
      <alignment vertical="center"/>
    </xf>
    <xf numFmtId="0" fontId="0" fillId="0" borderId="12" xfId="0" applyBorder="1" applyAlignment="1">
      <alignment horizontal="center" vertical="center"/>
    </xf>
    <xf numFmtId="0" fontId="0" fillId="0" borderId="0" xfId="0" applyAlignment="1">
      <alignment horizontal="center" vertical="center"/>
    </xf>
    <xf numFmtId="0" fontId="0" fillId="0" borderId="0" xfId="0" applyAlignment="1">
      <alignment vertical="center"/>
    </xf>
    <xf numFmtId="0" fontId="0" fillId="0" borderId="12" xfId="0" applyBorder="1" applyAlignment="1">
      <alignment horizontal="center" vertical="center"/>
    </xf>
    <xf numFmtId="3" fontId="0" fillId="0" borderId="0" xfId="0" applyNumberFormat="1" applyAlignment="1">
      <alignment vertical="center"/>
    </xf>
    <xf numFmtId="0" fontId="0" fillId="0" borderId="0" xfId="0" applyAlignment="1">
      <alignment horizontal="center" vertical="center"/>
    </xf>
    <xf numFmtId="3" fontId="0" fillId="0" borderId="0" xfId="0" applyNumberFormat="1" applyAlignment="1">
      <alignment vertical="center"/>
    </xf>
    <xf numFmtId="38" fontId="9" fillId="0" borderId="10" xfId="50" applyFont="1" applyFill="1" applyBorder="1" applyAlignment="1" applyProtection="1">
      <alignment horizontal="center" vertical="center"/>
      <protection/>
    </xf>
    <xf numFmtId="0" fontId="21" fillId="33" borderId="26" xfId="0" applyFont="1" applyFill="1" applyBorder="1" applyAlignment="1" applyProtection="1">
      <alignment horizontal="center" vertical="center"/>
      <protection/>
    </xf>
    <xf numFmtId="190" fontId="21" fillId="33" borderId="19" xfId="0" applyNumberFormat="1" applyFont="1" applyFill="1" applyBorder="1" applyAlignment="1" applyProtection="1">
      <alignment horizontal="center" vertical="center"/>
      <protection/>
    </xf>
    <xf numFmtId="190" fontId="21" fillId="33" borderId="26" xfId="0" applyNumberFormat="1" applyFont="1" applyFill="1" applyBorder="1" applyAlignment="1" applyProtection="1">
      <alignment horizontal="center" vertical="center"/>
      <protection/>
    </xf>
    <xf numFmtId="190" fontId="14" fillId="0" borderId="0" xfId="50" applyNumberFormat="1" applyFont="1" applyFill="1" applyBorder="1" applyAlignment="1" applyProtection="1">
      <alignment vertical="center" wrapText="1"/>
      <protection/>
    </xf>
    <xf numFmtId="190" fontId="17" fillId="0" borderId="16" xfId="50" applyNumberFormat="1" applyFont="1" applyFill="1" applyBorder="1" applyAlignment="1" applyProtection="1">
      <alignment vertical="center" wrapText="1"/>
      <protection/>
    </xf>
    <xf numFmtId="0" fontId="16" fillId="0" borderId="10" xfId="0" applyFont="1" applyBorder="1" applyAlignment="1" applyProtection="1">
      <alignment horizontal="center" vertical="center"/>
      <protection/>
    </xf>
    <xf numFmtId="190" fontId="16" fillId="0" borderId="27" xfId="0" applyNumberFormat="1" applyFont="1" applyBorder="1" applyAlignment="1" applyProtection="1">
      <alignment horizontal="center" vertical="center"/>
      <protection/>
    </xf>
    <xf numFmtId="190" fontId="17" fillId="0" borderId="12" xfId="50" applyNumberFormat="1" applyFont="1" applyFill="1" applyBorder="1" applyAlignment="1" applyProtection="1">
      <alignment vertical="center" wrapText="1"/>
      <protection/>
    </xf>
    <xf numFmtId="0" fontId="16" fillId="0" borderId="11" xfId="0" applyFont="1" applyBorder="1" applyAlignment="1" applyProtection="1">
      <alignment horizontal="center" vertical="center"/>
      <protection/>
    </xf>
    <xf numFmtId="190" fontId="16" fillId="0" borderId="28" xfId="0" applyNumberFormat="1" applyFont="1" applyBorder="1" applyAlignment="1" applyProtection="1">
      <alignment horizontal="center" vertical="center"/>
      <protection/>
    </xf>
    <xf numFmtId="0" fontId="16" fillId="0" borderId="13" xfId="0" applyFont="1" applyBorder="1" applyAlignment="1" applyProtection="1">
      <alignment horizontal="center" vertical="center"/>
      <protection/>
    </xf>
    <xf numFmtId="190" fontId="16" fillId="0" borderId="29" xfId="0" applyNumberFormat="1" applyFont="1" applyBorder="1" applyAlignment="1" applyProtection="1">
      <alignment horizontal="center" vertical="center"/>
      <protection/>
    </xf>
    <xf numFmtId="0" fontId="93" fillId="0" borderId="30" xfId="0" applyFont="1" applyFill="1" applyBorder="1" applyAlignment="1" applyProtection="1">
      <alignment horizontal="center" vertical="center" wrapText="1" shrinkToFit="1"/>
      <protection/>
    </xf>
    <xf numFmtId="0" fontId="93" fillId="0" borderId="0" xfId="0" applyFont="1" applyFill="1" applyBorder="1" applyAlignment="1" applyProtection="1">
      <alignment horizontal="center" vertical="center" wrapText="1" shrinkToFit="1"/>
      <protection/>
    </xf>
    <xf numFmtId="0" fontId="93" fillId="0" borderId="0" xfId="0" applyFont="1" applyFill="1" applyAlignment="1" applyProtection="1">
      <alignment horizontal="center" vertical="center"/>
      <protection/>
    </xf>
    <xf numFmtId="184" fontId="5" fillId="0" borderId="0" xfId="0" applyNumberFormat="1" applyFont="1" applyFill="1" applyBorder="1" applyAlignment="1" applyProtection="1">
      <alignment horizontal="right" vertical="center" wrapText="1"/>
      <protection/>
    </xf>
    <xf numFmtId="184" fontId="16" fillId="0" borderId="0" xfId="0" applyNumberFormat="1" applyFont="1" applyFill="1" applyBorder="1" applyAlignment="1" applyProtection="1">
      <alignment horizontal="left" vertical="center" wrapText="1" indent="3"/>
      <protection/>
    </xf>
    <xf numFmtId="0" fontId="23" fillId="33" borderId="0" xfId="0" applyFont="1" applyFill="1" applyBorder="1" applyAlignment="1" applyProtection="1">
      <alignment vertical="center"/>
      <protection/>
    </xf>
    <xf numFmtId="0" fontId="23" fillId="0" borderId="0" xfId="0" applyFont="1" applyFill="1" applyAlignment="1" applyProtection="1">
      <alignment horizontal="center" vertical="center"/>
      <protection/>
    </xf>
    <xf numFmtId="184" fontId="10" fillId="0" borderId="0" xfId="0" applyNumberFormat="1" applyFont="1" applyFill="1" applyBorder="1" applyAlignment="1" applyProtection="1">
      <alignment horizontal="right" vertical="center" wrapText="1"/>
      <protection/>
    </xf>
    <xf numFmtId="0" fontId="5" fillId="0" borderId="0" xfId="0" applyFont="1" applyFill="1" applyAlignment="1" applyProtection="1">
      <alignment vertical="center"/>
      <protection/>
    </xf>
    <xf numFmtId="190" fontId="17" fillId="0" borderId="0" xfId="50" applyNumberFormat="1" applyFont="1" applyFill="1" applyBorder="1" applyAlignment="1" applyProtection="1">
      <alignment vertical="center" wrapText="1"/>
      <protection/>
    </xf>
    <xf numFmtId="0" fontId="17" fillId="0" borderId="0" xfId="0" applyFont="1" applyFill="1" applyBorder="1" applyAlignment="1" applyProtection="1">
      <alignment horizontal="center" vertical="center" wrapText="1"/>
      <protection/>
    </xf>
    <xf numFmtId="190" fontId="20" fillId="0" borderId="0" xfId="50" applyNumberFormat="1" applyFont="1" applyFill="1" applyBorder="1" applyAlignment="1" applyProtection="1">
      <alignment horizontal="right" vertical="center"/>
      <protection/>
    </xf>
    <xf numFmtId="0" fontId="10" fillId="33" borderId="31" xfId="0" applyFont="1" applyFill="1" applyBorder="1" applyAlignment="1" applyProtection="1">
      <alignment vertical="center"/>
      <protection/>
    </xf>
    <xf numFmtId="0" fontId="10" fillId="33" borderId="32" xfId="0" applyFont="1" applyFill="1" applyBorder="1" applyAlignment="1" applyProtection="1">
      <alignment vertical="center"/>
      <protection/>
    </xf>
    <xf numFmtId="0" fontId="10" fillId="0" borderId="32" xfId="0" applyFont="1" applyFill="1" applyBorder="1" applyAlignment="1" applyProtection="1">
      <alignment horizontal="left" vertical="center"/>
      <protection/>
    </xf>
    <xf numFmtId="0" fontId="10" fillId="0" borderId="33" xfId="0" applyFont="1" applyFill="1" applyBorder="1" applyAlignment="1" applyProtection="1">
      <alignment horizontal="left" vertical="center"/>
      <protection/>
    </xf>
    <xf numFmtId="190" fontId="14" fillId="0" borderId="34" xfId="50" applyNumberFormat="1" applyFont="1" applyFill="1" applyBorder="1" applyAlignment="1" applyProtection="1">
      <alignment horizontal="right" vertical="center" wrapText="1"/>
      <protection/>
    </xf>
    <xf numFmtId="190" fontId="16" fillId="0" borderId="35" xfId="0" applyNumberFormat="1" applyFont="1" applyBorder="1" applyAlignment="1" applyProtection="1">
      <alignment horizontal="center" vertical="center"/>
      <protection/>
    </xf>
    <xf numFmtId="190" fontId="16" fillId="0" borderId="36" xfId="0" applyNumberFormat="1" applyFont="1" applyBorder="1" applyAlignment="1" applyProtection="1">
      <alignment horizontal="center" vertical="center"/>
      <protection/>
    </xf>
    <xf numFmtId="190" fontId="16" fillId="0" borderId="37" xfId="0" applyNumberFormat="1" applyFont="1" applyBorder="1" applyAlignment="1" applyProtection="1">
      <alignment horizontal="center" vertical="center"/>
      <protection/>
    </xf>
    <xf numFmtId="0" fontId="75" fillId="0" borderId="0" xfId="44" applyAlignment="1" applyProtection="1">
      <alignment vertical="center"/>
      <protection/>
    </xf>
    <xf numFmtId="0" fontId="16" fillId="0" borderId="11" xfId="0" applyFont="1" applyFill="1" applyBorder="1" applyAlignment="1" applyProtection="1">
      <alignment horizontal="center" vertical="center"/>
      <protection/>
    </xf>
    <xf numFmtId="190" fontId="16" fillId="0" borderId="11" xfId="0" applyNumberFormat="1" applyFont="1" applyFill="1" applyBorder="1" applyAlignment="1" applyProtection="1">
      <alignment horizontal="center" vertical="center"/>
      <protection/>
    </xf>
    <xf numFmtId="0" fontId="94" fillId="0" borderId="0" xfId="0" applyFont="1" applyAlignment="1" applyProtection="1">
      <alignment horizontal="center" vertical="center"/>
      <protection/>
    </xf>
    <xf numFmtId="0" fontId="94" fillId="0" borderId="0" xfId="0" applyFont="1" applyAlignment="1" applyProtection="1">
      <alignment vertical="center"/>
      <protection/>
    </xf>
    <xf numFmtId="0" fontId="94" fillId="0" borderId="0" xfId="0" applyFont="1" applyAlignment="1" applyProtection="1">
      <alignment horizontal="left" vertical="center" shrinkToFit="1"/>
      <protection/>
    </xf>
    <xf numFmtId="0" fontId="94" fillId="0" borderId="0" xfId="0" applyFont="1" applyBorder="1" applyAlignment="1" applyProtection="1">
      <alignment vertical="center"/>
      <protection/>
    </xf>
    <xf numFmtId="0" fontId="22" fillId="0" borderId="0" xfId="0" applyFont="1" applyBorder="1" applyAlignment="1" applyProtection="1">
      <alignment horizontal="center" vertical="center"/>
      <protection/>
    </xf>
    <xf numFmtId="0" fontId="17" fillId="0" borderId="0" xfId="0" applyFont="1" applyAlignment="1" applyProtection="1">
      <alignment vertical="center"/>
      <protection/>
    </xf>
    <xf numFmtId="0" fontId="16" fillId="0" borderId="0" xfId="0" applyFont="1" applyAlignment="1" applyProtection="1">
      <alignment vertical="center"/>
      <protection/>
    </xf>
    <xf numFmtId="0" fontId="5" fillId="0" borderId="0" xfId="0" applyFont="1" applyAlignment="1" applyProtection="1">
      <alignment vertical="center"/>
      <protection/>
    </xf>
    <xf numFmtId="0" fontId="17" fillId="0" borderId="0" xfId="0" applyFont="1" applyFill="1" applyAlignment="1" applyProtection="1">
      <alignment vertical="center"/>
      <protection/>
    </xf>
    <xf numFmtId="0" fontId="17" fillId="0" borderId="0" xfId="0" applyNumberFormat="1" applyFont="1" applyAlignment="1" applyProtection="1">
      <alignment vertical="center"/>
      <protection/>
    </xf>
    <xf numFmtId="0" fontId="16" fillId="0" borderId="0" xfId="0" applyFont="1" applyBorder="1" applyAlignment="1" applyProtection="1">
      <alignment horizontal="left" vertical="center"/>
      <protection/>
    </xf>
    <xf numFmtId="0" fontId="12" fillId="0" borderId="0" xfId="0" applyFont="1" applyAlignment="1" applyProtection="1">
      <alignment vertical="center"/>
      <protection/>
    </xf>
    <xf numFmtId="0" fontId="19" fillId="0" borderId="0" xfId="0" applyFont="1" applyAlignment="1" applyProtection="1">
      <alignment vertical="center"/>
      <protection/>
    </xf>
    <xf numFmtId="0" fontId="5" fillId="0" borderId="0" xfId="0" applyFont="1" applyAlignment="1" applyProtection="1">
      <alignment vertical="center"/>
      <protection/>
    </xf>
    <xf numFmtId="0" fontId="19" fillId="0" borderId="0" xfId="0" applyFont="1" applyBorder="1" applyAlignment="1" applyProtection="1">
      <alignment horizontal="right" vertical="center"/>
      <protection/>
    </xf>
    <xf numFmtId="0" fontId="16" fillId="0" borderId="38" xfId="0" applyFont="1" applyBorder="1" applyAlignment="1" applyProtection="1">
      <alignment vertical="center"/>
      <protection/>
    </xf>
    <xf numFmtId="0" fontId="16" fillId="0" borderId="30" xfId="0" applyFont="1" applyBorder="1" applyAlignment="1" applyProtection="1">
      <alignment horizontal="right"/>
      <protection/>
    </xf>
    <xf numFmtId="0" fontId="19" fillId="0" borderId="39" xfId="0" applyFont="1" applyBorder="1" applyAlignment="1" applyProtection="1">
      <alignment horizontal="center" vertical="center"/>
      <protection/>
    </xf>
    <xf numFmtId="0" fontId="21" fillId="33" borderId="38" xfId="0" applyFont="1" applyFill="1" applyBorder="1" applyAlignment="1" applyProtection="1">
      <alignment horizontal="center" vertical="center"/>
      <protection/>
    </xf>
    <xf numFmtId="0" fontId="19" fillId="0" borderId="30" xfId="0" applyFont="1" applyBorder="1" applyAlignment="1" applyProtection="1">
      <alignment vertical="center"/>
      <protection/>
    </xf>
    <xf numFmtId="190" fontId="14" fillId="0" borderId="39" xfId="50" applyNumberFormat="1" applyFont="1" applyFill="1" applyBorder="1" applyAlignment="1" applyProtection="1">
      <alignment horizontal="right" vertical="center" wrapText="1"/>
      <protection/>
    </xf>
    <xf numFmtId="0" fontId="21" fillId="33" borderId="40" xfId="0" applyFont="1" applyFill="1" applyBorder="1" applyAlignment="1" applyProtection="1">
      <alignment horizontal="center" vertical="center"/>
      <protection/>
    </xf>
    <xf numFmtId="0" fontId="10" fillId="0" borderId="35" xfId="0" applyFont="1" applyFill="1" applyBorder="1" applyAlignment="1" applyProtection="1">
      <alignment vertical="center" wrapText="1"/>
      <protection/>
    </xf>
    <xf numFmtId="38" fontId="9" fillId="0" borderId="41" xfId="50" applyFont="1" applyFill="1" applyBorder="1" applyAlignment="1" applyProtection="1">
      <alignment horizontal="right" vertical="center"/>
      <protection/>
    </xf>
    <xf numFmtId="184" fontId="9" fillId="0" borderId="41" xfId="0" applyNumberFormat="1" applyFont="1" applyFill="1" applyBorder="1" applyAlignment="1" applyProtection="1">
      <alignment horizontal="right" vertical="center" wrapText="1"/>
      <protection/>
    </xf>
    <xf numFmtId="0" fontId="16" fillId="0" borderId="26" xfId="0" applyFont="1" applyBorder="1" applyAlignment="1" applyProtection="1">
      <alignment vertical="center"/>
      <protection/>
    </xf>
    <xf numFmtId="0" fontId="19" fillId="0" borderId="42" xfId="0" applyFont="1" applyBorder="1" applyAlignment="1" applyProtection="1">
      <alignment vertical="center"/>
      <protection/>
    </xf>
    <xf numFmtId="0" fontId="10" fillId="0" borderId="36" xfId="0" applyFont="1" applyFill="1" applyBorder="1" applyAlignment="1" applyProtection="1">
      <alignment vertical="center" wrapText="1"/>
      <protection/>
    </xf>
    <xf numFmtId="38" fontId="9" fillId="0" borderId="43" xfId="50" applyFont="1" applyFill="1" applyBorder="1" applyAlignment="1" applyProtection="1">
      <alignment horizontal="right" vertical="center"/>
      <protection/>
    </xf>
    <xf numFmtId="184" fontId="9" fillId="0" borderId="43" xfId="0" applyNumberFormat="1" applyFont="1" applyFill="1" applyBorder="1" applyAlignment="1" applyProtection="1">
      <alignment horizontal="right" vertical="center" wrapText="1"/>
      <protection/>
    </xf>
    <xf numFmtId="0" fontId="21" fillId="33" borderId="44" xfId="0" applyFont="1" applyFill="1" applyBorder="1" applyAlignment="1" applyProtection="1">
      <alignment horizontal="center" vertical="center"/>
      <protection/>
    </xf>
    <xf numFmtId="0" fontId="16" fillId="0" borderId="0" xfId="0" applyNumberFormat="1" applyFont="1" applyBorder="1" applyAlignment="1" applyProtection="1">
      <alignment vertical="center" shrinkToFit="1"/>
      <protection/>
    </xf>
    <xf numFmtId="0" fontId="19" fillId="0" borderId="0" xfId="0" applyFont="1" applyBorder="1" applyAlignment="1" applyProtection="1">
      <alignment vertical="center"/>
      <protection/>
    </xf>
    <xf numFmtId="0" fontId="21" fillId="33" borderId="45" xfId="0" applyFont="1" applyFill="1" applyBorder="1" applyAlignment="1" applyProtection="1">
      <alignment horizontal="center" vertical="center"/>
      <protection/>
    </xf>
    <xf numFmtId="0" fontId="17" fillId="0" borderId="0" xfId="0" applyFont="1" applyFill="1" applyBorder="1" applyAlignment="1" applyProtection="1">
      <alignment vertical="center"/>
      <protection/>
    </xf>
    <xf numFmtId="0" fontId="10" fillId="0" borderId="37" xfId="0" applyFont="1" applyFill="1" applyBorder="1" applyAlignment="1" applyProtection="1">
      <alignment vertical="center" wrapText="1"/>
      <protection/>
    </xf>
    <xf numFmtId="38" fontId="9" fillId="0" borderId="46" xfId="50" applyFont="1" applyFill="1" applyBorder="1" applyAlignment="1" applyProtection="1">
      <alignment horizontal="right" vertical="center"/>
      <protection/>
    </xf>
    <xf numFmtId="184" fontId="9" fillId="0" borderId="46" xfId="0" applyNumberFormat="1" applyFont="1" applyFill="1" applyBorder="1" applyAlignment="1" applyProtection="1">
      <alignment horizontal="right" vertical="center" wrapText="1"/>
      <protection/>
    </xf>
    <xf numFmtId="0" fontId="10" fillId="0" borderId="0" xfId="0" applyFont="1" applyAlignment="1" applyProtection="1">
      <alignment vertical="center"/>
      <protection/>
    </xf>
    <xf numFmtId="0" fontId="95" fillId="0" borderId="0" xfId="0" applyFont="1" applyAlignment="1" applyProtection="1">
      <alignment vertical="center"/>
      <protection/>
    </xf>
    <xf numFmtId="0" fontId="16" fillId="0" borderId="0" xfId="0" applyFont="1" applyFill="1" applyAlignment="1" applyProtection="1">
      <alignment vertical="center"/>
      <protection/>
    </xf>
    <xf numFmtId="0" fontId="23" fillId="0" borderId="0" xfId="0" applyFont="1" applyFill="1" applyAlignment="1" applyProtection="1">
      <alignment vertical="center"/>
      <protection/>
    </xf>
    <xf numFmtId="0" fontId="96" fillId="0" borderId="0" xfId="0" applyFont="1" applyFill="1" applyAlignment="1" applyProtection="1">
      <alignment vertical="center"/>
      <protection/>
    </xf>
    <xf numFmtId="0" fontId="96" fillId="0" borderId="0" xfId="0" applyFont="1" applyAlignment="1" applyProtection="1">
      <alignment horizontal="center" vertical="center"/>
      <protection/>
    </xf>
    <xf numFmtId="0" fontId="20" fillId="0" borderId="0" xfId="0" applyFont="1" applyAlignment="1" applyProtection="1">
      <alignment vertical="center"/>
      <protection/>
    </xf>
    <xf numFmtId="0" fontId="16" fillId="0" borderId="0" xfId="0" applyFont="1" applyAlignment="1" applyProtection="1">
      <alignment vertical="center"/>
      <protection/>
    </xf>
    <xf numFmtId="0" fontId="20" fillId="0" borderId="0" xfId="0" applyFont="1" applyAlignment="1" applyProtection="1">
      <alignment horizontal="center" vertical="center"/>
      <protection/>
    </xf>
    <xf numFmtId="0" fontId="10" fillId="0" borderId="12" xfId="0" applyFont="1" applyFill="1" applyBorder="1" applyAlignment="1" applyProtection="1">
      <alignment horizontal="center" vertical="center"/>
      <protection/>
    </xf>
    <xf numFmtId="0" fontId="5" fillId="0" borderId="0" xfId="0" applyFont="1" applyFill="1" applyBorder="1" applyAlignment="1" applyProtection="1">
      <alignment horizontal="center" vertical="center" textRotation="255"/>
      <protection/>
    </xf>
    <xf numFmtId="0" fontId="10" fillId="0" borderId="40" xfId="0" applyFont="1" applyFill="1" applyBorder="1" applyAlignment="1" applyProtection="1">
      <alignment horizontal="center" vertical="top" wrapText="1"/>
      <protection/>
    </xf>
    <xf numFmtId="0" fontId="10" fillId="0" borderId="44" xfId="0" applyFont="1" applyFill="1" applyBorder="1" applyAlignment="1" applyProtection="1">
      <alignment horizontal="center" vertical="center" wrapText="1"/>
      <protection/>
    </xf>
    <xf numFmtId="0" fontId="17" fillId="0" borderId="47" xfId="0" applyFont="1" applyFill="1" applyBorder="1" applyAlignment="1" applyProtection="1">
      <alignment horizontal="center" vertical="center" wrapText="1"/>
      <protection/>
    </xf>
    <xf numFmtId="0" fontId="17" fillId="0" borderId="15" xfId="0" applyFont="1" applyFill="1" applyBorder="1" applyAlignment="1" applyProtection="1">
      <alignment horizontal="center" vertical="center" wrapText="1"/>
      <protection/>
    </xf>
    <xf numFmtId="0" fontId="17" fillId="0" borderId="48" xfId="0" applyFont="1" applyFill="1" applyBorder="1" applyAlignment="1" applyProtection="1">
      <alignment horizontal="center" vertical="center" wrapText="1"/>
      <protection/>
    </xf>
    <xf numFmtId="0" fontId="17" fillId="0" borderId="49" xfId="0" applyFont="1" applyFill="1" applyBorder="1" applyAlignment="1" applyProtection="1">
      <alignment horizontal="center" vertical="center" wrapText="1"/>
      <protection/>
    </xf>
    <xf numFmtId="0" fontId="10" fillId="0" borderId="19" xfId="0" applyFont="1" applyFill="1" applyBorder="1" applyAlignment="1" applyProtection="1">
      <alignment horizontal="center" vertical="center" wrapText="1"/>
      <protection/>
    </xf>
    <xf numFmtId="0" fontId="17" fillId="0" borderId="50" xfId="0" applyFont="1" applyFill="1" applyBorder="1" applyAlignment="1" applyProtection="1">
      <alignment vertical="center"/>
      <protection/>
    </xf>
    <xf numFmtId="190" fontId="17" fillId="0" borderId="51" xfId="50" applyNumberFormat="1" applyFont="1" applyFill="1" applyBorder="1" applyAlignment="1" applyProtection="1">
      <alignment vertical="center" wrapText="1"/>
      <protection/>
    </xf>
    <xf numFmtId="0" fontId="17" fillId="0" borderId="16" xfId="0" applyNumberFormat="1" applyFont="1" applyFill="1" applyBorder="1" applyAlignment="1" applyProtection="1">
      <alignment horizontal="center" vertical="center"/>
      <protection/>
    </xf>
    <xf numFmtId="0" fontId="17" fillId="0" borderId="50" xfId="0" applyNumberFormat="1" applyFont="1" applyFill="1" applyBorder="1" applyAlignment="1" applyProtection="1">
      <alignment horizontal="center" vertical="center"/>
      <protection/>
    </xf>
    <xf numFmtId="190" fontId="17" fillId="0" borderId="19" xfId="50" applyNumberFormat="1" applyFont="1" applyFill="1" applyBorder="1" applyAlignment="1" applyProtection="1">
      <alignment vertical="center" wrapText="1"/>
      <protection/>
    </xf>
    <xf numFmtId="0" fontId="17" fillId="0" borderId="19" xfId="50" applyNumberFormat="1" applyFont="1" applyFill="1" applyBorder="1" applyAlignment="1" applyProtection="1">
      <alignment horizontal="center" vertical="center" wrapText="1"/>
      <protection/>
    </xf>
    <xf numFmtId="0" fontId="97" fillId="0" borderId="0" xfId="0" applyFont="1" applyAlignment="1" applyProtection="1">
      <alignment horizontal="right" vertical="center"/>
      <protection/>
    </xf>
    <xf numFmtId="0" fontId="16" fillId="0" borderId="0" xfId="0" applyFont="1" applyBorder="1" applyAlignment="1" applyProtection="1">
      <alignment horizontal="center" vertical="center"/>
      <protection/>
    </xf>
    <xf numFmtId="0" fontId="17" fillId="0" borderId="52" xfId="0" applyFont="1" applyFill="1" applyBorder="1" applyAlignment="1" applyProtection="1">
      <alignment vertical="center"/>
      <protection/>
    </xf>
    <xf numFmtId="190" fontId="17" fillId="0" borderId="53" xfId="50" applyNumberFormat="1" applyFont="1" applyFill="1" applyBorder="1" applyAlignment="1" applyProtection="1">
      <alignment vertical="center" wrapText="1"/>
      <protection/>
    </xf>
    <xf numFmtId="0" fontId="17" fillId="0" borderId="12" xfId="0" applyNumberFormat="1" applyFont="1" applyFill="1" applyBorder="1" applyAlignment="1" applyProtection="1">
      <alignment horizontal="center" vertical="center"/>
      <protection/>
    </xf>
    <xf numFmtId="0" fontId="17" fillId="0" borderId="54" xfId="0" applyNumberFormat="1" applyFont="1" applyFill="1" applyBorder="1" applyAlignment="1" applyProtection="1">
      <alignment horizontal="center" vertical="center"/>
      <protection/>
    </xf>
    <xf numFmtId="0" fontId="17" fillId="0" borderId="54" xfId="0" applyFont="1" applyFill="1" applyBorder="1" applyAlignment="1" applyProtection="1">
      <alignment vertical="center"/>
      <protection/>
    </xf>
    <xf numFmtId="0" fontId="17" fillId="0" borderId="53" xfId="0" applyFont="1" applyFill="1" applyBorder="1" applyAlignment="1" applyProtection="1">
      <alignment vertical="center" wrapText="1"/>
      <protection/>
    </xf>
    <xf numFmtId="0" fontId="17" fillId="35" borderId="12" xfId="0" applyFont="1" applyFill="1" applyBorder="1" applyAlignment="1" applyProtection="1" quotePrefix="1">
      <alignment horizontal="center" vertical="center" wrapText="1"/>
      <protection/>
    </xf>
    <xf numFmtId="0" fontId="17" fillId="35" borderId="12" xfId="0" applyNumberFormat="1" applyFont="1" applyFill="1" applyBorder="1" applyAlignment="1" applyProtection="1" quotePrefix="1">
      <alignment horizontal="center" vertical="center" wrapText="1"/>
      <protection/>
    </xf>
    <xf numFmtId="0" fontId="17" fillId="0" borderId="12" xfId="0" applyFont="1" applyFill="1" applyBorder="1" applyAlignment="1" applyProtection="1">
      <alignment vertical="center" wrapText="1"/>
      <protection/>
    </xf>
    <xf numFmtId="0" fontId="17" fillId="0" borderId="54" xfId="0" applyFont="1" applyFill="1" applyBorder="1" applyAlignment="1" applyProtection="1">
      <alignment vertical="center" wrapText="1"/>
      <protection/>
    </xf>
    <xf numFmtId="0" fontId="17" fillId="35" borderId="53" xfId="0" applyFont="1" applyFill="1" applyBorder="1" applyAlignment="1" applyProtection="1" quotePrefix="1">
      <alignment horizontal="center" vertical="center" wrapText="1"/>
      <protection/>
    </xf>
    <xf numFmtId="0" fontId="17" fillId="35" borderId="54" xfId="0" applyNumberFormat="1" applyFont="1" applyFill="1" applyBorder="1" applyAlignment="1" applyProtection="1" quotePrefix="1">
      <alignment horizontal="center" vertical="center" wrapText="1"/>
      <protection/>
    </xf>
    <xf numFmtId="0" fontId="97" fillId="0" borderId="0" xfId="0" applyFont="1" applyAlignment="1" applyProtection="1">
      <alignment horizontal="right" vertical="center" wrapText="1"/>
      <protection/>
    </xf>
    <xf numFmtId="0" fontId="17" fillId="0" borderId="14" xfId="0" applyNumberFormat="1" applyFont="1" applyFill="1" applyBorder="1" applyAlignment="1" applyProtection="1">
      <alignment horizontal="center" vertical="center"/>
      <protection/>
    </xf>
    <xf numFmtId="0" fontId="10" fillId="0" borderId="12" xfId="0" applyFont="1" applyBorder="1" applyAlignment="1" applyProtection="1">
      <alignment horizontal="center" vertical="center"/>
      <protection/>
    </xf>
    <xf numFmtId="184" fontId="9" fillId="0" borderId="55" xfId="0" applyNumberFormat="1" applyFont="1" applyFill="1" applyBorder="1" applyAlignment="1" applyProtection="1">
      <alignment horizontal="right" vertical="center" wrapText="1"/>
      <protection/>
    </xf>
    <xf numFmtId="0" fontId="9" fillId="0" borderId="55" xfId="0" applyFont="1" applyBorder="1" applyAlignment="1" applyProtection="1">
      <alignment horizontal="center" vertical="center"/>
      <protection/>
    </xf>
    <xf numFmtId="0" fontId="97" fillId="0" borderId="30" xfId="0" applyFont="1" applyBorder="1" applyAlignment="1" applyProtection="1">
      <alignment horizontal="center" vertical="center"/>
      <protection/>
    </xf>
    <xf numFmtId="184" fontId="10" fillId="0" borderId="0" xfId="0" applyNumberFormat="1" applyFont="1" applyFill="1" applyBorder="1" applyAlignment="1" applyProtection="1">
      <alignment vertical="center" wrapText="1"/>
      <protection/>
    </xf>
    <xf numFmtId="184" fontId="5" fillId="0" borderId="12" xfId="0" applyNumberFormat="1" applyFont="1" applyFill="1" applyBorder="1" applyAlignment="1" applyProtection="1">
      <alignment vertical="center" wrapText="1"/>
      <protection/>
    </xf>
    <xf numFmtId="184" fontId="9" fillId="0" borderId="12" xfId="0" applyNumberFormat="1" applyFont="1" applyFill="1" applyBorder="1" applyAlignment="1" applyProtection="1">
      <alignment vertical="center" wrapText="1"/>
      <protection/>
    </xf>
    <xf numFmtId="0" fontId="10" fillId="0" borderId="0" xfId="0" applyFont="1" applyFill="1" applyAlignment="1" applyProtection="1">
      <alignment vertical="center"/>
      <protection/>
    </xf>
    <xf numFmtId="0" fontId="97" fillId="0" borderId="0" xfId="0" applyFont="1" applyAlignment="1" applyProtection="1">
      <alignment vertical="center"/>
      <protection/>
    </xf>
    <xf numFmtId="0" fontId="17" fillId="0" borderId="0" xfId="0" applyFont="1" applyAlignment="1" applyProtection="1">
      <alignment horizontal="center" vertical="center"/>
      <protection/>
    </xf>
    <xf numFmtId="0" fontId="19" fillId="0" borderId="0" xfId="0" applyFont="1" applyFill="1" applyAlignment="1" applyProtection="1">
      <alignment vertical="center"/>
      <protection/>
    </xf>
    <xf numFmtId="0" fontId="98" fillId="0" borderId="0" xfId="0" applyFont="1" applyFill="1" applyAlignment="1" applyProtection="1">
      <alignment vertical="center"/>
      <protection/>
    </xf>
    <xf numFmtId="0" fontId="98" fillId="0" borderId="0" xfId="0" applyFont="1" applyAlignment="1" applyProtection="1">
      <alignment vertical="center"/>
      <protection/>
    </xf>
    <xf numFmtId="0" fontId="5" fillId="0" borderId="12" xfId="0" applyFont="1" applyBorder="1" applyAlignment="1" applyProtection="1">
      <alignment vertical="center" wrapText="1"/>
      <protection/>
    </xf>
    <xf numFmtId="0" fontId="5" fillId="0" borderId="12" xfId="0" applyFont="1" applyFill="1" applyBorder="1" applyAlignment="1" applyProtection="1">
      <alignment vertical="center"/>
      <protection/>
    </xf>
    <xf numFmtId="0" fontId="94" fillId="0" borderId="0" xfId="0" applyFont="1" applyFill="1" applyAlignment="1" applyProtection="1">
      <alignment vertical="center"/>
      <protection/>
    </xf>
    <xf numFmtId="0" fontId="17" fillId="0" borderId="0" xfId="0" applyFont="1" applyFill="1" applyBorder="1" applyAlignment="1" applyProtection="1">
      <alignment horizontal="center" vertical="center"/>
      <protection/>
    </xf>
    <xf numFmtId="0" fontId="17" fillId="0" borderId="0" xfId="0" applyFont="1" applyFill="1" applyBorder="1" applyAlignment="1" applyProtection="1">
      <alignment vertical="center" wrapText="1"/>
      <protection/>
    </xf>
    <xf numFmtId="0" fontId="12" fillId="0" borderId="0" xfId="0" applyFont="1" applyFill="1" applyAlignment="1" applyProtection="1">
      <alignment vertical="center"/>
      <protection/>
    </xf>
    <xf numFmtId="0" fontId="17" fillId="0" borderId="0" xfId="0" applyFont="1" applyBorder="1" applyAlignment="1" applyProtection="1">
      <alignment vertical="center"/>
      <protection/>
    </xf>
    <xf numFmtId="0" fontId="17" fillId="0" borderId="0" xfId="0" applyFont="1" applyBorder="1" applyAlignment="1" applyProtection="1">
      <alignment horizontal="center" vertical="center"/>
      <protection/>
    </xf>
    <xf numFmtId="190" fontId="20" fillId="0" borderId="0" xfId="50" applyNumberFormat="1" applyFont="1" applyFill="1" applyBorder="1" applyAlignment="1" applyProtection="1">
      <alignment horizontal="center" vertical="center"/>
      <protection/>
    </xf>
    <xf numFmtId="190" fontId="10" fillId="0" borderId="56" xfId="0" applyNumberFormat="1" applyFont="1" applyFill="1" applyBorder="1" applyAlignment="1" applyProtection="1">
      <alignment horizontal="center" vertical="center"/>
      <protection/>
    </xf>
    <xf numFmtId="0" fontId="18" fillId="0" borderId="0" xfId="0" applyFont="1" applyAlignment="1" applyProtection="1">
      <alignment vertical="center"/>
      <protection/>
    </xf>
    <xf numFmtId="0" fontId="99" fillId="0" borderId="0" xfId="0" applyFont="1" applyAlignment="1" applyProtection="1">
      <alignment vertical="center"/>
      <protection/>
    </xf>
    <xf numFmtId="190" fontId="17" fillId="0" borderId="12" xfId="0" applyNumberFormat="1" applyFont="1" applyFill="1" applyBorder="1" applyAlignment="1" applyProtection="1">
      <alignment vertical="center"/>
      <protection/>
    </xf>
    <xf numFmtId="190" fontId="17" fillId="35" borderId="12" xfId="0" applyNumberFormat="1" applyFont="1" applyFill="1" applyBorder="1" applyAlignment="1" applyProtection="1" quotePrefix="1">
      <alignment horizontal="center" vertical="center" wrapText="1"/>
      <protection/>
    </xf>
    <xf numFmtId="0" fontId="0" fillId="0" borderId="12" xfId="0" applyBorder="1" applyAlignment="1" quotePrefix="1">
      <alignment vertical="center"/>
    </xf>
    <xf numFmtId="184" fontId="6" fillId="0" borderId="12" xfId="0" applyNumberFormat="1" applyFont="1" applyFill="1" applyBorder="1" applyAlignment="1" applyProtection="1">
      <alignment vertical="center" shrinkToFit="1"/>
      <protection/>
    </xf>
    <xf numFmtId="0" fontId="90" fillId="0" borderId="0" xfId="0" applyFont="1" applyBorder="1" applyAlignment="1" applyProtection="1">
      <alignment vertical="center"/>
      <protection locked="0"/>
    </xf>
    <xf numFmtId="184" fontId="6" fillId="0" borderId="57" xfId="0" applyNumberFormat="1" applyFont="1" applyFill="1" applyBorder="1" applyAlignment="1" applyProtection="1">
      <alignment vertical="center" shrinkToFit="1"/>
      <protection/>
    </xf>
    <xf numFmtId="184" fontId="9" fillId="0" borderId="10" xfId="0" applyNumberFormat="1" applyFont="1" applyFill="1" applyBorder="1" applyAlignment="1" applyProtection="1">
      <alignment horizontal="right" vertical="center" wrapText="1"/>
      <protection/>
    </xf>
    <xf numFmtId="0" fontId="100" fillId="0" borderId="34" xfId="0" applyFont="1" applyBorder="1" applyAlignment="1" applyProtection="1" quotePrefix="1">
      <alignment horizontal="center" vertical="center" wrapText="1"/>
      <protection/>
    </xf>
    <xf numFmtId="0" fontId="100" fillId="33" borderId="34" xfId="0" applyFont="1" applyFill="1" applyBorder="1" applyAlignment="1" applyProtection="1" quotePrefix="1">
      <alignment horizontal="center" vertical="center" wrapText="1"/>
      <protection/>
    </xf>
    <xf numFmtId="0" fontId="100" fillId="0" borderId="58" xfId="0" applyFont="1" applyBorder="1" applyAlignment="1" applyProtection="1" quotePrefix="1">
      <alignment horizontal="center" vertical="center" wrapText="1"/>
      <protection/>
    </xf>
    <xf numFmtId="0" fontId="0" fillId="0" borderId="59" xfId="0" applyBorder="1" applyAlignment="1">
      <alignment horizontal="center" vertical="center"/>
    </xf>
    <xf numFmtId="184" fontId="5" fillId="0" borderId="12" xfId="0" applyNumberFormat="1" applyFont="1" applyFill="1" applyBorder="1" applyAlignment="1" applyProtection="1">
      <alignment vertical="center" shrinkToFit="1"/>
      <protection/>
    </xf>
    <xf numFmtId="0" fontId="90" fillId="0" borderId="0" xfId="0" applyFont="1" applyAlignment="1" applyProtection="1">
      <alignment vertical="center"/>
      <protection/>
    </xf>
    <xf numFmtId="0" fontId="4" fillId="0" borderId="0" xfId="0" applyFont="1" applyAlignment="1" applyProtection="1">
      <alignment vertical="center"/>
      <protection/>
    </xf>
    <xf numFmtId="0" fontId="90" fillId="0" borderId="0" xfId="0" applyFont="1" applyFill="1" applyAlignment="1" applyProtection="1">
      <alignment vertical="center"/>
      <protection/>
    </xf>
    <xf numFmtId="0" fontId="90" fillId="0" borderId="0" xfId="0" applyFont="1" applyBorder="1" applyAlignment="1" applyProtection="1">
      <alignment vertical="center"/>
      <protection/>
    </xf>
    <xf numFmtId="0" fontId="0" fillId="0" borderId="0" xfId="0" applyAlignment="1" applyProtection="1">
      <alignment vertical="center"/>
      <protection/>
    </xf>
    <xf numFmtId="0" fontId="89" fillId="0" borderId="0" xfId="0" applyFont="1" applyAlignment="1" applyProtection="1">
      <alignment vertical="center"/>
      <protection/>
    </xf>
    <xf numFmtId="0" fontId="100" fillId="0" borderId="0" xfId="0" applyFont="1" applyAlignment="1" applyProtection="1">
      <alignment vertical="center"/>
      <protection/>
    </xf>
    <xf numFmtId="0" fontId="100" fillId="0" borderId="0" xfId="0" applyFont="1" applyAlignment="1" applyProtection="1">
      <alignment vertical="center"/>
      <protection locked="0"/>
    </xf>
    <xf numFmtId="0" fontId="0" fillId="0" borderId="0" xfId="0" applyFont="1" applyAlignment="1" applyProtection="1">
      <alignment horizontal="center" vertical="center"/>
      <protection/>
    </xf>
    <xf numFmtId="0" fontId="0" fillId="0" borderId="0" xfId="0" applyFont="1" applyAlignment="1" applyProtection="1">
      <alignment horizontal="left" vertical="center" shrinkToFit="1"/>
      <protection/>
    </xf>
    <xf numFmtId="0" fontId="0" fillId="0" borderId="0" xfId="0" applyFont="1" applyAlignment="1" applyProtection="1">
      <alignment vertical="center"/>
      <protection/>
    </xf>
    <xf numFmtId="0" fontId="0" fillId="0" borderId="0" xfId="0" applyFont="1" applyBorder="1" applyAlignment="1" applyProtection="1">
      <alignment vertical="center"/>
      <protection/>
    </xf>
    <xf numFmtId="0" fontId="100" fillId="0" borderId="0" xfId="0" applyFont="1" applyAlignment="1" applyProtection="1">
      <alignment horizontal="center" vertical="center"/>
      <protection/>
    </xf>
    <xf numFmtId="0" fontId="100" fillId="0" borderId="0" xfId="0" applyFont="1" applyAlignment="1" applyProtection="1">
      <alignment horizontal="left" vertical="center" shrinkToFit="1"/>
      <protection/>
    </xf>
    <xf numFmtId="0" fontId="100" fillId="0" borderId="0" xfId="0" applyFont="1" applyFill="1" applyAlignment="1" applyProtection="1">
      <alignment vertical="center"/>
      <protection/>
    </xf>
    <xf numFmtId="0" fontId="100" fillId="0" borderId="0" xfId="0" applyFont="1" applyFill="1" applyAlignment="1" applyProtection="1">
      <alignment horizontal="left" vertical="center"/>
      <protection/>
    </xf>
    <xf numFmtId="0" fontId="100" fillId="0" borderId="0" xfId="0" applyFont="1" applyFill="1" applyAlignment="1" applyProtection="1">
      <alignment horizontal="center" vertical="center"/>
      <protection/>
    </xf>
    <xf numFmtId="0" fontId="100" fillId="0" borderId="0" xfId="0" applyFont="1" applyFill="1" applyAlignment="1" applyProtection="1">
      <alignment horizontal="left" vertical="center" shrinkToFit="1"/>
      <protection/>
    </xf>
    <xf numFmtId="14" fontId="0" fillId="0" borderId="0" xfId="0" applyNumberFormat="1" applyFont="1" applyAlignment="1" applyProtection="1">
      <alignment vertical="center"/>
      <protection/>
    </xf>
    <xf numFmtId="0" fontId="0" fillId="0" borderId="0" xfId="0" applyFont="1" applyAlignment="1" applyProtection="1">
      <alignment horizontal="right" vertical="center"/>
      <protection/>
    </xf>
    <xf numFmtId="0" fontId="100" fillId="0" borderId="60" xfId="0" applyFont="1" applyBorder="1" applyAlignment="1" applyProtection="1">
      <alignment horizontal="center" vertical="top" shrinkToFit="1"/>
      <protection/>
    </xf>
    <xf numFmtId="0" fontId="100" fillId="0" borderId="60" xfId="0" applyFont="1" applyBorder="1" applyAlignment="1" applyProtection="1">
      <alignment horizontal="center" vertical="top" wrapText="1"/>
      <protection/>
    </xf>
    <xf numFmtId="0" fontId="100" fillId="0" borderId="61" xfId="0" applyFont="1" applyBorder="1" applyAlignment="1" applyProtection="1">
      <alignment horizontal="center" vertical="top" wrapText="1"/>
      <protection/>
    </xf>
    <xf numFmtId="0" fontId="0" fillId="0" borderId="23" xfId="0" applyFont="1" applyBorder="1" applyAlignment="1" applyProtection="1">
      <alignment horizontal="center" vertical="top" wrapText="1"/>
      <protection/>
    </xf>
    <xf numFmtId="0" fontId="0" fillId="0" borderId="62" xfId="0" applyFont="1" applyBorder="1" applyAlignment="1" applyProtection="1">
      <alignment horizontal="center" vertical="top" wrapText="1"/>
      <protection/>
    </xf>
    <xf numFmtId="0" fontId="100" fillId="0" borderId="17" xfId="0" applyFont="1" applyBorder="1" applyAlignment="1" applyProtection="1">
      <alignment horizontal="left" vertical="center" shrinkToFit="1"/>
      <protection/>
    </xf>
    <xf numFmtId="0" fontId="0" fillId="0" borderId="17" xfId="0" applyFont="1" applyBorder="1" applyAlignment="1" applyProtection="1">
      <alignment horizontal="center" vertical="top" wrapText="1"/>
      <protection/>
    </xf>
    <xf numFmtId="0" fontId="100" fillId="0" borderId="17" xfId="0" applyFont="1" applyBorder="1" applyAlignment="1" applyProtection="1">
      <alignment horizontal="center" vertical="center" wrapText="1"/>
      <protection/>
    </xf>
    <xf numFmtId="0" fontId="100" fillId="0" borderId="63" xfId="0" applyFont="1" applyBorder="1" applyAlignment="1" applyProtection="1">
      <alignment horizontal="center" vertical="center" wrapText="1"/>
      <protection/>
    </xf>
    <xf numFmtId="0" fontId="100" fillId="0" borderId="62" xfId="0" applyFont="1" applyBorder="1" applyAlignment="1" applyProtection="1">
      <alignment horizontal="center" vertical="center" wrapText="1"/>
      <protection/>
    </xf>
    <xf numFmtId="184" fontId="6" fillId="0" borderId="0" xfId="0" applyNumberFormat="1" applyFont="1" applyFill="1" applyBorder="1" applyAlignment="1" applyProtection="1">
      <alignment horizontal="right" vertical="center" wrapText="1"/>
      <protection/>
    </xf>
    <xf numFmtId="0" fontId="0" fillId="33" borderId="0" xfId="0" applyFont="1" applyFill="1" applyAlignment="1" applyProtection="1">
      <alignment vertical="center"/>
      <protection/>
    </xf>
    <xf numFmtId="0" fontId="0" fillId="33" borderId="0" xfId="0" applyFont="1" applyFill="1" applyAlignment="1" applyProtection="1">
      <alignment horizontal="center" vertical="center"/>
      <protection/>
    </xf>
    <xf numFmtId="0" fontId="0" fillId="33" borderId="0" xfId="0" applyFont="1" applyFill="1" applyBorder="1" applyAlignment="1" applyProtection="1">
      <alignment vertical="center"/>
      <protection/>
    </xf>
    <xf numFmtId="0" fontId="101" fillId="33" borderId="23" xfId="0" applyFont="1" applyFill="1" applyBorder="1" applyAlignment="1" applyProtection="1">
      <alignment horizontal="center" vertical="center" wrapText="1"/>
      <protection/>
    </xf>
    <xf numFmtId="186" fontId="92" fillId="33" borderId="0" xfId="0" applyNumberFormat="1" applyFont="1" applyFill="1" applyBorder="1" applyAlignment="1" applyProtection="1">
      <alignment horizontal="center" vertical="center" wrapText="1"/>
      <protection/>
    </xf>
    <xf numFmtId="38" fontId="102" fillId="0" borderId="64" xfId="50" applyFont="1" applyFill="1" applyBorder="1" applyAlignment="1" applyProtection="1">
      <alignment vertical="center"/>
      <protection/>
    </xf>
    <xf numFmtId="0" fontId="92" fillId="0" borderId="0" xfId="0" applyFont="1" applyAlignment="1" applyProtection="1">
      <alignment horizontal="right" vertical="center"/>
      <protection/>
    </xf>
    <xf numFmtId="184" fontId="92" fillId="0" borderId="0" xfId="0" applyNumberFormat="1" applyFont="1" applyAlignment="1" applyProtection="1">
      <alignment vertical="center"/>
      <protection/>
    </xf>
    <xf numFmtId="0" fontId="103" fillId="0" borderId="0" xfId="0" applyFont="1" applyFill="1" applyAlignment="1" applyProtection="1">
      <alignment vertical="center"/>
      <protection/>
    </xf>
    <xf numFmtId="0" fontId="100" fillId="0" borderId="0" xfId="0" applyFont="1" applyAlignment="1" applyProtection="1">
      <alignment horizontal="justify" vertical="center"/>
      <protection/>
    </xf>
    <xf numFmtId="38" fontId="0" fillId="0" borderId="0" xfId="50" applyFont="1" applyAlignment="1" applyProtection="1">
      <alignment vertical="center"/>
      <protection/>
    </xf>
    <xf numFmtId="0" fontId="0" fillId="0" borderId="0" xfId="0" applyFont="1" applyBorder="1" applyAlignment="1" applyProtection="1">
      <alignment horizontal="left" vertical="center"/>
      <protection/>
    </xf>
    <xf numFmtId="38" fontId="0" fillId="0" borderId="0" xfId="0" applyNumberFormat="1" applyFont="1" applyAlignment="1" applyProtection="1">
      <alignment vertical="center"/>
      <protection/>
    </xf>
    <xf numFmtId="0" fontId="100" fillId="0" borderId="0" xfId="0" applyFont="1" applyBorder="1" applyAlignment="1" applyProtection="1">
      <alignment horizontal="center" vertical="center" wrapText="1"/>
      <protection/>
    </xf>
    <xf numFmtId="0" fontId="100" fillId="0" borderId="65" xfId="0" applyFont="1" applyBorder="1" applyAlignment="1" applyProtection="1">
      <alignment horizontal="center" vertical="center" wrapText="1"/>
      <protection/>
    </xf>
    <xf numFmtId="0" fontId="100" fillId="0" borderId="19" xfId="0" applyFont="1" applyBorder="1" applyAlignment="1" applyProtection="1">
      <alignment horizontal="center" vertical="center" wrapText="1"/>
      <protection/>
    </xf>
    <xf numFmtId="0" fontId="100" fillId="0" borderId="66" xfId="0" applyFont="1" applyBorder="1" applyAlignment="1" applyProtection="1">
      <alignment horizontal="center" vertical="center" wrapText="1"/>
      <protection/>
    </xf>
    <xf numFmtId="0" fontId="100" fillId="0" borderId="12" xfId="0" applyFont="1" applyBorder="1" applyAlignment="1" applyProtection="1">
      <alignment horizontal="center" vertical="center" wrapText="1"/>
      <protection/>
    </xf>
    <xf numFmtId="0" fontId="100" fillId="33" borderId="66" xfId="0" applyFont="1" applyFill="1" applyBorder="1" applyAlignment="1" applyProtection="1">
      <alignment horizontal="center" vertical="center" wrapText="1"/>
      <protection/>
    </xf>
    <xf numFmtId="0" fontId="100" fillId="33" borderId="12" xfId="0" applyFont="1" applyFill="1" applyBorder="1" applyAlignment="1" applyProtection="1">
      <alignment horizontal="center" vertical="center" wrapText="1"/>
      <protection/>
    </xf>
    <xf numFmtId="0" fontId="100" fillId="33" borderId="0" xfId="0" applyFont="1" applyFill="1" applyBorder="1" applyAlignment="1" applyProtection="1">
      <alignment horizontal="center" vertical="center" wrapText="1"/>
      <protection/>
    </xf>
    <xf numFmtId="0" fontId="100" fillId="33" borderId="65" xfId="0" applyFont="1" applyFill="1" applyBorder="1" applyAlignment="1" applyProtection="1">
      <alignment horizontal="center" vertical="center" wrapText="1"/>
      <protection/>
    </xf>
    <xf numFmtId="0" fontId="100" fillId="33" borderId="19" xfId="0" applyFont="1" applyFill="1" applyBorder="1" applyAlignment="1" applyProtection="1">
      <alignment horizontal="center" vertical="center" wrapText="1"/>
      <protection/>
    </xf>
    <xf numFmtId="0" fontId="100" fillId="0" borderId="67" xfId="0" applyFont="1" applyBorder="1" applyAlignment="1" applyProtection="1">
      <alignment horizontal="center" vertical="center" wrapText="1"/>
      <protection/>
    </xf>
    <xf numFmtId="0" fontId="100" fillId="0" borderId="20" xfId="0" applyFont="1" applyBorder="1" applyAlignment="1" applyProtection="1">
      <alignment horizontal="center" vertical="center" wrapText="1"/>
      <protection/>
    </xf>
    <xf numFmtId="0" fontId="100" fillId="0" borderId="0" xfId="0" applyFont="1" applyAlignment="1" applyProtection="1">
      <alignment horizontal="left" vertical="center"/>
      <protection/>
    </xf>
    <xf numFmtId="0" fontId="100" fillId="0" borderId="17" xfId="0" applyFont="1" applyBorder="1" applyAlignment="1" applyProtection="1">
      <alignment horizontal="left" vertical="center" wrapText="1"/>
      <protection/>
    </xf>
    <xf numFmtId="0" fontId="100" fillId="0" borderId="34" xfId="0" applyFont="1" applyBorder="1" applyAlignment="1" applyProtection="1">
      <alignment horizontal="center" vertical="center" wrapText="1"/>
      <protection/>
    </xf>
    <xf numFmtId="0" fontId="100" fillId="0" borderId="53" xfId="0" applyFont="1" applyBorder="1" applyAlignment="1" applyProtection="1">
      <alignment horizontal="center" vertical="center" wrapText="1"/>
      <protection/>
    </xf>
    <xf numFmtId="0" fontId="100" fillId="0" borderId="58" xfId="0" applyFont="1" applyBorder="1" applyAlignment="1" applyProtection="1">
      <alignment horizontal="center" vertical="center" wrapText="1"/>
      <protection/>
    </xf>
    <xf numFmtId="38" fontId="100" fillId="0" borderId="60" xfId="50" applyFont="1" applyBorder="1" applyAlignment="1" applyProtection="1">
      <alignment horizontal="center" vertical="top" wrapText="1"/>
      <protection/>
    </xf>
    <xf numFmtId="38" fontId="100" fillId="0" borderId="17" xfId="50" applyFont="1" applyBorder="1" applyAlignment="1" applyProtection="1">
      <alignment horizontal="center" vertical="center" wrapText="1"/>
      <protection/>
    </xf>
    <xf numFmtId="0" fontId="100" fillId="33" borderId="53" xfId="0" applyFont="1" applyFill="1" applyBorder="1" applyAlignment="1" applyProtection="1">
      <alignment horizontal="center" vertical="center" wrapText="1"/>
      <protection/>
    </xf>
    <xf numFmtId="0" fontId="100" fillId="33" borderId="34" xfId="0" applyFont="1" applyFill="1" applyBorder="1" applyAlignment="1" applyProtection="1">
      <alignment horizontal="center" vertical="center" wrapText="1"/>
      <protection/>
    </xf>
    <xf numFmtId="38" fontId="101" fillId="33" borderId="23" xfId="50" applyFont="1" applyFill="1" applyBorder="1" applyAlignment="1" applyProtection="1">
      <alignment horizontal="center" vertical="center" wrapText="1"/>
      <protection/>
    </xf>
    <xf numFmtId="38" fontId="92" fillId="0" borderId="0" xfId="50" applyFont="1" applyAlignment="1" applyProtection="1">
      <alignment vertical="center"/>
      <protection/>
    </xf>
    <xf numFmtId="0" fontId="0" fillId="0" borderId="0" xfId="0" applyFont="1" applyFill="1" applyAlignment="1" applyProtection="1">
      <alignment vertical="center"/>
      <protection/>
    </xf>
    <xf numFmtId="0" fontId="0" fillId="0" borderId="0" xfId="0" applyFont="1" applyFill="1" applyBorder="1" applyAlignment="1" applyProtection="1">
      <alignment horizontal="left" vertical="center"/>
      <protection/>
    </xf>
    <xf numFmtId="0" fontId="0" fillId="0" borderId="0" xfId="0" applyFont="1" applyFill="1" applyAlignment="1" applyProtection="1">
      <alignment horizontal="left" vertical="center"/>
      <protection/>
    </xf>
    <xf numFmtId="0" fontId="0" fillId="0" borderId="0" xfId="0" applyFont="1" applyFill="1" applyAlignment="1" applyProtection="1">
      <alignment horizontal="center" vertical="center"/>
      <protection/>
    </xf>
    <xf numFmtId="0" fontId="0" fillId="0" borderId="0" xfId="0" applyFont="1" applyFill="1" applyAlignment="1" applyProtection="1">
      <alignment horizontal="left" vertical="center" shrinkToFit="1"/>
      <protection/>
    </xf>
    <xf numFmtId="190" fontId="16" fillId="0" borderId="10" xfId="0" applyNumberFormat="1" applyFont="1" applyBorder="1" applyAlignment="1" applyProtection="1">
      <alignment horizontal="center" vertical="center"/>
      <protection/>
    </xf>
    <xf numFmtId="190" fontId="16" fillId="0" borderId="11" xfId="0" applyNumberFormat="1" applyFont="1" applyBorder="1" applyAlignment="1" applyProtection="1">
      <alignment horizontal="center" vertical="center"/>
      <protection/>
    </xf>
    <xf numFmtId="190" fontId="16" fillId="0" borderId="13" xfId="0" applyNumberFormat="1" applyFont="1" applyBorder="1" applyAlignment="1" applyProtection="1">
      <alignment horizontal="center" vertical="center"/>
      <protection/>
    </xf>
    <xf numFmtId="0" fontId="18" fillId="0" borderId="0" xfId="0" applyFont="1" applyFill="1" applyBorder="1" applyAlignment="1" applyProtection="1">
      <alignment vertical="center"/>
      <protection/>
    </xf>
    <xf numFmtId="0" fontId="100" fillId="36" borderId="65" xfId="0" applyFont="1" applyFill="1" applyBorder="1" applyAlignment="1" applyProtection="1">
      <alignment horizontal="center" vertical="center" wrapText="1"/>
      <protection locked="0"/>
    </xf>
    <xf numFmtId="0" fontId="100" fillId="36" borderId="66" xfId="0" applyFont="1" applyFill="1" applyBorder="1" applyAlignment="1" applyProtection="1">
      <alignment horizontal="center" vertical="center" wrapText="1"/>
      <protection locked="0"/>
    </xf>
    <xf numFmtId="0" fontId="100" fillId="36" borderId="67" xfId="0" applyFont="1" applyFill="1" applyBorder="1" applyAlignment="1" applyProtection="1">
      <alignment horizontal="center" vertical="center" wrapText="1"/>
      <protection locked="0"/>
    </xf>
    <xf numFmtId="0" fontId="92" fillId="36" borderId="21" xfId="0" applyFont="1" applyFill="1" applyBorder="1" applyAlignment="1" applyProtection="1">
      <alignment horizontal="left" vertical="center" wrapText="1"/>
      <protection locked="0"/>
    </xf>
    <xf numFmtId="0" fontId="92" fillId="36" borderId="19" xfId="0" applyFont="1" applyFill="1" applyBorder="1" applyAlignment="1" applyProtection="1">
      <alignment horizontal="left" vertical="center" wrapText="1"/>
      <protection locked="0"/>
    </xf>
    <xf numFmtId="188" fontId="6" fillId="36" borderId="19" xfId="0" applyNumberFormat="1" applyFont="1" applyFill="1" applyBorder="1" applyAlignment="1" applyProtection="1">
      <alignment vertical="center" shrinkToFit="1"/>
      <protection locked="0"/>
    </xf>
    <xf numFmtId="185" fontId="6" fillId="36" borderId="19" xfId="0" applyNumberFormat="1" applyFont="1" applyFill="1" applyBorder="1" applyAlignment="1" applyProtection="1">
      <alignment horizontal="center" vertical="center" shrinkToFit="1"/>
      <protection locked="0"/>
    </xf>
    <xf numFmtId="188" fontId="6" fillId="36" borderId="12" xfId="0" applyNumberFormat="1" applyFont="1" applyFill="1" applyBorder="1" applyAlignment="1" applyProtection="1">
      <alignment vertical="center" shrinkToFit="1"/>
      <protection locked="0"/>
    </xf>
    <xf numFmtId="0" fontId="92" fillId="36" borderId="12" xfId="0" applyFont="1" applyFill="1" applyBorder="1" applyAlignment="1" applyProtection="1">
      <alignment horizontal="left" vertical="center" wrapText="1"/>
      <protection locked="0"/>
    </xf>
    <xf numFmtId="0" fontId="6" fillId="36" borderId="12" xfId="0" applyFont="1" applyFill="1" applyBorder="1" applyAlignment="1" applyProtection="1">
      <alignment horizontal="left" vertical="center" wrapText="1"/>
      <protection locked="0"/>
    </xf>
    <xf numFmtId="0" fontId="92" fillId="36" borderId="20" xfId="0" applyFont="1" applyFill="1" applyBorder="1" applyAlignment="1" applyProtection="1">
      <alignment horizontal="left" vertical="center" wrapText="1"/>
      <protection locked="0"/>
    </xf>
    <xf numFmtId="188" fontId="6" fillId="36" borderId="20" xfId="0" applyNumberFormat="1" applyFont="1" applyFill="1" applyBorder="1" applyAlignment="1" applyProtection="1">
      <alignment vertical="center" shrinkToFit="1"/>
      <protection locked="0"/>
    </xf>
    <xf numFmtId="185" fontId="6" fillId="36" borderId="20" xfId="0" applyNumberFormat="1" applyFont="1" applyFill="1" applyBorder="1" applyAlignment="1" applyProtection="1">
      <alignment horizontal="center" vertical="center" shrinkToFit="1"/>
      <protection locked="0"/>
    </xf>
    <xf numFmtId="184" fontId="6" fillId="36" borderId="19" xfId="0" applyNumberFormat="1" applyFont="1" applyFill="1" applyBorder="1" applyAlignment="1" applyProtection="1">
      <alignment vertical="center" shrinkToFit="1"/>
      <protection locked="0"/>
    </xf>
    <xf numFmtId="184" fontId="6" fillId="36" borderId="20" xfId="0" applyNumberFormat="1" applyFont="1" applyFill="1" applyBorder="1" applyAlignment="1" applyProtection="1">
      <alignment vertical="center" shrinkToFit="1"/>
      <protection locked="0"/>
    </xf>
    <xf numFmtId="0" fontId="0" fillId="36" borderId="68" xfId="0" applyFont="1" applyFill="1" applyBorder="1" applyAlignment="1" applyProtection="1">
      <alignment horizontal="center" vertical="center"/>
      <protection locked="0"/>
    </xf>
    <xf numFmtId="0" fontId="0" fillId="36" borderId="69" xfId="0" applyFont="1" applyFill="1" applyBorder="1" applyAlignment="1" applyProtection="1">
      <alignment horizontal="center" vertical="center"/>
      <protection locked="0"/>
    </xf>
    <xf numFmtId="0" fontId="100" fillId="36" borderId="70" xfId="0" applyFont="1" applyFill="1" applyBorder="1" applyAlignment="1" applyProtection="1">
      <alignment horizontal="center" vertical="center" wrapText="1"/>
      <protection locked="0"/>
    </xf>
    <xf numFmtId="188" fontId="6" fillId="36" borderId="21" xfId="0" applyNumberFormat="1" applyFont="1" applyFill="1" applyBorder="1" applyAlignment="1" applyProtection="1">
      <alignment vertical="center" shrinkToFit="1"/>
      <protection locked="0"/>
    </xf>
    <xf numFmtId="185" fontId="6" fillId="36" borderId="21" xfId="0" applyNumberFormat="1" applyFont="1" applyFill="1" applyBorder="1" applyAlignment="1" applyProtection="1">
      <alignment horizontal="center" vertical="center" shrinkToFit="1"/>
      <protection locked="0"/>
    </xf>
    <xf numFmtId="185" fontId="6" fillId="36" borderId="12" xfId="0" applyNumberFormat="1" applyFont="1" applyFill="1" applyBorder="1" applyAlignment="1" applyProtection="1">
      <alignment horizontal="center" vertical="center" shrinkToFit="1"/>
      <protection locked="0"/>
    </xf>
    <xf numFmtId="184" fontId="6" fillId="36" borderId="21" xfId="0" applyNumberFormat="1" applyFont="1" applyFill="1" applyBorder="1" applyAlignment="1" applyProtection="1">
      <alignment vertical="center" shrinkToFit="1"/>
      <protection locked="0"/>
    </xf>
    <xf numFmtId="184" fontId="6" fillId="36" borderId="12" xfId="0" applyNumberFormat="1" applyFont="1" applyFill="1" applyBorder="1" applyAlignment="1" applyProtection="1">
      <alignment vertical="center" shrinkToFit="1"/>
      <protection locked="0"/>
    </xf>
    <xf numFmtId="0" fontId="0" fillId="36" borderId="71" xfId="0" applyFont="1" applyFill="1" applyBorder="1" applyAlignment="1" applyProtection="1">
      <alignment horizontal="center" vertical="center"/>
      <protection locked="0"/>
    </xf>
    <xf numFmtId="0" fontId="0" fillId="36" borderId="72" xfId="0" applyFont="1" applyFill="1" applyBorder="1" applyAlignment="1" applyProtection="1">
      <alignment horizontal="center" vertical="center"/>
      <protection locked="0"/>
    </xf>
    <xf numFmtId="0" fontId="92" fillId="36" borderId="53" xfId="0" applyFont="1" applyFill="1" applyBorder="1" applyAlignment="1" applyProtection="1">
      <alignment horizontal="left" vertical="center" wrapText="1"/>
      <protection locked="0"/>
    </xf>
    <xf numFmtId="0" fontId="92" fillId="36" borderId="58" xfId="0" applyFont="1" applyFill="1" applyBorder="1" applyAlignment="1" applyProtection="1">
      <alignment horizontal="left" vertical="center" wrapText="1"/>
      <protection locked="0"/>
    </xf>
    <xf numFmtId="0" fontId="0" fillId="36" borderId="73" xfId="0" applyFont="1" applyFill="1" applyBorder="1" applyAlignment="1" applyProtection="1">
      <alignment horizontal="center" vertical="center"/>
      <protection locked="0"/>
    </xf>
    <xf numFmtId="0" fontId="0" fillId="36" borderId="74" xfId="0" applyFont="1" applyFill="1" applyBorder="1" applyAlignment="1" applyProtection="1">
      <alignment horizontal="center" vertical="center"/>
      <protection locked="0"/>
    </xf>
    <xf numFmtId="0" fontId="92" fillId="36" borderId="34" xfId="0" applyFont="1" applyFill="1" applyBorder="1" applyAlignment="1" applyProtection="1">
      <alignment horizontal="left" vertical="center" wrapText="1"/>
      <protection locked="0"/>
    </xf>
    <xf numFmtId="184" fontId="92" fillId="36" borderId="21" xfId="0" applyNumberFormat="1" applyFont="1" applyFill="1" applyBorder="1" applyAlignment="1" applyProtection="1">
      <alignment vertical="center" shrinkToFit="1"/>
      <protection locked="0"/>
    </xf>
    <xf numFmtId="0" fontId="92" fillId="36" borderId="12" xfId="0" applyFont="1" applyFill="1" applyBorder="1" applyAlignment="1" applyProtection="1">
      <alignment horizontal="left" vertical="center" wrapText="1" shrinkToFit="1"/>
      <protection locked="0"/>
    </xf>
    <xf numFmtId="0" fontId="92" fillId="36" borderId="20" xfId="0" applyFont="1" applyFill="1" applyBorder="1" applyAlignment="1" applyProtection="1">
      <alignment horizontal="left" vertical="center" wrapText="1" shrinkToFit="1"/>
      <protection locked="0"/>
    </xf>
    <xf numFmtId="0" fontId="100" fillId="0" borderId="75" xfId="0" applyFont="1" applyBorder="1" applyAlignment="1" applyProtection="1">
      <alignment horizontal="center" vertical="top" wrapText="1"/>
      <protection locked="0"/>
    </xf>
    <xf numFmtId="0" fontId="100" fillId="0" borderId="24" xfId="0" applyFont="1" applyBorder="1" applyAlignment="1" applyProtection="1">
      <alignment horizontal="center" vertical="center" wrapText="1"/>
      <protection locked="0"/>
    </xf>
    <xf numFmtId="0" fontId="19" fillId="0" borderId="0" xfId="0" applyFont="1" applyBorder="1" applyAlignment="1" applyProtection="1">
      <alignment horizontal="center" vertical="center"/>
      <protection/>
    </xf>
    <xf numFmtId="0" fontId="104" fillId="0" borderId="12" xfId="0" applyFont="1" applyBorder="1" applyAlignment="1" applyProtection="1">
      <alignment horizontal="center" vertical="center"/>
      <protection/>
    </xf>
    <xf numFmtId="0" fontId="105" fillId="0" borderId="0" xfId="0" applyFont="1" applyBorder="1" applyAlignment="1" applyProtection="1">
      <alignment vertical="center"/>
      <protection/>
    </xf>
    <xf numFmtId="0" fontId="27" fillId="0" borderId="14" xfId="0" applyFont="1" applyBorder="1" applyAlignment="1" applyProtection="1">
      <alignment vertical="center"/>
      <protection/>
    </xf>
    <xf numFmtId="0" fontId="27" fillId="0" borderId="76" xfId="0" applyFont="1" applyBorder="1" applyAlignment="1" applyProtection="1">
      <alignment vertical="center"/>
      <protection/>
    </xf>
    <xf numFmtId="0" fontId="7" fillId="0" borderId="76" xfId="0" applyFont="1" applyBorder="1" applyAlignment="1" applyProtection="1">
      <alignment vertical="center"/>
      <protection/>
    </xf>
    <xf numFmtId="0" fontId="7" fillId="0" borderId="53" xfId="0" applyFont="1" applyBorder="1" applyAlignment="1" applyProtection="1">
      <alignment vertical="center"/>
      <protection/>
    </xf>
    <xf numFmtId="0" fontId="19" fillId="0" borderId="38" xfId="0" applyFont="1" applyBorder="1" applyAlignment="1" applyProtection="1">
      <alignment vertical="center" wrapText="1"/>
      <protection/>
    </xf>
    <xf numFmtId="0" fontId="19" fillId="0" borderId="39" xfId="0" applyFont="1" applyBorder="1" applyAlignment="1" applyProtection="1">
      <alignment vertical="center" wrapText="1"/>
      <protection/>
    </xf>
    <xf numFmtId="0" fontId="19" fillId="0" borderId="45" xfId="0" applyFont="1" applyBorder="1" applyAlignment="1" applyProtection="1">
      <alignment vertical="center" wrapText="1"/>
      <protection/>
    </xf>
    <xf numFmtId="0" fontId="19" fillId="0" borderId="59" xfId="0" applyFont="1" applyBorder="1" applyAlignment="1" applyProtection="1">
      <alignment vertical="center" wrapText="1"/>
      <protection/>
    </xf>
    <xf numFmtId="0" fontId="7" fillId="0" borderId="38" xfId="0" applyFont="1" applyBorder="1" applyAlignment="1" applyProtection="1">
      <alignment horizontal="center" vertical="center" wrapText="1"/>
      <protection/>
    </xf>
    <xf numFmtId="0" fontId="7" fillId="0" borderId="38" xfId="0" applyFont="1" applyBorder="1" applyAlignment="1" applyProtection="1">
      <alignment horizontal="center" vertical="center"/>
      <protection/>
    </xf>
    <xf numFmtId="0" fontId="19" fillId="0" borderId="26" xfId="0" applyFont="1" applyBorder="1" applyAlignment="1" applyProtection="1">
      <alignment vertical="center" wrapText="1"/>
      <protection/>
    </xf>
    <xf numFmtId="0" fontId="19" fillId="0" borderId="34" xfId="0" applyFont="1" applyBorder="1" applyAlignment="1" applyProtection="1">
      <alignment vertical="center" wrapText="1"/>
      <protection/>
    </xf>
    <xf numFmtId="0" fontId="7" fillId="0" borderId="26" xfId="0" applyFont="1" applyBorder="1" applyAlignment="1" applyProtection="1">
      <alignment horizontal="center" vertical="center" wrapText="1"/>
      <protection/>
    </xf>
    <xf numFmtId="184" fontId="9" fillId="0" borderId="45" xfId="0" applyNumberFormat="1" applyFont="1" applyFill="1" applyBorder="1" applyAlignment="1" applyProtection="1">
      <alignment horizontal="right" vertical="center" wrapText="1"/>
      <protection/>
    </xf>
    <xf numFmtId="0" fontId="105" fillId="0" borderId="59" xfId="0" applyFont="1" applyBorder="1" applyAlignment="1" applyProtection="1">
      <alignment vertical="center"/>
      <protection/>
    </xf>
    <xf numFmtId="0" fontId="105" fillId="0" borderId="59" xfId="0" applyFont="1" applyBorder="1" applyAlignment="1" applyProtection="1">
      <alignment vertical="center"/>
      <protection/>
    </xf>
    <xf numFmtId="0" fontId="19" fillId="0" borderId="59" xfId="0" applyFont="1" applyBorder="1" applyAlignment="1" applyProtection="1">
      <alignment vertical="center"/>
      <protection/>
    </xf>
    <xf numFmtId="184" fontId="9" fillId="0" borderId="26" xfId="0" applyNumberFormat="1" applyFont="1" applyFill="1" applyBorder="1" applyAlignment="1" applyProtection="1">
      <alignment horizontal="right" vertical="center" wrapText="1"/>
      <protection/>
    </xf>
    <xf numFmtId="0" fontId="17" fillId="0" borderId="34" xfId="0" applyFont="1" applyBorder="1" applyAlignment="1" applyProtection="1">
      <alignment vertical="center"/>
      <protection/>
    </xf>
    <xf numFmtId="184" fontId="9" fillId="0" borderId="14" xfId="0" applyNumberFormat="1" applyFont="1" applyFill="1" applyBorder="1" applyAlignment="1" applyProtection="1">
      <alignment vertical="center" wrapText="1"/>
      <protection/>
    </xf>
    <xf numFmtId="184" fontId="9" fillId="0" borderId="53" xfId="0" applyNumberFormat="1" applyFont="1" applyFill="1" applyBorder="1" applyAlignment="1" applyProtection="1">
      <alignment vertical="center" wrapText="1"/>
      <protection/>
    </xf>
    <xf numFmtId="184" fontId="9" fillId="36" borderId="41" xfId="0" applyNumberFormat="1" applyFont="1" applyFill="1" applyBorder="1" applyAlignment="1" applyProtection="1">
      <alignment horizontal="right" vertical="center" wrapText="1"/>
      <protection locked="0"/>
    </xf>
    <xf numFmtId="184" fontId="9" fillId="36" borderId="43" xfId="0" applyNumberFormat="1" applyFont="1" applyFill="1" applyBorder="1" applyAlignment="1" applyProtection="1">
      <alignment horizontal="right" vertical="center" wrapText="1"/>
      <protection locked="0"/>
    </xf>
    <xf numFmtId="184" fontId="9" fillId="36" borderId="46" xfId="0" applyNumberFormat="1" applyFont="1" applyFill="1" applyBorder="1" applyAlignment="1" applyProtection="1">
      <alignment horizontal="right" vertical="center" wrapText="1"/>
      <protection locked="0"/>
    </xf>
    <xf numFmtId="190" fontId="10" fillId="0" borderId="77" xfId="0" applyNumberFormat="1" applyFont="1" applyFill="1" applyBorder="1" applyAlignment="1" applyProtection="1">
      <alignment horizontal="center" vertical="center"/>
      <protection/>
    </xf>
    <xf numFmtId="0" fontId="91" fillId="0" borderId="0" xfId="0" applyFont="1" applyAlignment="1" applyProtection="1">
      <alignment vertical="center"/>
      <protection/>
    </xf>
    <xf numFmtId="0" fontId="91" fillId="0" borderId="0" xfId="0" applyFont="1" applyAlignment="1" applyProtection="1">
      <alignment vertical="center"/>
      <protection/>
    </xf>
    <xf numFmtId="0" fontId="90" fillId="0" borderId="0" xfId="0" applyFont="1" applyAlignment="1" applyProtection="1">
      <alignment vertical="center"/>
      <protection/>
    </xf>
    <xf numFmtId="189" fontId="4" fillId="33" borderId="0" xfId="0" applyNumberFormat="1" applyFont="1" applyFill="1" applyBorder="1" applyAlignment="1" applyProtection="1">
      <alignment horizontal="left" vertical="center"/>
      <protection/>
    </xf>
    <xf numFmtId="0" fontId="90" fillId="33" borderId="0" xfId="0" applyFont="1" applyFill="1" applyAlignment="1" applyProtection="1">
      <alignment vertical="center"/>
      <protection/>
    </xf>
    <xf numFmtId="0" fontId="26" fillId="0" borderId="0" xfId="0" applyFont="1" applyAlignment="1" applyProtection="1">
      <alignment horizontal="left" vertical="center"/>
      <protection/>
    </xf>
    <xf numFmtId="0" fontId="4" fillId="0" borderId="0" xfId="0" applyFont="1" applyAlignment="1" applyProtection="1">
      <alignment horizontal="left" vertical="center"/>
      <protection/>
    </xf>
    <xf numFmtId="0" fontId="106" fillId="36" borderId="38" xfId="0" applyFont="1" applyFill="1" applyBorder="1" applyAlignment="1" applyProtection="1">
      <alignment horizontal="left" vertical="center"/>
      <protection/>
    </xf>
    <xf numFmtId="0" fontId="107" fillId="36" borderId="30" xfId="0" applyFont="1" applyFill="1" applyBorder="1" applyAlignment="1" applyProtection="1">
      <alignment vertical="center"/>
      <protection/>
    </xf>
    <xf numFmtId="0" fontId="90" fillId="36" borderId="30" xfId="0" applyFont="1" applyFill="1" applyBorder="1" applyAlignment="1" applyProtection="1">
      <alignment vertical="center"/>
      <protection/>
    </xf>
    <xf numFmtId="0" fontId="90" fillId="36" borderId="39" xfId="0" applyFont="1" applyFill="1" applyBorder="1" applyAlignment="1" applyProtection="1">
      <alignment vertical="center"/>
      <protection/>
    </xf>
    <xf numFmtId="0" fontId="106" fillId="36" borderId="45" xfId="0" applyFont="1" applyFill="1" applyBorder="1" applyAlignment="1" applyProtection="1">
      <alignment vertical="center"/>
      <protection/>
    </xf>
    <xf numFmtId="0" fontId="107" fillId="36" borderId="0" xfId="0" applyFont="1" applyFill="1" applyBorder="1" applyAlignment="1" applyProtection="1">
      <alignment vertical="center"/>
      <protection/>
    </xf>
    <xf numFmtId="0" fontId="90" fillId="36" borderId="0" xfId="0" applyFont="1" applyFill="1" applyBorder="1" applyAlignment="1" applyProtection="1">
      <alignment vertical="center"/>
      <protection/>
    </xf>
    <xf numFmtId="0" fontId="90" fillId="36" borderId="59" xfId="0" applyFont="1" applyFill="1" applyBorder="1" applyAlignment="1" applyProtection="1">
      <alignment vertical="center"/>
      <protection/>
    </xf>
    <xf numFmtId="0" fontId="90" fillId="36" borderId="26" xfId="0" applyFont="1" applyFill="1" applyBorder="1" applyAlignment="1" applyProtection="1">
      <alignment vertical="center"/>
      <protection/>
    </xf>
    <xf numFmtId="0" fontId="90" fillId="36" borderId="42" xfId="0" applyFont="1" applyFill="1" applyBorder="1" applyAlignment="1" applyProtection="1">
      <alignment vertical="center"/>
      <protection/>
    </xf>
    <xf numFmtId="0" fontId="90" fillId="36" borderId="34" xfId="0" applyFont="1" applyFill="1" applyBorder="1" applyAlignment="1" applyProtection="1">
      <alignment vertical="center"/>
      <protection/>
    </xf>
    <xf numFmtId="0" fontId="4" fillId="33" borderId="0" xfId="0" applyFont="1" applyFill="1" applyAlignment="1" applyProtection="1">
      <alignment vertical="center"/>
      <protection/>
    </xf>
    <xf numFmtId="0" fontId="90" fillId="0" borderId="0" xfId="0" applyFont="1" applyFill="1" applyBorder="1" applyAlignment="1" applyProtection="1">
      <alignment vertical="center"/>
      <protection/>
    </xf>
    <xf numFmtId="0" fontId="107" fillId="0" borderId="0" xfId="0" applyFont="1" applyAlignment="1" applyProtection="1">
      <alignment vertical="center"/>
      <protection/>
    </xf>
    <xf numFmtId="0" fontId="25" fillId="0" borderId="38" xfId="0" applyFont="1" applyBorder="1" applyAlignment="1" applyProtection="1">
      <alignment vertical="center"/>
      <protection/>
    </xf>
    <xf numFmtId="0" fontId="90" fillId="0" borderId="39" xfId="0" applyFont="1" applyBorder="1" applyAlignment="1" applyProtection="1">
      <alignment vertical="center"/>
      <protection/>
    </xf>
    <xf numFmtId="0" fontId="25" fillId="0" borderId="45" xfId="0" applyFont="1" applyBorder="1" applyAlignment="1" applyProtection="1">
      <alignment vertical="center"/>
      <protection/>
    </xf>
    <xf numFmtId="0" fontId="90" fillId="0" borderId="59" xfId="0" applyFont="1" applyBorder="1" applyAlignment="1" applyProtection="1">
      <alignment vertical="center"/>
      <protection/>
    </xf>
    <xf numFmtId="0" fontId="25" fillId="0" borderId="26" xfId="0" applyFont="1" applyBorder="1" applyAlignment="1" applyProtection="1">
      <alignment vertical="center"/>
      <protection/>
    </xf>
    <xf numFmtId="0" fontId="25" fillId="0" borderId="0" xfId="0" applyFont="1" applyAlignment="1" applyProtection="1">
      <alignment vertical="center"/>
      <protection/>
    </xf>
    <xf numFmtId="0" fontId="90" fillId="0" borderId="34" xfId="0" applyFont="1" applyBorder="1" applyAlignment="1" applyProtection="1">
      <alignment vertical="center"/>
      <protection/>
    </xf>
    <xf numFmtId="0" fontId="106" fillId="36" borderId="38" xfId="0" applyFont="1" applyFill="1" applyBorder="1" applyAlignment="1" applyProtection="1">
      <alignment horizontal="center" vertical="center"/>
      <protection/>
    </xf>
    <xf numFmtId="0" fontId="106" fillId="36" borderId="30" xfId="0" applyFont="1" applyFill="1" applyBorder="1" applyAlignment="1" applyProtection="1">
      <alignment horizontal="center" vertical="center"/>
      <protection/>
    </xf>
    <xf numFmtId="0" fontId="106" fillId="36" borderId="39" xfId="0" applyFont="1" applyFill="1" applyBorder="1" applyAlignment="1" applyProtection="1">
      <alignment horizontal="center" vertical="center"/>
      <protection/>
    </xf>
    <xf numFmtId="0" fontId="106" fillId="36" borderId="45" xfId="0" applyFont="1" applyFill="1" applyBorder="1" applyAlignment="1" applyProtection="1">
      <alignment horizontal="center" vertical="center"/>
      <protection/>
    </xf>
    <xf numFmtId="0" fontId="106" fillId="36" borderId="0" xfId="0" applyFont="1" applyFill="1" applyBorder="1" applyAlignment="1" applyProtection="1">
      <alignment horizontal="center" vertical="center"/>
      <protection/>
    </xf>
    <xf numFmtId="0" fontId="106" fillId="36" borderId="59" xfId="0" applyFont="1" applyFill="1" applyBorder="1" applyAlignment="1" applyProtection="1">
      <alignment horizontal="center" vertical="center"/>
      <protection/>
    </xf>
    <xf numFmtId="0" fontId="106" fillId="36" borderId="26" xfId="0" applyFont="1" applyFill="1" applyBorder="1" applyAlignment="1" applyProtection="1">
      <alignment horizontal="center" vertical="center"/>
      <protection/>
    </xf>
    <xf numFmtId="0" fontId="106" fillId="36" borderId="42" xfId="0" applyFont="1" applyFill="1" applyBorder="1" applyAlignment="1" applyProtection="1">
      <alignment horizontal="center" vertical="center"/>
      <protection/>
    </xf>
    <xf numFmtId="0" fontId="108" fillId="36" borderId="34" xfId="0" applyFont="1" applyFill="1" applyBorder="1" applyAlignment="1" applyProtection="1">
      <alignment horizontal="center" vertical="center"/>
      <protection/>
    </xf>
    <xf numFmtId="0" fontId="109" fillId="0" borderId="0" xfId="0" applyFont="1" applyAlignment="1" applyProtection="1">
      <alignment vertical="center"/>
      <protection/>
    </xf>
    <xf numFmtId="0" fontId="90" fillId="0" borderId="0" xfId="0" applyFont="1" applyAlignment="1" applyProtection="1">
      <alignment horizontal="left" vertical="center"/>
      <protection/>
    </xf>
    <xf numFmtId="0" fontId="110" fillId="33" borderId="0" xfId="0" applyFont="1" applyFill="1" applyAlignment="1" applyProtection="1">
      <alignment vertical="center"/>
      <protection/>
    </xf>
    <xf numFmtId="0" fontId="91" fillId="0" borderId="0" xfId="0" applyFont="1" applyBorder="1" applyAlignment="1" applyProtection="1">
      <alignment vertical="center"/>
      <protection/>
    </xf>
    <xf numFmtId="0" fontId="90" fillId="0" borderId="0" xfId="0" applyFont="1" applyBorder="1" applyAlignment="1" applyProtection="1">
      <alignment horizontal="center" vertical="center"/>
      <protection/>
    </xf>
    <xf numFmtId="0" fontId="79" fillId="0" borderId="0" xfId="0" applyFont="1" applyAlignment="1" applyProtection="1">
      <alignment vertical="center"/>
      <protection/>
    </xf>
    <xf numFmtId="0" fontId="109" fillId="0" borderId="0" xfId="0" applyFont="1" applyBorder="1" applyAlignment="1" applyProtection="1">
      <alignment vertical="center"/>
      <protection/>
    </xf>
    <xf numFmtId="0" fontId="100" fillId="0" borderId="0" xfId="0" applyFont="1" applyBorder="1" applyAlignment="1" applyProtection="1">
      <alignment vertical="center"/>
      <protection/>
    </xf>
    <xf numFmtId="0" fontId="100" fillId="0" borderId="0" xfId="0" applyFont="1" applyBorder="1" applyAlignment="1" applyProtection="1">
      <alignment horizontal="center" vertical="center"/>
      <protection/>
    </xf>
    <xf numFmtId="0" fontId="100" fillId="0" borderId="0" xfId="0" applyFont="1" applyFill="1" applyBorder="1" applyAlignment="1" applyProtection="1">
      <alignment vertical="center"/>
      <protection/>
    </xf>
    <xf numFmtId="0" fontId="75" fillId="37" borderId="38" xfId="44" applyFont="1" applyFill="1" applyBorder="1" applyAlignment="1" applyProtection="1">
      <alignment horizontal="left" vertical="center" indent="1"/>
      <protection/>
    </xf>
    <xf numFmtId="0" fontId="100" fillId="37" borderId="30" xfId="0" applyFont="1" applyFill="1" applyBorder="1" applyAlignment="1" applyProtection="1">
      <alignment vertical="center"/>
      <protection/>
    </xf>
    <xf numFmtId="0" fontId="90" fillId="37" borderId="39" xfId="0" applyFont="1" applyFill="1" applyBorder="1" applyAlignment="1" applyProtection="1">
      <alignment vertical="center"/>
      <protection/>
    </xf>
    <xf numFmtId="0" fontId="75" fillId="37" borderId="45" xfId="44" applyFont="1" applyFill="1" applyBorder="1" applyAlignment="1" applyProtection="1">
      <alignment horizontal="left" vertical="center" indent="1"/>
      <protection/>
    </xf>
    <xf numFmtId="0" fontId="100" fillId="37" borderId="0" xfId="0" applyFont="1" applyFill="1" applyBorder="1" applyAlignment="1" applyProtection="1">
      <alignment vertical="center"/>
      <protection/>
    </xf>
    <xf numFmtId="0" fontId="90" fillId="37" borderId="59" xfId="0" applyFont="1" applyFill="1" applyBorder="1" applyAlignment="1" applyProtection="1">
      <alignment vertical="center"/>
      <protection/>
    </xf>
    <xf numFmtId="0" fontId="75" fillId="38" borderId="45" xfId="44" applyFont="1" applyFill="1" applyBorder="1" applyAlignment="1" applyProtection="1">
      <alignment horizontal="left" vertical="center" indent="1"/>
      <protection/>
    </xf>
    <xf numFmtId="0" fontId="75" fillId="38" borderId="0" xfId="44" applyFont="1" applyFill="1" applyBorder="1" applyAlignment="1" applyProtection="1">
      <alignment vertical="center"/>
      <protection/>
    </xf>
    <xf numFmtId="0" fontId="100" fillId="38" borderId="0" xfId="0" applyFont="1" applyFill="1" applyBorder="1" applyAlignment="1" applyProtection="1">
      <alignment vertical="center"/>
      <protection/>
    </xf>
    <xf numFmtId="0" fontId="90" fillId="38" borderId="59" xfId="0" applyFont="1" applyFill="1" applyBorder="1" applyAlignment="1" applyProtection="1">
      <alignment vertical="center"/>
      <protection/>
    </xf>
    <xf numFmtId="0" fontId="75" fillId="38" borderId="26" xfId="44" applyFont="1" applyFill="1" applyBorder="1" applyAlignment="1" applyProtection="1">
      <alignment horizontal="left" vertical="center" indent="1"/>
      <protection/>
    </xf>
    <xf numFmtId="0" fontId="75" fillId="38" borderId="42" xfId="44" applyFont="1" applyFill="1" applyBorder="1" applyAlignment="1" applyProtection="1">
      <alignment vertical="center"/>
      <protection/>
    </xf>
    <xf numFmtId="0" fontId="100" fillId="38" borderId="42" xfId="0" applyFont="1" applyFill="1" applyBorder="1" applyAlignment="1" applyProtection="1">
      <alignment vertical="center"/>
      <protection/>
    </xf>
    <xf numFmtId="0" fontId="90" fillId="38" borderId="34" xfId="0" applyFont="1" applyFill="1" applyBorder="1" applyAlignment="1" applyProtection="1">
      <alignment vertical="center"/>
      <protection/>
    </xf>
    <xf numFmtId="0" fontId="4" fillId="0" borderId="0" xfId="0" applyFont="1" applyAlignment="1" applyProtection="1">
      <alignment vertical="center"/>
      <protection/>
    </xf>
    <xf numFmtId="0" fontId="111" fillId="0" borderId="0" xfId="0" applyFont="1" applyBorder="1" applyAlignment="1" applyProtection="1">
      <alignment vertical="center"/>
      <protection/>
    </xf>
    <xf numFmtId="0" fontId="91" fillId="0" borderId="0" xfId="0" applyFont="1" applyAlignment="1" applyProtection="1">
      <alignment horizontal="left" vertical="center"/>
      <protection/>
    </xf>
    <xf numFmtId="0" fontId="3" fillId="0" borderId="0" xfId="0" applyFont="1" applyAlignment="1" applyProtection="1">
      <alignment horizontal="left" vertical="center"/>
      <protection/>
    </xf>
    <xf numFmtId="0" fontId="3" fillId="0" borderId="0" xfId="0" applyFont="1" applyAlignment="1" applyProtection="1">
      <alignment vertical="center"/>
      <protection/>
    </xf>
    <xf numFmtId="38" fontId="8" fillId="0" borderId="0" xfId="53" applyFont="1" applyFill="1" applyBorder="1" applyAlignment="1" applyProtection="1">
      <alignment vertical="top" wrapText="1"/>
      <protection/>
    </xf>
    <xf numFmtId="0" fontId="7" fillId="0" borderId="0" xfId="0" applyFont="1" applyFill="1" applyAlignment="1" applyProtection="1">
      <alignment vertical="center"/>
      <protection/>
    </xf>
    <xf numFmtId="0" fontId="7" fillId="0" borderId="0" xfId="0" applyFont="1" applyAlignment="1" applyProtection="1">
      <alignment vertical="center"/>
      <protection/>
    </xf>
    <xf numFmtId="0" fontId="4" fillId="0" borderId="0" xfId="0" applyFont="1" applyBorder="1" applyAlignment="1" applyProtection="1">
      <alignment horizontal="center" vertical="center"/>
      <protection locked="0"/>
    </xf>
    <xf numFmtId="0" fontId="7" fillId="0" borderId="0" xfId="0" applyFont="1" applyAlignment="1" applyProtection="1">
      <alignment horizontal="left" vertical="center"/>
      <protection locked="0"/>
    </xf>
    <xf numFmtId="0" fontId="11" fillId="0" borderId="0" xfId="0" applyFont="1" applyBorder="1" applyAlignment="1" applyProtection="1">
      <alignment vertical="center"/>
      <protection locked="0"/>
    </xf>
    <xf numFmtId="0" fontId="0" fillId="0" borderId="14" xfId="0" applyBorder="1" applyAlignment="1">
      <alignment horizontal="center" vertical="center"/>
    </xf>
    <xf numFmtId="0" fontId="0" fillId="0" borderId="53" xfId="0" applyBorder="1" applyAlignment="1">
      <alignment horizontal="center" vertical="center"/>
    </xf>
    <xf numFmtId="0" fontId="4" fillId="0" borderId="14" xfId="0" applyFont="1" applyBorder="1" applyAlignment="1" applyProtection="1">
      <alignment vertical="center"/>
      <protection/>
    </xf>
    <xf numFmtId="0" fontId="4" fillId="0" borderId="53" xfId="0" applyFont="1" applyBorder="1" applyAlignment="1" applyProtection="1">
      <alignment vertical="center"/>
      <protection/>
    </xf>
    <xf numFmtId="38" fontId="90" fillId="36" borderId="14" xfId="50" applyFont="1" applyFill="1" applyBorder="1" applyAlignment="1" applyProtection="1">
      <alignment vertical="center" shrinkToFit="1"/>
      <protection locked="0"/>
    </xf>
    <xf numFmtId="38" fontId="90" fillId="36" borderId="53" xfId="50" applyFont="1" applyFill="1" applyBorder="1" applyAlignment="1" applyProtection="1">
      <alignment vertical="center" shrinkToFit="1"/>
      <protection locked="0"/>
    </xf>
    <xf numFmtId="189" fontId="4" fillId="36" borderId="14" xfId="0" applyNumberFormat="1" applyFont="1" applyFill="1" applyBorder="1" applyAlignment="1" applyProtection="1">
      <alignment vertical="center" shrinkToFit="1"/>
      <protection locked="0"/>
    </xf>
    <xf numFmtId="189" fontId="4" fillId="36" borderId="76" xfId="0" applyNumberFormat="1" applyFont="1" applyFill="1" applyBorder="1" applyAlignment="1" applyProtection="1">
      <alignment vertical="center" shrinkToFit="1"/>
      <protection locked="0"/>
    </xf>
    <xf numFmtId="189" fontId="4" fillId="36" borderId="53" xfId="0" applyNumberFormat="1" applyFont="1" applyFill="1" applyBorder="1" applyAlignment="1" applyProtection="1">
      <alignment vertical="center" shrinkToFit="1"/>
      <protection locked="0"/>
    </xf>
    <xf numFmtId="0" fontId="4" fillId="36" borderId="12" xfId="0" applyFont="1" applyFill="1" applyBorder="1" applyAlignment="1" applyProtection="1">
      <alignment horizontal="center" vertical="center"/>
      <protection/>
    </xf>
    <xf numFmtId="0" fontId="106" fillId="36" borderId="12" xfId="0" applyFont="1" applyFill="1" applyBorder="1" applyAlignment="1" applyProtection="1">
      <alignment horizontal="center" vertical="center"/>
      <protection/>
    </xf>
    <xf numFmtId="0" fontId="106" fillId="36" borderId="40" xfId="0" applyFont="1" applyFill="1" applyBorder="1" applyAlignment="1" applyProtection="1">
      <alignment horizontal="center" vertical="center"/>
      <protection/>
    </xf>
    <xf numFmtId="0" fontId="106" fillId="36" borderId="44" xfId="0" applyFont="1" applyFill="1" applyBorder="1" applyAlignment="1" applyProtection="1">
      <alignment horizontal="center" vertical="center"/>
      <protection/>
    </xf>
    <xf numFmtId="0" fontId="106" fillId="36" borderId="19" xfId="0" applyFont="1" applyFill="1" applyBorder="1" applyAlignment="1" applyProtection="1">
      <alignment horizontal="center" vertical="center"/>
      <protection/>
    </xf>
    <xf numFmtId="0" fontId="90" fillId="0" borderId="78" xfId="0" applyFont="1" applyBorder="1" applyAlignment="1" applyProtection="1">
      <alignment vertical="center"/>
      <protection/>
    </xf>
    <xf numFmtId="0" fontId="0" fillId="0" borderId="79" xfId="0" applyBorder="1" applyAlignment="1" applyProtection="1">
      <alignment vertical="center"/>
      <protection/>
    </xf>
    <xf numFmtId="0" fontId="0" fillId="0" borderId="80" xfId="0" applyBorder="1" applyAlignment="1" applyProtection="1">
      <alignment vertical="center"/>
      <protection/>
    </xf>
    <xf numFmtId="203" fontId="19" fillId="0" borderId="30" xfId="0" applyNumberFormat="1" applyFont="1" applyFill="1" applyBorder="1" applyAlignment="1" applyProtection="1">
      <alignment horizontal="right" vertical="center"/>
      <protection/>
    </xf>
    <xf numFmtId="0" fontId="10" fillId="0" borderId="36" xfId="0" applyFont="1" applyFill="1" applyBorder="1" applyAlignment="1" applyProtection="1">
      <alignment vertical="center" wrapText="1"/>
      <protection/>
    </xf>
    <xf numFmtId="0" fontId="10" fillId="0" borderId="43" xfId="0" applyFont="1" applyFill="1" applyBorder="1" applyAlignment="1" applyProtection="1">
      <alignment vertical="center" wrapText="1"/>
      <protection/>
    </xf>
    <xf numFmtId="0" fontId="112" fillId="0" borderId="0" xfId="0" applyFont="1" applyBorder="1" applyAlignment="1" applyProtection="1">
      <alignment horizontal="center" vertical="center"/>
      <protection/>
    </xf>
    <xf numFmtId="0" fontId="19" fillId="0" borderId="12" xfId="0" applyFont="1" applyFill="1" applyBorder="1" applyAlignment="1" applyProtection="1">
      <alignment horizontal="center" vertical="center" wrapText="1"/>
      <protection/>
    </xf>
    <xf numFmtId="0" fontId="7" fillId="0" borderId="38" xfId="0" applyFont="1" applyBorder="1" applyAlignment="1" applyProtection="1">
      <alignment horizontal="center" vertical="center" wrapText="1"/>
      <protection/>
    </xf>
    <xf numFmtId="0" fontId="7" fillId="0" borderId="39" xfId="0" applyFont="1" applyBorder="1" applyAlignment="1" applyProtection="1">
      <alignment horizontal="center" vertical="center" wrapText="1"/>
      <protection/>
    </xf>
    <xf numFmtId="0" fontId="27" fillId="0" borderId="14" xfId="0" applyFont="1" applyBorder="1" applyAlignment="1" applyProtection="1">
      <alignment horizontal="center" vertical="center" wrapText="1"/>
      <protection locked="0"/>
    </xf>
    <xf numFmtId="0" fontId="27" fillId="0" borderId="76" xfId="0" applyFont="1" applyBorder="1" applyAlignment="1" applyProtection="1">
      <alignment horizontal="center" vertical="center" wrapText="1"/>
      <protection locked="0"/>
    </xf>
    <xf numFmtId="0" fontId="27" fillId="0" borderId="53" xfId="0" applyFont="1" applyBorder="1" applyAlignment="1" applyProtection="1">
      <alignment horizontal="center" vertical="center" wrapText="1"/>
      <protection locked="0"/>
    </xf>
    <xf numFmtId="0" fontId="27" fillId="0" borderId="40" xfId="0" applyFont="1" applyBorder="1" applyAlignment="1" applyProtection="1">
      <alignment horizontal="center" vertical="center" wrapText="1"/>
      <protection locked="0"/>
    </xf>
    <xf numFmtId="0" fontId="27" fillId="0" borderId="44" xfId="0" applyFont="1" applyBorder="1" applyAlignment="1" applyProtection="1">
      <alignment horizontal="center" vertical="center" wrapText="1"/>
      <protection locked="0"/>
    </xf>
    <xf numFmtId="0" fontId="27" fillId="0" borderId="19" xfId="0" applyFont="1" applyBorder="1" applyAlignment="1" applyProtection="1">
      <alignment horizontal="center" vertical="center" wrapText="1"/>
      <protection locked="0"/>
    </xf>
    <xf numFmtId="0" fontId="104" fillId="0" borderId="14" xfId="0" applyFont="1" applyBorder="1" applyAlignment="1" applyProtection="1">
      <alignment horizontal="center" vertical="center"/>
      <protection/>
    </xf>
    <xf numFmtId="0" fontId="104" fillId="0" borderId="53" xfId="0" applyFont="1" applyBorder="1" applyAlignment="1" applyProtection="1">
      <alignment horizontal="center" vertical="center"/>
      <protection/>
    </xf>
    <xf numFmtId="0" fontId="104" fillId="0" borderId="38" xfId="0" applyFont="1" applyBorder="1" applyAlignment="1" applyProtection="1">
      <alignment horizontal="center" vertical="center"/>
      <protection/>
    </xf>
    <xf numFmtId="0" fontId="104" fillId="0" borderId="39" xfId="0" applyFont="1" applyBorder="1" applyAlignment="1" applyProtection="1">
      <alignment horizontal="center" vertical="center"/>
      <protection/>
    </xf>
    <xf numFmtId="0" fontId="104" fillId="0" borderId="45" xfId="0" applyFont="1" applyBorder="1" applyAlignment="1" applyProtection="1">
      <alignment horizontal="center" vertical="center"/>
      <protection/>
    </xf>
    <xf numFmtId="0" fontId="104" fillId="0" borderId="59" xfId="0" applyFont="1" applyBorder="1" applyAlignment="1" applyProtection="1">
      <alignment horizontal="center" vertical="center"/>
      <protection/>
    </xf>
    <xf numFmtId="0" fontId="104" fillId="0" borderId="26" xfId="0" applyFont="1" applyBorder="1" applyAlignment="1" applyProtection="1">
      <alignment horizontal="center" vertical="center"/>
      <protection/>
    </xf>
    <xf numFmtId="0" fontId="104" fillId="0" borderId="34" xfId="0" applyFont="1" applyBorder="1" applyAlignment="1" applyProtection="1">
      <alignment horizontal="center" vertical="center"/>
      <protection/>
    </xf>
    <xf numFmtId="0" fontId="104" fillId="0" borderId="38" xfId="0" applyFont="1" applyBorder="1" applyAlignment="1" applyProtection="1">
      <alignment vertical="center" shrinkToFit="1"/>
      <protection/>
    </xf>
    <xf numFmtId="0" fontId="0" fillId="0" borderId="39" xfId="0" applyBorder="1" applyAlignment="1">
      <alignment vertical="center" shrinkToFit="1"/>
    </xf>
    <xf numFmtId="0" fontId="10" fillId="0" borderId="35" xfId="0" applyFont="1" applyFill="1" applyBorder="1" applyAlignment="1" applyProtection="1">
      <alignment vertical="center" wrapText="1"/>
      <protection/>
    </xf>
    <xf numFmtId="0" fontId="10" fillId="0" borderId="41" xfId="0" applyFont="1" applyFill="1" applyBorder="1" applyAlignment="1" applyProtection="1">
      <alignment vertical="center" wrapText="1"/>
      <protection/>
    </xf>
    <xf numFmtId="0" fontId="17" fillId="0" borderId="81" xfId="0" applyFont="1" applyFill="1" applyBorder="1" applyAlignment="1" applyProtection="1">
      <alignment horizontal="center" vertical="center" wrapText="1"/>
      <protection/>
    </xf>
    <xf numFmtId="0" fontId="17" fillId="0" borderId="76" xfId="0" applyFont="1" applyFill="1" applyBorder="1" applyAlignment="1" applyProtection="1">
      <alignment horizontal="center" vertical="center" wrapText="1"/>
      <protection/>
    </xf>
    <xf numFmtId="0" fontId="17" fillId="0" borderId="53" xfId="0" applyFont="1" applyFill="1" applyBorder="1" applyAlignment="1" applyProtection="1">
      <alignment horizontal="center" vertical="center" wrapText="1"/>
      <protection/>
    </xf>
    <xf numFmtId="0" fontId="5" fillId="39" borderId="40" xfId="0" applyFont="1" applyFill="1" applyBorder="1" applyAlignment="1" applyProtection="1">
      <alignment horizontal="center" vertical="center" textRotation="255"/>
      <protection/>
    </xf>
    <xf numFmtId="0" fontId="5" fillId="39" borderId="44" xfId="0" applyFont="1" applyFill="1" applyBorder="1" applyAlignment="1" applyProtection="1">
      <alignment horizontal="center" vertical="center" textRotation="255"/>
      <protection/>
    </xf>
    <xf numFmtId="0" fontId="5" fillId="39" borderId="19" xfId="0" applyFont="1" applyFill="1" applyBorder="1" applyAlignment="1" applyProtection="1">
      <alignment horizontal="center" vertical="center" textRotation="255"/>
      <protection/>
    </xf>
    <xf numFmtId="195" fontId="19" fillId="0" borderId="26" xfId="50" applyNumberFormat="1" applyFont="1" applyFill="1" applyBorder="1" applyAlignment="1" applyProtection="1">
      <alignment vertical="center" wrapText="1"/>
      <protection/>
    </xf>
    <xf numFmtId="195" fontId="19" fillId="0" borderId="42" xfId="50" applyNumberFormat="1" applyFont="1" applyFill="1" applyBorder="1" applyAlignment="1" applyProtection="1">
      <alignment vertical="center" wrapText="1"/>
      <protection/>
    </xf>
    <xf numFmtId="195" fontId="19" fillId="0" borderId="34" xfId="50" applyNumberFormat="1" applyFont="1" applyFill="1" applyBorder="1" applyAlignment="1" applyProtection="1">
      <alignment vertical="center" wrapText="1"/>
      <protection/>
    </xf>
    <xf numFmtId="3" fontId="10" fillId="0" borderId="36" xfId="0" applyNumberFormat="1" applyFont="1" applyFill="1" applyBorder="1" applyAlignment="1" applyProtection="1">
      <alignment vertical="center"/>
      <protection/>
    </xf>
    <xf numFmtId="3" fontId="10" fillId="0" borderId="82" xfId="0" applyNumberFormat="1" applyFont="1" applyFill="1" applyBorder="1" applyAlignment="1" applyProtection="1">
      <alignment vertical="center"/>
      <protection/>
    </xf>
    <xf numFmtId="0" fontId="17" fillId="0" borderId="76" xfId="0" applyFont="1" applyFill="1" applyBorder="1" applyAlignment="1" applyProtection="1">
      <alignment horizontal="center" vertical="center"/>
      <protection/>
    </xf>
    <xf numFmtId="0" fontId="17" fillId="0" borderId="53" xfId="0" applyFont="1" applyFill="1" applyBorder="1" applyAlignment="1" applyProtection="1">
      <alignment horizontal="center" vertical="center"/>
      <protection/>
    </xf>
    <xf numFmtId="0" fontId="17" fillId="0" borderId="12" xfId="0" applyFont="1" applyFill="1" applyBorder="1" applyAlignment="1" applyProtection="1">
      <alignment horizontal="center" vertical="center" wrapText="1"/>
      <protection/>
    </xf>
    <xf numFmtId="0" fontId="17" fillId="0" borderId="54" xfId="0" applyFont="1" applyFill="1" applyBorder="1" applyAlignment="1" applyProtection="1">
      <alignment horizontal="center" vertical="center" wrapText="1"/>
      <protection/>
    </xf>
    <xf numFmtId="0" fontId="17" fillId="0" borderId="83" xfId="0" applyFont="1" applyFill="1" applyBorder="1" applyAlignment="1" applyProtection="1">
      <alignment horizontal="center" vertical="center" wrapText="1"/>
      <protection/>
    </xf>
    <xf numFmtId="0" fontId="17" fillId="0" borderId="84" xfId="0" applyFont="1" applyFill="1" applyBorder="1" applyAlignment="1" applyProtection="1">
      <alignment horizontal="center" vertical="center" wrapText="1"/>
      <protection/>
    </xf>
    <xf numFmtId="0" fontId="17" fillId="0" borderId="14" xfId="0" applyFont="1" applyFill="1" applyBorder="1" applyAlignment="1" applyProtection="1">
      <alignment horizontal="center" vertical="center" wrapText="1"/>
      <protection/>
    </xf>
    <xf numFmtId="0" fontId="113" fillId="0" borderId="0" xfId="0" applyFont="1" applyAlignment="1" applyProtection="1">
      <alignment horizontal="right" vertical="center"/>
      <protection/>
    </xf>
    <xf numFmtId="0" fontId="114" fillId="0" borderId="0" xfId="0" applyFont="1" applyBorder="1" applyAlignment="1" applyProtection="1">
      <alignment vertical="center" wrapText="1" shrinkToFit="1"/>
      <protection/>
    </xf>
    <xf numFmtId="9" fontId="10" fillId="0" borderId="36" xfId="0" applyNumberFormat="1" applyFont="1" applyFill="1" applyBorder="1" applyAlignment="1" applyProtection="1">
      <alignment horizontal="center" vertical="center"/>
      <protection/>
    </xf>
    <xf numFmtId="9" fontId="10" fillId="0" borderId="82" xfId="0" applyNumberFormat="1" applyFont="1" applyFill="1" applyBorder="1" applyAlignment="1" applyProtection="1">
      <alignment horizontal="center" vertical="center"/>
      <protection/>
    </xf>
    <xf numFmtId="9" fontId="10" fillId="0" borderId="77" xfId="0" applyNumberFormat="1" applyFont="1" applyFill="1" applyBorder="1" applyAlignment="1" applyProtection="1">
      <alignment horizontal="center" vertical="center"/>
      <protection/>
    </xf>
    <xf numFmtId="0" fontId="10" fillId="0" borderId="36" xfId="0" applyNumberFormat="1" applyFont="1" applyFill="1" applyBorder="1" applyAlignment="1" applyProtection="1">
      <alignment horizontal="center" vertical="center"/>
      <protection/>
    </xf>
    <xf numFmtId="0" fontId="10" fillId="0" borderId="82" xfId="0" applyNumberFormat="1" applyFont="1" applyFill="1" applyBorder="1" applyAlignment="1" applyProtection="1">
      <alignment horizontal="center" vertical="center"/>
      <protection/>
    </xf>
    <xf numFmtId="0" fontId="10" fillId="0" borderId="77" xfId="0" applyNumberFormat="1" applyFont="1" applyFill="1" applyBorder="1" applyAlignment="1" applyProtection="1">
      <alignment horizontal="center" vertical="center"/>
      <protection/>
    </xf>
    <xf numFmtId="0" fontId="5" fillId="39" borderId="40" xfId="0" applyFont="1" applyFill="1" applyBorder="1" applyAlignment="1" applyProtection="1">
      <alignment horizontal="center" vertical="center"/>
      <protection/>
    </xf>
    <xf numFmtId="0" fontId="5" fillId="39" borderId="44" xfId="0" applyFont="1" applyFill="1" applyBorder="1" applyAlignment="1" applyProtection="1">
      <alignment horizontal="center" vertical="center"/>
      <protection/>
    </xf>
    <xf numFmtId="0" fontId="5" fillId="39" borderId="19" xfId="0" applyFont="1" applyFill="1" applyBorder="1" applyAlignment="1" applyProtection="1">
      <alignment horizontal="center" vertical="center"/>
      <protection/>
    </xf>
    <xf numFmtId="0" fontId="16" fillId="0" borderId="38" xfId="0" applyFont="1" applyFill="1" applyBorder="1" applyAlignment="1" applyProtection="1">
      <alignment vertical="center"/>
      <protection/>
    </xf>
    <xf numFmtId="0" fontId="16" fillId="0" borderId="30" xfId="0" applyFont="1" applyFill="1" applyBorder="1" applyAlignment="1" applyProtection="1">
      <alignment vertical="center"/>
      <protection/>
    </xf>
    <xf numFmtId="0" fontId="16" fillId="0" borderId="39" xfId="0" applyFont="1" applyFill="1" applyBorder="1" applyAlignment="1" applyProtection="1">
      <alignment vertical="center"/>
      <protection/>
    </xf>
    <xf numFmtId="0" fontId="16" fillId="0" borderId="26" xfId="0" applyFont="1" applyBorder="1" applyAlignment="1" applyProtection="1">
      <alignment vertical="center" shrinkToFit="1"/>
      <protection/>
    </xf>
    <xf numFmtId="0" fontId="16" fillId="0" borderId="42" xfId="0" applyFont="1" applyBorder="1" applyAlignment="1" applyProtection="1">
      <alignment vertical="center" shrinkToFit="1"/>
      <protection/>
    </xf>
    <xf numFmtId="0" fontId="16" fillId="0" borderId="34" xfId="0" applyFont="1" applyBorder="1" applyAlignment="1" applyProtection="1">
      <alignment vertical="center" shrinkToFit="1"/>
      <protection/>
    </xf>
    <xf numFmtId="0" fontId="22" fillId="33" borderId="40" xfId="0" applyFont="1" applyFill="1" applyBorder="1" applyAlignment="1" applyProtection="1">
      <alignment horizontal="center" vertical="center"/>
      <protection/>
    </xf>
    <xf numFmtId="0" fontId="22" fillId="33" borderId="19" xfId="0" applyFont="1" applyFill="1" applyBorder="1" applyAlignment="1" applyProtection="1">
      <alignment horizontal="center" vertical="center"/>
      <protection/>
    </xf>
    <xf numFmtId="0" fontId="10" fillId="0" borderId="85" xfId="0" applyFont="1" applyFill="1" applyBorder="1" applyAlignment="1" applyProtection="1">
      <alignment horizontal="center" vertical="center"/>
      <protection/>
    </xf>
    <xf numFmtId="0" fontId="10" fillId="0" borderId="86" xfId="0" applyFont="1" applyFill="1" applyBorder="1" applyAlignment="1" applyProtection="1">
      <alignment horizontal="center" vertical="center"/>
      <protection/>
    </xf>
    <xf numFmtId="0" fontId="10" fillId="0" borderId="87" xfId="0" applyFont="1" applyFill="1" applyBorder="1" applyAlignment="1" applyProtection="1">
      <alignment horizontal="center" vertical="center"/>
      <protection/>
    </xf>
    <xf numFmtId="0" fontId="10" fillId="6" borderId="40" xfId="0" applyFont="1" applyFill="1" applyBorder="1" applyAlignment="1" applyProtection="1">
      <alignment horizontal="center" vertical="center"/>
      <protection/>
    </xf>
    <xf numFmtId="0" fontId="10" fillId="6" borderId="44" xfId="0" applyFont="1" applyFill="1" applyBorder="1" applyAlignment="1" applyProtection="1">
      <alignment horizontal="center" vertical="center"/>
      <protection/>
    </xf>
    <xf numFmtId="0" fontId="10" fillId="6" borderId="19" xfId="0" applyFont="1" applyFill="1" applyBorder="1" applyAlignment="1" applyProtection="1">
      <alignment horizontal="center" vertical="center"/>
      <protection/>
    </xf>
    <xf numFmtId="3" fontId="10" fillId="0" borderId="88" xfId="0" applyNumberFormat="1" applyFont="1" applyFill="1" applyBorder="1" applyAlignment="1" applyProtection="1">
      <alignment vertical="center"/>
      <protection/>
    </xf>
    <xf numFmtId="3" fontId="10" fillId="0" borderId="89" xfId="0" applyNumberFormat="1" applyFont="1" applyFill="1" applyBorder="1" applyAlignment="1" applyProtection="1">
      <alignment vertical="center"/>
      <protection/>
    </xf>
    <xf numFmtId="0" fontId="24" fillId="33" borderId="90" xfId="0" applyFont="1" applyFill="1" applyBorder="1" applyAlignment="1" applyProtection="1">
      <alignment horizontal="center" vertical="center"/>
      <protection/>
    </xf>
    <xf numFmtId="0" fontId="24" fillId="33" borderId="91" xfId="0" applyFont="1" applyFill="1" applyBorder="1" applyAlignment="1" applyProtection="1">
      <alignment horizontal="center" vertical="center"/>
      <protection/>
    </xf>
    <xf numFmtId="0" fontId="24" fillId="33" borderId="92" xfId="0" applyFont="1" applyFill="1" applyBorder="1" applyAlignment="1" applyProtection="1">
      <alignment horizontal="center" vertical="center"/>
      <protection/>
    </xf>
    <xf numFmtId="0" fontId="16" fillId="6" borderId="90" xfId="0" applyFont="1" applyFill="1" applyBorder="1" applyAlignment="1" applyProtection="1">
      <alignment horizontal="center" vertical="center" textRotation="255"/>
      <protection/>
    </xf>
    <xf numFmtId="0" fontId="16" fillId="6" borderId="91" xfId="0" applyFont="1" applyFill="1" applyBorder="1" applyAlignment="1" applyProtection="1">
      <alignment horizontal="center" vertical="center" textRotation="255"/>
      <protection/>
    </xf>
    <xf numFmtId="0" fontId="16" fillId="6" borderId="92" xfId="0" applyFont="1" applyFill="1" applyBorder="1" applyAlignment="1" applyProtection="1">
      <alignment horizontal="center" vertical="center" textRotation="255"/>
      <protection/>
    </xf>
    <xf numFmtId="0" fontId="21" fillId="33" borderId="40" xfId="0" applyFont="1" applyFill="1" applyBorder="1" applyAlignment="1" applyProtection="1">
      <alignment horizontal="center" vertical="center"/>
      <protection/>
    </xf>
    <xf numFmtId="0" fontId="21" fillId="33" borderId="19" xfId="0" applyFont="1" applyFill="1" applyBorder="1" applyAlignment="1" applyProtection="1">
      <alignment horizontal="center" vertical="center"/>
      <protection/>
    </xf>
    <xf numFmtId="196" fontId="19" fillId="0" borderId="26" xfId="50" applyNumberFormat="1" applyFont="1" applyFill="1" applyBorder="1" applyAlignment="1" applyProtection="1">
      <alignment vertical="center" wrapText="1"/>
      <protection/>
    </xf>
    <xf numFmtId="196" fontId="19" fillId="0" borderId="42" xfId="50" applyNumberFormat="1" applyFont="1" applyFill="1" applyBorder="1" applyAlignment="1" applyProtection="1">
      <alignment vertical="center" wrapText="1"/>
      <protection/>
    </xf>
    <xf numFmtId="196" fontId="19" fillId="0" borderId="34" xfId="50" applyNumberFormat="1" applyFont="1" applyFill="1" applyBorder="1" applyAlignment="1" applyProtection="1">
      <alignment vertical="center" wrapText="1"/>
      <protection/>
    </xf>
    <xf numFmtId="0" fontId="5" fillId="39" borderId="93" xfId="0" applyFont="1" applyFill="1" applyBorder="1" applyAlignment="1" applyProtection="1">
      <alignment horizontal="center" vertical="center"/>
      <protection/>
    </xf>
    <xf numFmtId="0" fontId="5" fillId="39" borderId="94" xfId="0" applyFont="1" applyFill="1" applyBorder="1" applyAlignment="1" applyProtection="1">
      <alignment horizontal="center" vertical="center"/>
      <protection/>
    </xf>
    <xf numFmtId="0" fontId="5" fillId="39" borderId="95" xfId="0" applyFont="1" applyFill="1" applyBorder="1" applyAlignment="1" applyProtection="1">
      <alignment horizontal="center" vertical="center"/>
      <protection/>
    </xf>
    <xf numFmtId="190" fontId="16" fillId="0" borderId="38" xfId="0" applyNumberFormat="1" applyFont="1" applyBorder="1" applyAlignment="1" applyProtection="1">
      <alignment vertical="center" wrapText="1" shrinkToFit="1"/>
      <protection/>
    </xf>
    <xf numFmtId="190" fontId="16" fillId="0" borderId="30" xfId="0" applyNumberFormat="1" applyFont="1" applyBorder="1" applyAlignment="1" applyProtection="1">
      <alignment vertical="center" wrapText="1" shrinkToFit="1"/>
      <protection/>
    </xf>
    <xf numFmtId="190" fontId="16" fillId="0" borderId="39" xfId="0" applyNumberFormat="1" applyFont="1" applyBorder="1" applyAlignment="1" applyProtection="1">
      <alignment vertical="center" wrapText="1" shrinkToFit="1"/>
      <protection/>
    </xf>
    <xf numFmtId="190" fontId="19" fillId="0" borderId="26" xfId="0" applyNumberFormat="1" applyFont="1" applyBorder="1" applyAlignment="1" applyProtection="1">
      <alignment horizontal="center" vertical="center" shrinkToFit="1"/>
      <protection/>
    </xf>
    <xf numFmtId="190" fontId="19" fillId="0" borderId="42" xfId="0" applyNumberFormat="1" applyFont="1" applyBorder="1" applyAlignment="1" applyProtection="1">
      <alignment horizontal="center" vertical="center" shrinkToFit="1"/>
      <protection/>
    </xf>
    <xf numFmtId="190" fontId="19" fillId="0" borderId="34" xfId="0" applyNumberFormat="1" applyFont="1" applyBorder="1" applyAlignment="1" applyProtection="1">
      <alignment horizontal="center" vertical="center" shrinkToFit="1"/>
      <protection/>
    </xf>
    <xf numFmtId="0" fontId="16" fillId="0" borderId="38" xfId="0" applyFont="1" applyBorder="1" applyAlignment="1" applyProtection="1">
      <alignment vertical="center"/>
      <protection/>
    </xf>
    <xf numFmtId="0" fontId="16" fillId="0" borderId="30" xfId="0" applyFont="1" applyBorder="1" applyAlignment="1" applyProtection="1">
      <alignment vertical="center"/>
      <protection/>
    </xf>
    <xf numFmtId="0" fontId="16" fillId="0" borderId="39" xfId="0" applyFont="1" applyBorder="1" applyAlignment="1" applyProtection="1">
      <alignment vertical="center"/>
      <protection/>
    </xf>
    <xf numFmtId="0" fontId="10" fillId="0" borderId="37" xfId="0" applyFont="1" applyFill="1" applyBorder="1" applyAlignment="1" applyProtection="1">
      <alignment vertical="center" wrapText="1"/>
      <protection/>
    </xf>
    <xf numFmtId="0" fontId="10" fillId="0" borderId="46" xfId="0" applyFont="1" applyFill="1" applyBorder="1" applyAlignment="1" applyProtection="1">
      <alignment vertical="center" wrapText="1"/>
      <protection/>
    </xf>
    <xf numFmtId="0" fontId="19" fillId="0" borderId="0" xfId="0" applyFont="1" applyAlignment="1" applyProtection="1">
      <alignment vertical="center"/>
      <protection/>
    </xf>
    <xf numFmtId="0" fontId="10" fillId="0" borderId="40" xfId="0" applyFont="1" applyFill="1" applyBorder="1" applyAlignment="1" applyProtection="1">
      <alignment horizontal="center" vertical="center" wrapText="1"/>
      <protection/>
    </xf>
    <xf numFmtId="0" fontId="10" fillId="0" borderId="44" xfId="0" applyFont="1" applyFill="1" applyBorder="1" applyAlignment="1" applyProtection="1">
      <alignment horizontal="center" vertical="center" wrapText="1"/>
      <protection/>
    </xf>
    <xf numFmtId="0" fontId="10" fillId="0" borderId="19" xfId="0" applyFont="1" applyFill="1" applyBorder="1" applyAlignment="1" applyProtection="1">
      <alignment horizontal="center" vertical="center" wrapText="1"/>
      <protection/>
    </xf>
    <xf numFmtId="0" fontId="9" fillId="0" borderId="42" xfId="0" applyFont="1" applyBorder="1" applyAlignment="1" applyProtection="1">
      <alignment horizontal="right" vertical="center"/>
      <protection/>
    </xf>
    <xf numFmtId="0" fontId="22" fillId="0" borderId="38" xfId="0" applyFont="1" applyBorder="1" applyAlignment="1" applyProtection="1">
      <alignment horizontal="center" vertical="center"/>
      <protection/>
    </xf>
    <xf numFmtId="0" fontId="22" fillId="0" borderId="30" xfId="0" applyFont="1" applyBorder="1" applyAlignment="1" applyProtection="1">
      <alignment horizontal="center" vertical="center"/>
      <protection/>
    </xf>
    <xf numFmtId="0" fontId="22" fillId="0" borderId="39" xfId="0" applyFont="1" applyBorder="1" applyAlignment="1" applyProtection="1">
      <alignment horizontal="center" vertical="center"/>
      <protection/>
    </xf>
    <xf numFmtId="0" fontId="22" fillId="0" borderId="26" xfId="0" applyFont="1" applyBorder="1" applyAlignment="1" applyProtection="1">
      <alignment horizontal="center" vertical="center"/>
      <protection/>
    </xf>
    <xf numFmtId="0" fontId="22" fillId="0" borderId="42" xfId="0" applyFont="1" applyBorder="1" applyAlignment="1" applyProtection="1">
      <alignment horizontal="center" vertical="center"/>
      <protection/>
    </xf>
    <xf numFmtId="0" fontId="22" fillId="0" borderId="34" xfId="0" applyFont="1" applyBorder="1" applyAlignment="1" applyProtection="1">
      <alignment horizontal="center" vertical="center"/>
      <protection/>
    </xf>
    <xf numFmtId="190" fontId="16" fillId="0" borderId="38" xfId="0" applyNumberFormat="1" applyFont="1" applyBorder="1" applyAlignment="1" applyProtection="1">
      <alignment vertical="center" shrinkToFit="1"/>
      <protection/>
    </xf>
    <xf numFmtId="190" fontId="16" fillId="0" borderId="30" xfId="0" applyNumberFormat="1" applyFont="1" applyBorder="1" applyAlignment="1" applyProtection="1">
      <alignment vertical="center" shrinkToFit="1"/>
      <protection/>
    </xf>
    <xf numFmtId="190" fontId="16" fillId="0" borderId="39" xfId="0" applyNumberFormat="1" applyFont="1" applyBorder="1" applyAlignment="1" applyProtection="1">
      <alignment vertical="center" shrinkToFit="1"/>
      <protection/>
    </xf>
    <xf numFmtId="190" fontId="16" fillId="0" borderId="26" xfId="0" applyNumberFormat="1" applyFont="1" applyBorder="1" applyAlignment="1" applyProtection="1">
      <alignment vertical="center" shrinkToFit="1"/>
      <protection/>
    </xf>
    <xf numFmtId="190" fontId="16" fillId="0" borderId="42" xfId="0" applyNumberFormat="1" applyFont="1" applyBorder="1" applyAlignment="1" applyProtection="1">
      <alignment vertical="center" shrinkToFit="1"/>
      <protection/>
    </xf>
    <xf numFmtId="190" fontId="16" fillId="0" borderId="34" xfId="0" applyNumberFormat="1" applyFont="1" applyBorder="1" applyAlignment="1" applyProtection="1">
      <alignment vertical="center" shrinkToFit="1"/>
      <protection/>
    </xf>
    <xf numFmtId="190" fontId="16" fillId="0" borderId="26" xfId="0" applyNumberFormat="1" applyFont="1" applyBorder="1" applyAlignment="1" applyProtection="1">
      <alignment vertical="center" wrapText="1" shrinkToFit="1"/>
      <protection/>
    </xf>
    <xf numFmtId="190" fontId="16" fillId="0" borderId="42" xfId="0" applyNumberFormat="1" applyFont="1" applyBorder="1" applyAlignment="1" applyProtection="1">
      <alignment vertical="center" wrapText="1" shrinkToFit="1"/>
      <protection/>
    </xf>
    <xf numFmtId="190" fontId="16" fillId="0" borderId="34" xfId="0" applyNumberFormat="1" applyFont="1" applyBorder="1" applyAlignment="1" applyProtection="1">
      <alignment vertical="center" wrapText="1" shrinkToFit="1"/>
      <protection/>
    </xf>
    <xf numFmtId="0" fontId="100" fillId="0" borderId="60" xfId="0" applyFont="1" applyBorder="1" applyAlignment="1" applyProtection="1">
      <alignment horizontal="center" vertical="center" wrapText="1"/>
      <protection/>
    </xf>
    <xf numFmtId="0" fontId="100" fillId="0" borderId="17" xfId="0" applyFont="1" applyBorder="1" applyAlignment="1" applyProtection="1">
      <alignment horizontal="center" vertical="center" wrapText="1"/>
      <protection/>
    </xf>
    <xf numFmtId="0" fontId="101" fillId="33" borderId="96" xfId="0" applyFont="1" applyFill="1" applyBorder="1" applyAlignment="1" applyProtection="1">
      <alignment horizontal="center" vertical="center" wrapText="1"/>
      <protection/>
    </xf>
    <xf numFmtId="0" fontId="101" fillId="33" borderId="23" xfId="0" applyFont="1" applyFill="1" applyBorder="1" applyAlignment="1" applyProtection="1">
      <alignment horizontal="center" vertical="center" wrapText="1"/>
      <protection/>
    </xf>
    <xf numFmtId="14" fontId="92" fillId="36" borderId="19" xfId="0" applyNumberFormat="1" applyFont="1" applyFill="1" applyBorder="1" applyAlignment="1" applyProtection="1">
      <alignment horizontal="center" vertical="center" wrapText="1"/>
      <protection locked="0"/>
    </xf>
    <xf numFmtId="0" fontId="92" fillId="36" borderId="19" xfId="0" applyFont="1" applyFill="1" applyBorder="1" applyAlignment="1" applyProtection="1">
      <alignment horizontal="center" vertical="center" wrapText="1"/>
      <protection locked="0"/>
    </xf>
    <xf numFmtId="14" fontId="92" fillId="36" borderId="20" xfId="0" applyNumberFormat="1" applyFont="1" applyFill="1" applyBorder="1" applyAlignment="1" applyProtection="1">
      <alignment horizontal="center" vertical="center" wrapText="1"/>
      <protection locked="0"/>
    </xf>
    <xf numFmtId="0" fontId="92" fillId="36" borderId="20" xfId="0" applyFont="1" applyFill="1" applyBorder="1" applyAlignment="1" applyProtection="1">
      <alignment horizontal="center" vertical="center" wrapText="1"/>
      <protection locked="0"/>
    </xf>
    <xf numFmtId="0" fontId="100" fillId="0" borderId="97" xfId="0" applyFont="1" applyBorder="1" applyAlignment="1" applyProtection="1">
      <alignment horizontal="center" vertical="top" wrapText="1"/>
      <protection/>
    </xf>
    <xf numFmtId="0" fontId="100" fillId="0" borderId="98" xfId="0" applyFont="1" applyBorder="1" applyAlignment="1" applyProtection="1">
      <alignment horizontal="center" vertical="top" wrapText="1"/>
      <protection/>
    </xf>
    <xf numFmtId="0" fontId="0" fillId="0" borderId="14" xfId="0" applyFont="1" applyBorder="1" applyAlignment="1" applyProtection="1">
      <alignment horizontal="center" vertical="center"/>
      <protection/>
    </xf>
    <xf numFmtId="0" fontId="0" fillId="0" borderId="76" xfId="0" applyFont="1" applyBorder="1" applyAlignment="1" applyProtection="1">
      <alignment horizontal="center" vertical="center"/>
      <protection/>
    </xf>
    <xf numFmtId="0" fontId="0" fillId="0" borderId="53" xfId="0" applyFont="1" applyBorder="1" applyAlignment="1" applyProtection="1">
      <alignment horizontal="center" vertical="center"/>
      <protection/>
    </xf>
    <xf numFmtId="0" fontId="100" fillId="0" borderId="99" xfId="0" applyFont="1" applyFill="1" applyBorder="1" applyAlignment="1" applyProtection="1">
      <alignment horizontal="center" vertical="center" wrapText="1"/>
      <protection/>
    </xf>
    <xf numFmtId="0" fontId="100" fillId="0" borderId="18" xfId="0" applyFont="1" applyFill="1" applyBorder="1" applyAlignment="1" applyProtection="1">
      <alignment horizontal="center" vertical="center" wrapText="1"/>
      <protection/>
    </xf>
    <xf numFmtId="0" fontId="75" fillId="0" borderId="0" xfId="44" applyAlignment="1" applyProtection="1">
      <alignment vertical="center"/>
      <protection/>
    </xf>
    <xf numFmtId="0" fontId="100" fillId="0" borderId="0" xfId="0" applyFont="1" applyAlignment="1" applyProtection="1">
      <alignment horizontal="left" vertical="center"/>
      <protection/>
    </xf>
    <xf numFmtId="0" fontId="100" fillId="0" borderId="100" xfId="0" applyFont="1" applyBorder="1" applyAlignment="1" applyProtection="1">
      <alignment horizontal="center" vertical="center" wrapText="1"/>
      <protection/>
    </xf>
    <xf numFmtId="0" fontId="100" fillId="0" borderId="101" xfId="0" applyFont="1" applyBorder="1" applyAlignment="1" applyProtection="1">
      <alignment horizontal="center" vertical="center" wrapText="1"/>
      <protection/>
    </xf>
    <xf numFmtId="0" fontId="0" fillId="0" borderId="14" xfId="0" applyFont="1" applyBorder="1" applyAlignment="1" applyProtection="1">
      <alignment horizontal="center" vertical="center" shrinkToFit="1"/>
      <protection/>
    </xf>
    <xf numFmtId="0" fontId="0" fillId="0" borderId="76" xfId="0" applyFont="1" applyBorder="1" applyAlignment="1" applyProtection="1">
      <alignment horizontal="center" vertical="center" shrinkToFit="1"/>
      <protection/>
    </xf>
    <xf numFmtId="0" fontId="0" fillId="0" borderId="53" xfId="0" applyFont="1" applyBorder="1" applyAlignment="1" applyProtection="1">
      <alignment horizontal="center" vertical="center" shrinkToFit="1"/>
      <protection/>
    </xf>
    <xf numFmtId="14" fontId="92" fillId="36" borderId="12" xfId="0" applyNumberFormat="1" applyFont="1" applyFill="1" applyBorder="1" applyAlignment="1" applyProtection="1">
      <alignment horizontal="center" vertical="center" wrapText="1"/>
      <protection locked="0"/>
    </xf>
    <xf numFmtId="0" fontId="92" fillId="36" borderId="12" xfId="0" applyFont="1" applyFill="1" applyBorder="1" applyAlignment="1" applyProtection="1">
      <alignment horizontal="center" vertical="center" wrapText="1"/>
      <protection locked="0"/>
    </xf>
    <xf numFmtId="0" fontId="100" fillId="0" borderId="99" xfId="0" applyFont="1" applyBorder="1" applyAlignment="1" applyProtection="1">
      <alignment horizontal="center" vertical="center" wrapText="1"/>
      <protection/>
    </xf>
    <xf numFmtId="0" fontId="100" fillId="0" borderId="18" xfId="0" applyFont="1" applyBorder="1" applyAlignment="1" applyProtection="1">
      <alignment horizontal="center" vertical="center" wrapText="1"/>
      <protection/>
    </xf>
    <xf numFmtId="14" fontId="92" fillId="36" borderId="21" xfId="0" applyNumberFormat="1" applyFont="1" applyFill="1" applyBorder="1" applyAlignment="1" applyProtection="1">
      <alignment horizontal="center" vertical="center" wrapText="1"/>
      <protection locked="0"/>
    </xf>
    <xf numFmtId="0" fontId="92" fillId="36" borderId="21" xfId="0" applyFont="1" applyFill="1" applyBorder="1" applyAlignment="1" applyProtection="1">
      <alignment horizontal="center" vertical="center" wrapText="1"/>
      <protection locked="0"/>
    </xf>
    <xf numFmtId="0" fontId="100" fillId="0" borderId="61" xfId="0" applyFont="1" applyBorder="1" applyAlignment="1" applyProtection="1">
      <alignment horizontal="center" vertical="top" wrapText="1"/>
      <protection/>
    </xf>
    <xf numFmtId="0" fontId="92" fillId="36" borderId="26" xfId="0" applyFont="1" applyFill="1" applyBorder="1" applyAlignment="1" applyProtection="1">
      <alignment horizontal="center" vertical="center" wrapText="1"/>
      <protection locked="0"/>
    </xf>
    <xf numFmtId="0" fontId="92" fillId="36" borderId="102" xfId="0" applyFont="1" applyFill="1" applyBorder="1" applyAlignment="1" applyProtection="1">
      <alignment horizontal="center" vertical="center" wrapText="1"/>
      <protection locked="0"/>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3" xfId="66"/>
    <cellStyle name="Followed Hyperlink" xfId="67"/>
    <cellStyle name="良い" xfId="68"/>
  </cellStyles>
  <dxfs count="38">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2.emf" /><Relationship Id="rId2" Type="http://schemas.openxmlformats.org/officeDocument/2006/relationships/image" Target="../media/image9.emf" /><Relationship Id="rId3" Type="http://schemas.openxmlformats.org/officeDocument/2006/relationships/image" Target="../media/image7.emf" /><Relationship Id="rId4" Type="http://schemas.openxmlformats.org/officeDocument/2006/relationships/image" Target="../media/image6.emf" /><Relationship Id="rId5" Type="http://schemas.openxmlformats.org/officeDocument/2006/relationships/image" Target="../media/image11.emf" /><Relationship Id="rId6" Type="http://schemas.openxmlformats.org/officeDocument/2006/relationships/image" Target="../media/image10.emf" /></Relationships>
</file>

<file path=xl/drawings/_rels/drawing2.xml.rels><?xml version="1.0" encoding="utf-8" standalone="yes"?><Relationships xmlns="http://schemas.openxmlformats.org/package/2006/relationships"><Relationship Id="rId1" Type="http://schemas.openxmlformats.org/officeDocument/2006/relationships/image" Target="../media/image8.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866775</xdr:colOff>
      <xdr:row>21</xdr:row>
      <xdr:rowOff>123825</xdr:rowOff>
    </xdr:from>
    <xdr:ext cx="476250" cy="238125"/>
    <xdr:sp>
      <xdr:nvSpPr>
        <xdr:cNvPr id="1" name="テキスト ボックス 1"/>
        <xdr:cNvSpPr txBox="1">
          <a:spLocks noChangeArrowheads="1"/>
        </xdr:cNvSpPr>
      </xdr:nvSpPr>
      <xdr:spPr>
        <a:xfrm>
          <a:off x="2219325" y="4324350"/>
          <a:ext cx="47625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rPr>
            <a:t>一般型</a:t>
          </a:r>
        </a:p>
      </xdr:txBody>
    </xdr:sp>
    <xdr:clientData/>
  </xdr:oneCellAnchor>
  <xdr:oneCellAnchor>
    <xdr:from>
      <xdr:col>5</xdr:col>
      <xdr:colOff>876300</xdr:colOff>
      <xdr:row>21</xdr:row>
      <xdr:rowOff>123825</xdr:rowOff>
    </xdr:from>
    <xdr:ext cx="1162050" cy="238125"/>
    <xdr:sp>
      <xdr:nvSpPr>
        <xdr:cNvPr id="2" name="テキスト ボックス 12"/>
        <xdr:cNvSpPr txBox="1">
          <a:spLocks noChangeArrowheads="1"/>
        </xdr:cNvSpPr>
      </xdr:nvSpPr>
      <xdr:spPr>
        <a:xfrm>
          <a:off x="4019550" y="4324350"/>
          <a:ext cx="1162050" cy="238125"/>
        </a:xfrm>
        <a:prstGeom prst="rect">
          <a:avLst/>
        </a:prstGeom>
        <a:noFill/>
        <a:ln w="9525" cmpd="sng">
          <a:noFill/>
        </a:ln>
      </xdr:spPr>
      <xdr:txBody>
        <a:bodyPr vertOverflow="clip" wrap="square"/>
        <a:p>
          <a:pPr algn="l">
            <a:defRPr/>
          </a:pPr>
          <a:r>
            <a:rPr lang="en-US" cap="none" sz="900" b="0" i="0" u="none" baseline="0">
              <a:solidFill>
                <a:srgbClr val="000000"/>
              </a:solidFill>
            </a:rPr>
            <a:t>小規模型</a:t>
          </a:r>
        </a:p>
      </xdr:txBody>
    </xdr:sp>
    <xdr:clientData/>
  </xdr:oneCellAnchor>
  <xdr:oneCellAnchor>
    <xdr:from>
      <xdr:col>2</xdr:col>
      <xdr:colOff>0</xdr:colOff>
      <xdr:row>20</xdr:row>
      <xdr:rowOff>66675</xdr:rowOff>
    </xdr:from>
    <xdr:ext cx="666750" cy="238125"/>
    <xdr:sp>
      <xdr:nvSpPr>
        <xdr:cNvPr id="3" name="テキスト ボックス 16"/>
        <xdr:cNvSpPr txBox="1">
          <a:spLocks noChangeArrowheads="1"/>
        </xdr:cNvSpPr>
      </xdr:nvSpPr>
      <xdr:spPr>
        <a:xfrm>
          <a:off x="457200" y="4067175"/>
          <a:ext cx="666750" cy="238125"/>
        </a:xfrm>
        <a:prstGeom prst="rect">
          <a:avLst/>
        </a:prstGeom>
        <a:solidFill>
          <a:srgbClr val="FFFFB9"/>
        </a:solidFill>
        <a:ln w="9525" cmpd="sng">
          <a:solidFill>
            <a:srgbClr val="000000"/>
          </a:solidFill>
          <a:headEnd type="none"/>
          <a:tailEnd type="none"/>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事業類型</a:t>
          </a:r>
          <a:r>
            <a:rPr lang="en-US" cap="none" sz="900" b="0" i="0" u="none" baseline="0">
              <a:solidFill>
                <a:srgbClr val="000000"/>
              </a:solidFill>
              <a:latin typeface="Calibri"/>
              <a:ea typeface="Calibri"/>
              <a:cs typeface="Calibri"/>
            </a:rPr>
            <a:t>Ⅱ</a:t>
          </a:r>
        </a:p>
      </xdr:txBody>
    </xdr:sp>
    <xdr:clientData/>
  </xdr:oneCellAnchor>
  <xdr:oneCellAnchor>
    <xdr:from>
      <xdr:col>1</xdr:col>
      <xdr:colOff>219075</xdr:colOff>
      <xdr:row>21</xdr:row>
      <xdr:rowOff>104775</xdr:rowOff>
    </xdr:from>
    <xdr:ext cx="971550" cy="238125"/>
    <xdr:sp>
      <xdr:nvSpPr>
        <xdr:cNvPr id="4" name="テキスト ボックス 18"/>
        <xdr:cNvSpPr txBox="1">
          <a:spLocks noChangeArrowheads="1"/>
        </xdr:cNvSpPr>
      </xdr:nvSpPr>
      <xdr:spPr>
        <a:xfrm>
          <a:off x="447675" y="4305300"/>
          <a:ext cx="97155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rPr>
            <a:t>第四次産業革命型</a:t>
          </a:r>
        </a:p>
      </xdr:txBody>
    </xdr:sp>
    <xdr:clientData/>
  </xdr:oneCellAnchor>
  <xdr:oneCellAnchor>
    <xdr:from>
      <xdr:col>2</xdr:col>
      <xdr:colOff>0</xdr:colOff>
      <xdr:row>14</xdr:row>
      <xdr:rowOff>85725</xdr:rowOff>
    </xdr:from>
    <xdr:ext cx="666750" cy="238125"/>
    <xdr:sp>
      <xdr:nvSpPr>
        <xdr:cNvPr id="5" name="テキスト ボックス 14"/>
        <xdr:cNvSpPr txBox="1">
          <a:spLocks noChangeArrowheads="1"/>
        </xdr:cNvSpPr>
      </xdr:nvSpPr>
      <xdr:spPr>
        <a:xfrm>
          <a:off x="457200" y="2886075"/>
          <a:ext cx="666750" cy="238125"/>
        </a:xfrm>
        <a:prstGeom prst="rect">
          <a:avLst/>
        </a:prstGeom>
        <a:solidFill>
          <a:srgbClr val="FFFFB9"/>
        </a:solidFill>
        <a:ln w="9525" cmpd="sng">
          <a:solidFill>
            <a:srgbClr val="000000"/>
          </a:solidFill>
          <a:headEnd type="none"/>
          <a:tailEnd type="none"/>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事業類型</a:t>
          </a:r>
          <a:r>
            <a:rPr lang="en-US" cap="none" sz="900" b="0" i="0" u="none" baseline="0">
              <a:solidFill>
                <a:srgbClr val="000000"/>
              </a:solidFill>
              <a:latin typeface="Calibri"/>
              <a:ea typeface="Calibri"/>
              <a:cs typeface="Calibri"/>
            </a:rPr>
            <a:t>Ⅰ</a:t>
          </a:r>
        </a:p>
      </xdr:txBody>
    </xdr:sp>
    <xdr:clientData/>
  </xdr:oneCellAnchor>
  <xdr:twoCellAnchor editAs="oneCell">
    <xdr:from>
      <xdr:col>2</xdr:col>
      <xdr:colOff>247650</xdr:colOff>
      <xdr:row>30</xdr:row>
      <xdr:rowOff>95250</xdr:rowOff>
    </xdr:from>
    <xdr:to>
      <xdr:col>2</xdr:col>
      <xdr:colOff>809625</xdr:colOff>
      <xdr:row>31</xdr:row>
      <xdr:rowOff>142875</xdr:rowOff>
    </xdr:to>
    <xdr:pic>
      <xdr:nvPicPr>
        <xdr:cNvPr id="6" name="CheckBox1"/>
        <xdr:cNvPicPr preferRelativeResize="1">
          <a:picLocks noChangeAspect="1"/>
        </xdr:cNvPicPr>
      </xdr:nvPicPr>
      <xdr:blipFill>
        <a:blip r:embed="rId1"/>
        <a:stretch>
          <a:fillRect/>
        </a:stretch>
      </xdr:blipFill>
      <xdr:spPr>
        <a:xfrm>
          <a:off x="704850" y="6096000"/>
          <a:ext cx="561975" cy="247650"/>
        </a:xfrm>
        <a:prstGeom prst="rect">
          <a:avLst/>
        </a:prstGeom>
        <a:noFill/>
        <a:ln w="9525" cmpd="sng">
          <a:noFill/>
        </a:ln>
      </xdr:spPr>
    </xdr:pic>
    <xdr:clientData/>
  </xdr:twoCellAnchor>
  <xdr:twoCellAnchor editAs="oneCell">
    <xdr:from>
      <xdr:col>2</xdr:col>
      <xdr:colOff>857250</xdr:colOff>
      <xdr:row>30</xdr:row>
      <xdr:rowOff>95250</xdr:rowOff>
    </xdr:from>
    <xdr:to>
      <xdr:col>3</xdr:col>
      <xdr:colOff>514350</xdr:colOff>
      <xdr:row>31</xdr:row>
      <xdr:rowOff>142875</xdr:rowOff>
    </xdr:to>
    <xdr:pic>
      <xdr:nvPicPr>
        <xdr:cNvPr id="7" name="CheckBox2"/>
        <xdr:cNvPicPr preferRelativeResize="1">
          <a:picLocks noChangeAspect="1"/>
        </xdr:cNvPicPr>
      </xdr:nvPicPr>
      <xdr:blipFill>
        <a:blip r:embed="rId2"/>
        <a:stretch>
          <a:fillRect/>
        </a:stretch>
      </xdr:blipFill>
      <xdr:spPr>
        <a:xfrm>
          <a:off x="1314450" y="6096000"/>
          <a:ext cx="552450" cy="247650"/>
        </a:xfrm>
        <a:prstGeom prst="rect">
          <a:avLst/>
        </a:prstGeom>
        <a:noFill/>
        <a:ln w="9525" cmpd="sng">
          <a:noFill/>
        </a:ln>
      </xdr:spPr>
    </xdr:pic>
    <xdr:clientData/>
  </xdr:twoCellAnchor>
  <xdr:twoCellAnchor editAs="oneCell">
    <xdr:from>
      <xdr:col>3</xdr:col>
      <xdr:colOff>561975</xdr:colOff>
      <xdr:row>30</xdr:row>
      <xdr:rowOff>95250</xdr:rowOff>
    </xdr:from>
    <xdr:to>
      <xdr:col>4</xdr:col>
      <xdr:colOff>228600</xdr:colOff>
      <xdr:row>31</xdr:row>
      <xdr:rowOff>142875</xdr:rowOff>
    </xdr:to>
    <xdr:pic>
      <xdr:nvPicPr>
        <xdr:cNvPr id="8" name="CheckBox3"/>
        <xdr:cNvPicPr preferRelativeResize="1">
          <a:picLocks noChangeAspect="1"/>
        </xdr:cNvPicPr>
      </xdr:nvPicPr>
      <xdr:blipFill>
        <a:blip r:embed="rId3"/>
        <a:stretch>
          <a:fillRect/>
        </a:stretch>
      </xdr:blipFill>
      <xdr:spPr>
        <a:xfrm>
          <a:off x="1914525" y="6096000"/>
          <a:ext cx="561975" cy="247650"/>
        </a:xfrm>
        <a:prstGeom prst="rect">
          <a:avLst/>
        </a:prstGeom>
        <a:noFill/>
        <a:ln w="9525" cmpd="sng">
          <a:noFill/>
        </a:ln>
      </xdr:spPr>
    </xdr:pic>
    <xdr:clientData/>
  </xdr:twoCellAnchor>
  <xdr:twoCellAnchor editAs="oneCell">
    <xdr:from>
      <xdr:col>4</xdr:col>
      <xdr:colOff>276225</xdr:colOff>
      <xdr:row>30</xdr:row>
      <xdr:rowOff>95250</xdr:rowOff>
    </xdr:from>
    <xdr:to>
      <xdr:col>4</xdr:col>
      <xdr:colOff>828675</xdr:colOff>
      <xdr:row>31</xdr:row>
      <xdr:rowOff>142875</xdr:rowOff>
    </xdr:to>
    <xdr:pic>
      <xdr:nvPicPr>
        <xdr:cNvPr id="9" name="CheckBox4"/>
        <xdr:cNvPicPr preferRelativeResize="1">
          <a:picLocks noChangeAspect="1"/>
        </xdr:cNvPicPr>
      </xdr:nvPicPr>
      <xdr:blipFill>
        <a:blip r:embed="rId4"/>
        <a:stretch>
          <a:fillRect/>
        </a:stretch>
      </xdr:blipFill>
      <xdr:spPr>
        <a:xfrm>
          <a:off x="2524125" y="6096000"/>
          <a:ext cx="552450" cy="247650"/>
        </a:xfrm>
        <a:prstGeom prst="rect">
          <a:avLst/>
        </a:prstGeom>
        <a:noFill/>
        <a:ln w="9525" cmpd="sng">
          <a:noFill/>
        </a:ln>
      </xdr:spPr>
    </xdr:pic>
    <xdr:clientData/>
  </xdr:twoCellAnchor>
  <xdr:twoCellAnchor editAs="oneCell">
    <xdr:from>
      <xdr:col>2</xdr:col>
      <xdr:colOff>247650</xdr:colOff>
      <xdr:row>33</xdr:row>
      <xdr:rowOff>19050</xdr:rowOff>
    </xdr:from>
    <xdr:to>
      <xdr:col>2</xdr:col>
      <xdr:colOff>800100</xdr:colOff>
      <xdr:row>34</xdr:row>
      <xdr:rowOff>66675</xdr:rowOff>
    </xdr:to>
    <xdr:pic>
      <xdr:nvPicPr>
        <xdr:cNvPr id="10" name="CheckBox5"/>
        <xdr:cNvPicPr preferRelativeResize="1">
          <a:picLocks noChangeAspect="1"/>
        </xdr:cNvPicPr>
      </xdr:nvPicPr>
      <xdr:blipFill>
        <a:blip r:embed="rId5"/>
        <a:stretch>
          <a:fillRect/>
        </a:stretch>
      </xdr:blipFill>
      <xdr:spPr>
        <a:xfrm>
          <a:off x="704850" y="6619875"/>
          <a:ext cx="552450" cy="247650"/>
        </a:xfrm>
        <a:prstGeom prst="rect">
          <a:avLst/>
        </a:prstGeom>
        <a:noFill/>
        <a:ln w="9525" cmpd="sng">
          <a:noFill/>
        </a:ln>
      </xdr:spPr>
    </xdr:pic>
    <xdr:clientData/>
  </xdr:twoCellAnchor>
  <xdr:twoCellAnchor editAs="oneCell">
    <xdr:from>
      <xdr:col>2</xdr:col>
      <xdr:colOff>857250</xdr:colOff>
      <xdr:row>33</xdr:row>
      <xdr:rowOff>19050</xdr:rowOff>
    </xdr:from>
    <xdr:to>
      <xdr:col>3</xdr:col>
      <xdr:colOff>819150</xdr:colOff>
      <xdr:row>34</xdr:row>
      <xdr:rowOff>66675</xdr:rowOff>
    </xdr:to>
    <xdr:pic>
      <xdr:nvPicPr>
        <xdr:cNvPr id="11" name="CheckBox6"/>
        <xdr:cNvPicPr preferRelativeResize="1">
          <a:picLocks noChangeAspect="1"/>
        </xdr:cNvPicPr>
      </xdr:nvPicPr>
      <xdr:blipFill>
        <a:blip r:embed="rId6"/>
        <a:stretch>
          <a:fillRect/>
        </a:stretch>
      </xdr:blipFill>
      <xdr:spPr>
        <a:xfrm>
          <a:off x="1314450" y="6619875"/>
          <a:ext cx="857250" cy="247650"/>
        </a:xfrm>
        <a:prstGeom prst="rect">
          <a:avLst/>
        </a:prstGeom>
        <a:noFill/>
        <a:ln w="9525" cmpd="sng">
          <a:noFill/>
        </a:ln>
      </xdr:spPr>
    </xdr:pic>
    <xdr:clientData/>
  </xdr:twoCellAnchor>
  <xdr:twoCellAnchor>
    <xdr:from>
      <xdr:col>3</xdr:col>
      <xdr:colOff>28575</xdr:colOff>
      <xdr:row>26</xdr:row>
      <xdr:rowOff>0</xdr:rowOff>
    </xdr:from>
    <xdr:to>
      <xdr:col>3</xdr:col>
      <xdr:colOff>28575</xdr:colOff>
      <xdr:row>28</xdr:row>
      <xdr:rowOff>28575</xdr:rowOff>
    </xdr:to>
    <xdr:sp>
      <xdr:nvSpPr>
        <xdr:cNvPr id="12" name="直線矢印コネクタ 27"/>
        <xdr:cNvSpPr>
          <a:spLocks/>
        </xdr:cNvSpPr>
      </xdr:nvSpPr>
      <xdr:spPr>
        <a:xfrm>
          <a:off x="1381125" y="5200650"/>
          <a:ext cx="0" cy="428625"/>
        </a:xfrm>
        <a:prstGeom prst="straightConnector1">
          <a:avLst/>
        </a:prstGeom>
        <a:noFill/>
        <a:ln w="34925" cmpd="sng">
          <a:solidFill>
            <a:srgbClr val="FF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647700</xdr:colOff>
      <xdr:row>26</xdr:row>
      <xdr:rowOff>9525</xdr:rowOff>
    </xdr:from>
    <xdr:to>
      <xdr:col>5</xdr:col>
      <xdr:colOff>742950</xdr:colOff>
      <xdr:row>28</xdr:row>
      <xdr:rowOff>28575</xdr:rowOff>
    </xdr:to>
    <xdr:sp>
      <xdr:nvSpPr>
        <xdr:cNvPr id="13" name="直線矢印コネクタ 28"/>
        <xdr:cNvSpPr>
          <a:spLocks/>
        </xdr:cNvSpPr>
      </xdr:nvSpPr>
      <xdr:spPr>
        <a:xfrm>
          <a:off x="3790950" y="5210175"/>
          <a:ext cx="104775" cy="419100"/>
        </a:xfrm>
        <a:prstGeom prst="straightConnector1">
          <a:avLst/>
        </a:prstGeom>
        <a:noFill/>
        <a:ln w="34925" cmpd="sng">
          <a:solidFill>
            <a:srgbClr val="FF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571500</xdr:colOff>
      <xdr:row>26</xdr:row>
      <xdr:rowOff>38100</xdr:rowOff>
    </xdr:from>
    <xdr:to>
      <xdr:col>7</xdr:col>
      <xdr:colOff>9525</xdr:colOff>
      <xdr:row>27</xdr:row>
      <xdr:rowOff>161925</xdr:rowOff>
    </xdr:to>
    <xdr:sp>
      <xdr:nvSpPr>
        <xdr:cNvPr id="14" name="直線矢印コネクタ 29"/>
        <xdr:cNvSpPr>
          <a:spLocks/>
        </xdr:cNvSpPr>
      </xdr:nvSpPr>
      <xdr:spPr>
        <a:xfrm flipH="1">
          <a:off x="4610100" y="5238750"/>
          <a:ext cx="333375" cy="323850"/>
        </a:xfrm>
        <a:prstGeom prst="straightConnector1">
          <a:avLst/>
        </a:prstGeom>
        <a:noFill/>
        <a:ln w="34925" cmpd="sng">
          <a:solidFill>
            <a:srgbClr val="FF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17</xdr:col>
      <xdr:colOff>0</xdr:colOff>
      <xdr:row>41</xdr:row>
      <xdr:rowOff>0</xdr:rowOff>
    </xdr:from>
    <xdr:to>
      <xdr:col>17</xdr:col>
      <xdr:colOff>9525</xdr:colOff>
      <xdr:row>41</xdr:row>
      <xdr:rowOff>9525</xdr:rowOff>
    </xdr:to>
    <xdr:pic>
      <xdr:nvPicPr>
        <xdr:cNvPr id="1" name="図 2" descr="http://aw.dw.impact-ad.jp/c/blue.velvet/?ac=70&amp;p=OSHIETExBADGE300_1&amp;w=300&amp;h=250&amp;if=0&amp;fv=3&amp;url=http%3A%2F%2Foshiete.goo.ne.jp%2Fqa%2F1099309.html&amp;ref=http%3A%2F%2Fsearch.yahoo.co.jp%2Fsearch%3Fp%3D%2523div%252F0%2521%2B%25E8%25A1%25A8%25E7%25A4%25BA%25E3%2581%2597%25E3%2581%25AA%25E3%2581%2584%26search.x%3D1%26fr%3Dtop_ga1_sa%26tid%3Dtop_ga1_sa%26ei%3DUTF-8%26aq%3D2%26oq%3D%2523div&amp;ss=42868345&amp;v=1.8.0"/>
        <xdr:cNvPicPr preferRelativeResize="1">
          <a:picLocks noChangeAspect="1"/>
        </xdr:cNvPicPr>
      </xdr:nvPicPr>
      <xdr:blipFill>
        <a:blip r:embed="rId1"/>
        <a:stretch>
          <a:fillRect/>
        </a:stretch>
      </xdr:blipFill>
      <xdr:spPr>
        <a:xfrm>
          <a:off x="22259925" y="14897100"/>
          <a:ext cx="9525" cy="9525"/>
        </a:xfrm>
        <a:prstGeom prst="rect">
          <a:avLst/>
        </a:prstGeom>
        <a:noFill/>
        <a:ln w="9525" cmpd="sng">
          <a:noFill/>
        </a:ln>
      </xdr:spPr>
    </xdr:pic>
    <xdr:clientData/>
  </xdr:twoCellAnchor>
  <xdr:twoCellAnchor editAs="oneCell">
    <xdr:from>
      <xdr:col>17</xdr:col>
      <xdr:colOff>19050</xdr:colOff>
      <xdr:row>41</xdr:row>
      <xdr:rowOff>0</xdr:rowOff>
    </xdr:from>
    <xdr:to>
      <xdr:col>17</xdr:col>
      <xdr:colOff>28575</xdr:colOff>
      <xdr:row>41</xdr:row>
      <xdr:rowOff>9525</xdr:rowOff>
    </xdr:to>
    <xdr:pic>
      <xdr:nvPicPr>
        <xdr:cNvPr id="2" name="図 3" descr="http://aw.dw.impact-ad.jp/c/blue.velvet/?ac=70&amp;p=OSHIETExBADGE300_2&amp;w=300&amp;h=250&amp;if=0&amp;fv=3&amp;url=http%3A%2F%2Foshiete.goo.ne.jp%2Fqa%2F1099309.html&amp;ref=http%3A%2F%2Fsearch.yahoo.co.jp%2Fsearch%3Fp%3D%2523div%252F0%2521%2B%25E8%25A1%25A8%25E7%25A4%25BA%25E3%2581%2597%25E3%2581%25AA%25E3%2581%2584%26search.x%3D1%26fr%3Dtop_ga1_sa%26tid%3Dtop_ga1_sa%26ei%3DUTF-8%26aq%3D2%26oq%3D%2523div&amp;ss=51776368&amp;v=1.8.0"/>
        <xdr:cNvPicPr preferRelativeResize="1">
          <a:picLocks noChangeAspect="1"/>
        </xdr:cNvPicPr>
      </xdr:nvPicPr>
      <xdr:blipFill>
        <a:blip r:embed="rId1"/>
        <a:stretch>
          <a:fillRect/>
        </a:stretch>
      </xdr:blipFill>
      <xdr:spPr>
        <a:xfrm>
          <a:off x="22278975" y="14897100"/>
          <a:ext cx="9525" cy="9525"/>
        </a:xfrm>
        <a:prstGeom prst="rect">
          <a:avLst/>
        </a:prstGeom>
        <a:noFill/>
        <a:ln w="9525" cmpd="sng">
          <a:noFill/>
        </a:ln>
      </xdr:spPr>
    </xdr:pic>
    <xdr:clientData/>
  </xdr:twoCellAnchor>
  <xdr:twoCellAnchor editAs="oneCell">
    <xdr:from>
      <xdr:col>17</xdr:col>
      <xdr:colOff>38100</xdr:colOff>
      <xdr:row>41</xdr:row>
      <xdr:rowOff>0</xdr:rowOff>
    </xdr:from>
    <xdr:to>
      <xdr:col>17</xdr:col>
      <xdr:colOff>47625</xdr:colOff>
      <xdr:row>41</xdr:row>
      <xdr:rowOff>9525</xdr:rowOff>
    </xdr:to>
    <xdr:pic>
      <xdr:nvPicPr>
        <xdr:cNvPr id="3" name="図 4" descr="http://aw.dw.impact-ad.jp/c/blue.velvet/?ac=70&amp;p=OSHIETExLONG&amp;w=728&amp;h=90&amp;if=0&amp;fv=3&amp;url=http%3A%2F%2Foshiete.goo.ne.jp%2Fqa%2F1099309.html&amp;ref=http%3A%2F%2Fsearch.yahoo.co.jp%2Fsearch%3Fp%3D%2523div%252F0%2521%2B%25E8%25A1%25A8%25E7%25A4%25BA%25E3%2581%2597%25E3%2581%25AA%25E3%2581%2584%26search.x%3D1%26fr%3Dtop_ga1_sa%26tid%3Dtop_ga1_sa%26ei%3DUTF-8%26aq%3D2%26oq%3D%2523div&amp;ss=69883727&amp;v=1.8.0"/>
        <xdr:cNvPicPr preferRelativeResize="1">
          <a:picLocks noChangeAspect="1"/>
        </xdr:cNvPicPr>
      </xdr:nvPicPr>
      <xdr:blipFill>
        <a:blip r:embed="rId1"/>
        <a:stretch>
          <a:fillRect/>
        </a:stretch>
      </xdr:blipFill>
      <xdr:spPr>
        <a:xfrm>
          <a:off x="22298025" y="14897100"/>
          <a:ext cx="9525" cy="9525"/>
        </a:xfrm>
        <a:prstGeom prst="rect">
          <a:avLst/>
        </a:prstGeom>
        <a:noFill/>
        <a:ln w="9525" cmpd="sng">
          <a:noFill/>
        </a:ln>
      </xdr:spPr>
    </xdr:pic>
    <xdr:clientData/>
  </xdr:twoCellAnchor>
  <xdr:twoCellAnchor editAs="oneCell">
    <xdr:from>
      <xdr:col>16</xdr:col>
      <xdr:colOff>0</xdr:colOff>
      <xdr:row>41</xdr:row>
      <xdr:rowOff>0</xdr:rowOff>
    </xdr:from>
    <xdr:to>
      <xdr:col>16</xdr:col>
      <xdr:colOff>9525</xdr:colOff>
      <xdr:row>41</xdr:row>
      <xdr:rowOff>9525</xdr:rowOff>
    </xdr:to>
    <xdr:pic>
      <xdr:nvPicPr>
        <xdr:cNvPr id="4" name="図 2" descr="http://aw.dw.impact-ad.jp/c/blue.velvet/?ac=70&amp;p=OSHIETExBADGE300_1&amp;w=300&amp;h=250&amp;if=0&amp;fv=3&amp;url=http%3A%2F%2Foshiete.goo.ne.jp%2Fqa%2F1099309.html&amp;ref=http%3A%2F%2Fsearch.yahoo.co.jp%2Fsearch%3Fp%3D%2523div%252F0%2521%2B%25E8%25A1%25A8%25E7%25A4%25BA%25E3%2581%2597%25E3%2581%25AA%25E3%2581%2584%26search.x%3D1%26fr%3Dtop_ga1_sa%26tid%3Dtop_ga1_sa%26ei%3DUTF-8%26aq%3D2%26oq%3D%2523div&amp;ss=42868345&amp;v=1.8.0"/>
        <xdr:cNvPicPr preferRelativeResize="1">
          <a:picLocks noChangeAspect="1"/>
        </xdr:cNvPicPr>
      </xdr:nvPicPr>
      <xdr:blipFill>
        <a:blip r:embed="rId1"/>
        <a:stretch>
          <a:fillRect/>
        </a:stretch>
      </xdr:blipFill>
      <xdr:spPr>
        <a:xfrm>
          <a:off x="20097750" y="14897100"/>
          <a:ext cx="9525" cy="9525"/>
        </a:xfrm>
        <a:prstGeom prst="rect">
          <a:avLst/>
        </a:prstGeom>
        <a:noFill/>
        <a:ln w="9525" cmpd="sng">
          <a:noFill/>
        </a:ln>
      </xdr:spPr>
    </xdr:pic>
    <xdr:clientData/>
  </xdr:twoCellAnchor>
  <xdr:twoCellAnchor editAs="oneCell">
    <xdr:from>
      <xdr:col>16</xdr:col>
      <xdr:colOff>19050</xdr:colOff>
      <xdr:row>41</xdr:row>
      <xdr:rowOff>0</xdr:rowOff>
    </xdr:from>
    <xdr:to>
      <xdr:col>16</xdr:col>
      <xdr:colOff>28575</xdr:colOff>
      <xdr:row>41</xdr:row>
      <xdr:rowOff>9525</xdr:rowOff>
    </xdr:to>
    <xdr:pic>
      <xdr:nvPicPr>
        <xdr:cNvPr id="5" name="図 3" descr="http://aw.dw.impact-ad.jp/c/blue.velvet/?ac=70&amp;p=OSHIETExBADGE300_2&amp;w=300&amp;h=250&amp;if=0&amp;fv=3&amp;url=http%3A%2F%2Foshiete.goo.ne.jp%2Fqa%2F1099309.html&amp;ref=http%3A%2F%2Fsearch.yahoo.co.jp%2Fsearch%3Fp%3D%2523div%252F0%2521%2B%25E8%25A1%25A8%25E7%25A4%25BA%25E3%2581%2597%25E3%2581%25AA%25E3%2581%2584%26search.x%3D1%26fr%3Dtop_ga1_sa%26tid%3Dtop_ga1_sa%26ei%3DUTF-8%26aq%3D2%26oq%3D%2523div&amp;ss=51776368&amp;v=1.8.0"/>
        <xdr:cNvPicPr preferRelativeResize="1">
          <a:picLocks noChangeAspect="1"/>
        </xdr:cNvPicPr>
      </xdr:nvPicPr>
      <xdr:blipFill>
        <a:blip r:embed="rId1"/>
        <a:stretch>
          <a:fillRect/>
        </a:stretch>
      </xdr:blipFill>
      <xdr:spPr>
        <a:xfrm>
          <a:off x="20116800" y="14897100"/>
          <a:ext cx="9525" cy="9525"/>
        </a:xfrm>
        <a:prstGeom prst="rect">
          <a:avLst/>
        </a:prstGeom>
        <a:noFill/>
        <a:ln w="9525" cmpd="sng">
          <a:noFill/>
        </a:ln>
      </xdr:spPr>
    </xdr:pic>
    <xdr:clientData/>
  </xdr:twoCellAnchor>
  <xdr:twoCellAnchor editAs="oneCell">
    <xdr:from>
      <xdr:col>16</xdr:col>
      <xdr:colOff>38100</xdr:colOff>
      <xdr:row>41</xdr:row>
      <xdr:rowOff>0</xdr:rowOff>
    </xdr:from>
    <xdr:to>
      <xdr:col>16</xdr:col>
      <xdr:colOff>57150</xdr:colOff>
      <xdr:row>41</xdr:row>
      <xdr:rowOff>9525</xdr:rowOff>
    </xdr:to>
    <xdr:pic>
      <xdr:nvPicPr>
        <xdr:cNvPr id="6" name="図 4" descr="http://aw.dw.impact-ad.jp/c/blue.velvet/?ac=70&amp;p=OSHIETExLONG&amp;w=728&amp;h=90&amp;if=0&amp;fv=3&amp;url=http%3A%2F%2Foshiete.goo.ne.jp%2Fqa%2F1099309.html&amp;ref=http%3A%2F%2Fsearch.yahoo.co.jp%2Fsearch%3Fp%3D%2523div%252F0%2521%2B%25E8%25A1%25A8%25E7%25A4%25BA%25E3%2581%2597%25E3%2581%25AA%25E3%2581%2584%26search.x%3D1%26fr%3Dtop_ga1_sa%26tid%3Dtop_ga1_sa%26ei%3DUTF-8%26aq%3D2%26oq%3D%2523div&amp;ss=69883727&amp;v=1.8.0"/>
        <xdr:cNvPicPr preferRelativeResize="1">
          <a:picLocks noChangeAspect="1"/>
        </xdr:cNvPicPr>
      </xdr:nvPicPr>
      <xdr:blipFill>
        <a:blip r:embed="rId1"/>
        <a:stretch>
          <a:fillRect/>
        </a:stretch>
      </xdr:blipFill>
      <xdr:spPr>
        <a:xfrm>
          <a:off x="20135850" y="14897100"/>
          <a:ext cx="9525" cy="9525"/>
        </a:xfrm>
        <a:prstGeom prst="rect">
          <a:avLst/>
        </a:prstGeom>
        <a:noFill/>
        <a:ln w="9525" cmpd="sng">
          <a:noFill/>
        </a:ln>
      </xdr:spPr>
    </xdr:pic>
    <xdr:clientData/>
  </xdr:twoCellAnchor>
  <xdr:twoCellAnchor editAs="oneCell">
    <xdr:from>
      <xdr:col>14</xdr:col>
      <xdr:colOff>0</xdr:colOff>
      <xdr:row>44</xdr:row>
      <xdr:rowOff>0</xdr:rowOff>
    </xdr:from>
    <xdr:to>
      <xdr:col>14</xdr:col>
      <xdr:colOff>9525</xdr:colOff>
      <xdr:row>44</xdr:row>
      <xdr:rowOff>9525</xdr:rowOff>
    </xdr:to>
    <xdr:pic>
      <xdr:nvPicPr>
        <xdr:cNvPr id="7" name="図 2" descr="http://aw.dw.impact-ad.jp/c/blue.velvet/?ac=70&amp;p=OSHIETExBADGE300_1&amp;w=300&amp;h=250&amp;if=0&amp;fv=3&amp;url=http%3A%2F%2Foshiete.goo.ne.jp%2Fqa%2F1099309.html&amp;ref=http%3A%2F%2Fsearch.yahoo.co.jp%2Fsearch%3Fp%3D%2523div%252F0%2521%2B%25E8%25A1%25A8%25E7%25A4%25BA%25E3%2581%2597%25E3%2581%25AA%25E3%2581%2584%26search.x%3D1%26fr%3Dtop_ga1_sa%26tid%3Dtop_ga1_sa%26ei%3DUTF-8%26aq%3D2%26oq%3D%2523div&amp;ss=42868345&amp;v=1.8.0"/>
        <xdr:cNvPicPr preferRelativeResize="1">
          <a:picLocks noChangeAspect="1"/>
        </xdr:cNvPicPr>
      </xdr:nvPicPr>
      <xdr:blipFill>
        <a:blip r:embed="rId1"/>
        <a:stretch>
          <a:fillRect/>
        </a:stretch>
      </xdr:blipFill>
      <xdr:spPr>
        <a:xfrm>
          <a:off x="17164050" y="16040100"/>
          <a:ext cx="9525" cy="9525"/>
        </a:xfrm>
        <a:prstGeom prst="rect">
          <a:avLst/>
        </a:prstGeom>
        <a:noFill/>
        <a:ln w="9525" cmpd="sng">
          <a:noFill/>
        </a:ln>
      </xdr:spPr>
    </xdr:pic>
    <xdr:clientData/>
  </xdr:twoCellAnchor>
  <xdr:twoCellAnchor editAs="oneCell">
    <xdr:from>
      <xdr:col>14</xdr:col>
      <xdr:colOff>0</xdr:colOff>
      <xdr:row>44</xdr:row>
      <xdr:rowOff>0</xdr:rowOff>
    </xdr:from>
    <xdr:to>
      <xdr:col>14</xdr:col>
      <xdr:colOff>9525</xdr:colOff>
      <xdr:row>44</xdr:row>
      <xdr:rowOff>9525</xdr:rowOff>
    </xdr:to>
    <xdr:pic>
      <xdr:nvPicPr>
        <xdr:cNvPr id="8" name="図 3" descr="http://aw.dw.impact-ad.jp/c/blue.velvet/?ac=70&amp;p=OSHIETExBADGE300_2&amp;w=300&amp;h=250&amp;if=0&amp;fv=3&amp;url=http%3A%2F%2Foshiete.goo.ne.jp%2Fqa%2F1099309.html&amp;ref=http%3A%2F%2Fsearch.yahoo.co.jp%2Fsearch%3Fp%3D%2523div%252F0%2521%2B%25E8%25A1%25A8%25E7%25A4%25BA%25E3%2581%2597%25E3%2581%25AA%25E3%2581%2584%26search.x%3D1%26fr%3Dtop_ga1_sa%26tid%3Dtop_ga1_sa%26ei%3DUTF-8%26aq%3D2%26oq%3D%2523div&amp;ss=51776368&amp;v=1.8.0"/>
        <xdr:cNvPicPr preferRelativeResize="1">
          <a:picLocks noChangeAspect="1"/>
        </xdr:cNvPicPr>
      </xdr:nvPicPr>
      <xdr:blipFill>
        <a:blip r:embed="rId1"/>
        <a:stretch>
          <a:fillRect/>
        </a:stretch>
      </xdr:blipFill>
      <xdr:spPr>
        <a:xfrm>
          <a:off x="17164050" y="16040100"/>
          <a:ext cx="9525" cy="9525"/>
        </a:xfrm>
        <a:prstGeom prst="rect">
          <a:avLst/>
        </a:prstGeom>
        <a:noFill/>
        <a:ln w="9525" cmpd="sng">
          <a:noFill/>
        </a:ln>
      </xdr:spPr>
    </xdr:pic>
    <xdr:clientData/>
  </xdr:twoCellAnchor>
  <xdr:twoCellAnchor editAs="oneCell">
    <xdr:from>
      <xdr:col>14</xdr:col>
      <xdr:colOff>0</xdr:colOff>
      <xdr:row>44</xdr:row>
      <xdr:rowOff>0</xdr:rowOff>
    </xdr:from>
    <xdr:to>
      <xdr:col>14</xdr:col>
      <xdr:colOff>9525</xdr:colOff>
      <xdr:row>44</xdr:row>
      <xdr:rowOff>9525</xdr:rowOff>
    </xdr:to>
    <xdr:pic>
      <xdr:nvPicPr>
        <xdr:cNvPr id="9" name="図 4" descr="http://aw.dw.impact-ad.jp/c/blue.velvet/?ac=70&amp;p=OSHIETExLONG&amp;w=728&amp;h=90&amp;if=0&amp;fv=3&amp;url=http%3A%2F%2Foshiete.goo.ne.jp%2Fqa%2F1099309.html&amp;ref=http%3A%2F%2Fsearch.yahoo.co.jp%2Fsearch%3Fp%3D%2523div%252F0%2521%2B%25E8%25A1%25A8%25E7%25A4%25BA%25E3%2581%2597%25E3%2581%25AA%25E3%2581%2584%26search.x%3D1%26fr%3Dtop_ga1_sa%26tid%3Dtop_ga1_sa%26ei%3DUTF-8%26aq%3D2%26oq%3D%2523div&amp;ss=69883727&amp;v=1.8.0"/>
        <xdr:cNvPicPr preferRelativeResize="1">
          <a:picLocks noChangeAspect="1"/>
        </xdr:cNvPicPr>
      </xdr:nvPicPr>
      <xdr:blipFill>
        <a:blip r:embed="rId1"/>
        <a:stretch>
          <a:fillRect/>
        </a:stretch>
      </xdr:blipFill>
      <xdr:spPr>
        <a:xfrm>
          <a:off x="17164050" y="16040100"/>
          <a:ext cx="9525" cy="9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32"/>
  <dimension ref="B1:E17"/>
  <sheetViews>
    <sheetView tabSelected="1" zoomScaleSheetLayoutView="100" zoomScalePageLayoutView="0" workbookViewId="0" topLeftCell="A1">
      <selection activeCell="A1" sqref="A1"/>
    </sheetView>
  </sheetViews>
  <sheetFormatPr defaultColWidth="9.140625" defaultRowHeight="19.5" customHeight="1"/>
  <cols>
    <col min="1" max="1" width="2.57421875" style="0" customWidth="1"/>
    <col min="2" max="2" width="3.7109375" style="0" customWidth="1"/>
    <col min="3" max="3" width="47.8515625" style="0" customWidth="1"/>
  </cols>
  <sheetData>
    <row r="1" spans="2:5" ht="19.5" customHeight="1">
      <c r="B1" s="22" t="s">
        <v>88</v>
      </c>
      <c r="D1" s="16"/>
      <c r="E1" s="16"/>
    </row>
    <row r="2" spans="2:5" ht="19.5" customHeight="1">
      <c r="B2" s="22"/>
      <c r="D2" s="16"/>
      <c r="E2" s="16"/>
    </row>
    <row r="3" spans="2:5" ht="19.5" customHeight="1">
      <c r="B3" t="s">
        <v>90</v>
      </c>
      <c r="C3" s="16"/>
      <c r="D3" s="16"/>
      <c r="E3" s="16"/>
    </row>
    <row r="4" spans="2:3" ht="19.5" customHeight="1" thickBot="1">
      <c r="B4" s="23" t="s">
        <v>31</v>
      </c>
      <c r="C4" s="23" t="s">
        <v>89</v>
      </c>
    </row>
    <row r="5" spans="2:3" ht="19.5" customHeight="1" thickTop="1">
      <c r="B5" s="24">
        <v>1</v>
      </c>
      <c r="C5" s="25" t="s">
        <v>88</v>
      </c>
    </row>
    <row r="6" spans="2:3" ht="19.5" customHeight="1">
      <c r="B6" s="26">
        <v>2</v>
      </c>
      <c r="C6" s="27" t="s">
        <v>137</v>
      </c>
    </row>
    <row r="7" spans="2:3" ht="19.5" customHeight="1">
      <c r="B7" s="26">
        <v>3</v>
      </c>
      <c r="C7" s="27" t="s">
        <v>153</v>
      </c>
    </row>
    <row r="8" spans="2:3" ht="19.5" customHeight="1">
      <c r="B8" s="46">
        <v>4</v>
      </c>
      <c r="C8" s="27" t="s">
        <v>82</v>
      </c>
    </row>
    <row r="9" spans="2:3" ht="19.5" customHeight="1">
      <c r="B9" s="46">
        <v>5</v>
      </c>
      <c r="C9" s="27" t="s">
        <v>71</v>
      </c>
    </row>
    <row r="10" spans="2:3" ht="19.5" customHeight="1">
      <c r="B10" s="46">
        <v>6</v>
      </c>
      <c r="C10" s="27" t="s">
        <v>27</v>
      </c>
    </row>
    <row r="11" spans="2:3" ht="19.5" customHeight="1">
      <c r="B11" s="46">
        <v>7</v>
      </c>
      <c r="C11" s="27" t="s">
        <v>72</v>
      </c>
    </row>
    <row r="12" spans="2:3" ht="19.5" customHeight="1">
      <c r="B12" s="46">
        <v>8</v>
      </c>
      <c r="C12" s="27" t="s">
        <v>30</v>
      </c>
    </row>
    <row r="13" spans="2:3" ht="19.5" customHeight="1">
      <c r="B13" s="46">
        <v>9</v>
      </c>
      <c r="C13" s="27" t="s">
        <v>206</v>
      </c>
    </row>
    <row r="14" spans="2:3" ht="19.5" customHeight="1">
      <c r="B14" s="46">
        <v>10</v>
      </c>
      <c r="C14" s="27" t="s">
        <v>207</v>
      </c>
    </row>
    <row r="15" spans="2:3" ht="19.5" customHeight="1">
      <c r="B15" s="46">
        <v>11</v>
      </c>
      <c r="C15" s="27" t="s">
        <v>208</v>
      </c>
    </row>
    <row r="16" spans="2:3" ht="19.5" customHeight="1">
      <c r="B16" s="46">
        <v>12</v>
      </c>
      <c r="C16" s="27" t="s">
        <v>209</v>
      </c>
    </row>
    <row r="17" spans="2:3" ht="19.5" customHeight="1">
      <c r="B17" s="46">
        <v>13</v>
      </c>
      <c r="C17" s="27" t="s">
        <v>210</v>
      </c>
    </row>
  </sheetData>
  <sheetProtection sheet="1" objects="1" scenarios="1"/>
  <hyperlinks>
    <hyperlink ref="C6" location="'基本情報入力（使い方）'!A1" display="基本情報入力（使い方）"/>
    <hyperlink ref="C7" location="経費明細表!A1" display="経費明細表"/>
    <hyperlink ref="C8" location="'機械装置費（50万円以上）'!A1" display="機械装置費（50万円以上）"/>
    <hyperlink ref="C9" location="'機械装置費（50万円未満）'!A1" display="機械装置費（50万円未満）"/>
    <hyperlink ref="C13" location="原材料費!A1" display="原材料費"/>
    <hyperlink ref="C10" location="技術導入費!A1" display="技術導入費"/>
    <hyperlink ref="C14" location="外注加工費!A1" display="外注加工費（小規模型のみ）"/>
    <hyperlink ref="C15" location="委託費!A1" display="委託費"/>
    <hyperlink ref="C16" location="知的財産権等関連経費!A1" display="知的財産権等関連経費"/>
    <hyperlink ref="C12" location="運搬費!A1" display="運搬費"/>
    <hyperlink ref="C11" location="専門家経費!A1" display="専門家経費"/>
    <hyperlink ref="C17" location="クラウド利用費!A1" display="クラウド利用費"/>
  </hyperlink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Sheet3">
    <tabColor theme="6" tint="0.7999799847602844"/>
    <pageSetUpPr fitToPage="1"/>
  </sheetPr>
  <dimension ref="A1:R30"/>
  <sheetViews>
    <sheetView showGridLines="0" zoomScaleSheetLayoutView="100" workbookViewId="0" topLeftCell="A1">
      <pane ySplit="3" topLeftCell="A4" activePane="bottomLeft" state="frozen"/>
      <selection pane="topLeft" activeCell="B13" sqref="B13:D22"/>
      <selection pane="bottomLeft" activeCell="A1" sqref="A1"/>
    </sheetView>
  </sheetViews>
  <sheetFormatPr defaultColWidth="9.140625" defaultRowHeight="15"/>
  <cols>
    <col min="1" max="1" width="8.421875" style="209" customWidth="1"/>
    <col min="2" max="4" width="3.7109375" style="211" customWidth="1"/>
    <col min="5" max="5" width="16.421875" style="210" customWidth="1"/>
    <col min="6" max="6" width="16.140625" style="1" customWidth="1"/>
    <col min="7" max="7" width="9.140625" style="211" customWidth="1"/>
    <col min="8" max="8" width="6.421875" style="211" customWidth="1"/>
    <col min="9" max="13" width="15.140625" style="211" customWidth="1"/>
    <col min="14" max="14" width="3.8515625" style="209" customWidth="1"/>
    <col min="15" max="15" width="5.28125" style="209" customWidth="1"/>
    <col min="16" max="16" width="10.421875" style="211" bestFit="1" customWidth="1"/>
    <col min="17" max="17" width="9.00390625" style="211" customWidth="1"/>
    <col min="18" max="18" width="10.421875" style="211" bestFit="1" customWidth="1"/>
    <col min="19" max="16384" width="9.00390625" style="211" customWidth="1"/>
  </cols>
  <sheetData>
    <row r="1" spans="8:18" ht="13.5">
      <c r="H1" s="209"/>
      <c r="P1" s="209"/>
      <c r="Q1" s="212"/>
      <c r="R1" s="212"/>
    </row>
    <row r="2" spans="2:18" ht="13.5">
      <c r="B2" s="559" t="s">
        <v>216</v>
      </c>
      <c r="C2" s="559"/>
      <c r="D2" s="559"/>
      <c r="H2" s="209"/>
      <c r="P2" s="209"/>
      <c r="Q2" s="212"/>
      <c r="R2" s="212"/>
    </row>
    <row r="3" spans="8:18" ht="13.5">
      <c r="H3" s="209"/>
      <c r="P3" s="209"/>
      <c r="Q3" s="212"/>
      <c r="R3" s="212"/>
    </row>
    <row r="4" spans="1:6" ht="13.5" customHeight="1">
      <c r="A4" s="560" t="s">
        <v>243</v>
      </c>
      <c r="B4" s="560"/>
      <c r="C4" s="560"/>
      <c r="D4" s="560"/>
      <c r="E4" s="560"/>
      <c r="F4" s="209"/>
    </row>
    <row r="5" spans="1:14" ht="13.5" customHeight="1">
      <c r="A5" s="213"/>
      <c r="B5" s="213"/>
      <c r="C5" s="213"/>
      <c r="D5" s="213"/>
      <c r="E5" s="214"/>
      <c r="F5" s="209"/>
      <c r="N5" s="213"/>
    </row>
    <row r="6" spans="1:14" ht="13.5" customHeight="1">
      <c r="A6" s="213"/>
      <c r="B6" s="215" t="s">
        <v>161</v>
      </c>
      <c r="C6" s="216"/>
      <c r="D6" s="217"/>
      <c r="E6" s="218"/>
      <c r="F6" s="554" t="s">
        <v>16</v>
      </c>
      <c r="G6" s="555"/>
      <c r="H6" s="556"/>
      <c r="N6" s="213"/>
    </row>
    <row r="7" spans="1:14" ht="13.5" customHeight="1">
      <c r="A7" s="213"/>
      <c r="B7" s="213"/>
      <c r="C7" s="213"/>
      <c r="D7" s="213"/>
      <c r="E7" s="214"/>
      <c r="F7" s="563" t="s">
        <v>24</v>
      </c>
      <c r="G7" s="564"/>
      <c r="H7" s="565"/>
      <c r="N7" s="213"/>
    </row>
    <row r="8" spans="1:15" ht="13.5" customHeight="1">
      <c r="A8" s="213"/>
      <c r="B8" s="213"/>
      <c r="C8" s="213"/>
      <c r="D8" s="213"/>
      <c r="E8" s="214"/>
      <c r="F8" s="209"/>
      <c r="N8" s="213"/>
      <c r="O8" s="219"/>
    </row>
    <row r="9" spans="1:14" ht="13.5" customHeight="1">
      <c r="A9" s="213"/>
      <c r="F9" s="209"/>
      <c r="I9" s="220" t="s">
        <v>32</v>
      </c>
      <c r="J9" s="1" t="str">
        <f>IF('基本情報入力（使い方）'!$C$12="","",'基本情報入力（使い方）'!$C$12)</f>
        <v>Ｂ金属株式会社</v>
      </c>
      <c r="K9" s="220"/>
      <c r="L9" s="1"/>
      <c r="N9" s="213"/>
    </row>
    <row r="10" spans="1:15" ht="13.5" customHeight="1" thickBot="1">
      <c r="A10" s="213"/>
      <c r="F10" s="209"/>
      <c r="M10" s="220" t="s">
        <v>20</v>
      </c>
      <c r="N10" s="211"/>
      <c r="O10" s="220"/>
    </row>
    <row r="11" spans="1:15" ht="27" customHeight="1">
      <c r="A11" s="561" t="s">
        <v>1</v>
      </c>
      <c r="B11" s="552" t="s">
        <v>2</v>
      </c>
      <c r="C11" s="552"/>
      <c r="D11" s="553"/>
      <c r="E11" s="221" t="s">
        <v>3</v>
      </c>
      <c r="F11" s="222" t="s">
        <v>4</v>
      </c>
      <c r="G11" s="222" t="s">
        <v>5</v>
      </c>
      <c r="H11" s="222" t="s">
        <v>6</v>
      </c>
      <c r="I11" s="222" t="s">
        <v>0</v>
      </c>
      <c r="J11" s="222" t="s">
        <v>0</v>
      </c>
      <c r="K11" s="572" t="s">
        <v>7</v>
      </c>
      <c r="L11" s="553"/>
      <c r="M11" s="223" t="s">
        <v>8</v>
      </c>
      <c r="N11" s="544" t="s">
        <v>1</v>
      </c>
      <c r="O11" s="568" t="s">
        <v>38</v>
      </c>
    </row>
    <row r="12" spans="1:15" ht="42" customHeight="1" thickBot="1">
      <c r="A12" s="562"/>
      <c r="B12" s="224" t="s">
        <v>9</v>
      </c>
      <c r="C12" s="224" t="s">
        <v>10</v>
      </c>
      <c r="D12" s="225" t="s">
        <v>11</v>
      </c>
      <c r="E12" s="226"/>
      <c r="F12" s="227"/>
      <c r="G12" s="228"/>
      <c r="H12" s="228"/>
      <c r="I12" s="228" t="s">
        <v>12</v>
      </c>
      <c r="J12" s="228" t="s">
        <v>25</v>
      </c>
      <c r="K12" s="228" t="s">
        <v>13</v>
      </c>
      <c r="L12" s="229" t="s">
        <v>23</v>
      </c>
      <c r="M12" s="229" t="s">
        <v>14</v>
      </c>
      <c r="N12" s="545"/>
      <c r="O12" s="569"/>
    </row>
    <row r="13" spans="1:15" ht="61.5" customHeight="1">
      <c r="A13" s="246">
        <v>1</v>
      </c>
      <c r="B13" s="548">
        <v>43039</v>
      </c>
      <c r="C13" s="549"/>
      <c r="D13" s="549"/>
      <c r="E13" s="280" t="s">
        <v>104</v>
      </c>
      <c r="F13" s="281" t="s">
        <v>105</v>
      </c>
      <c r="G13" s="282">
        <v>20</v>
      </c>
      <c r="H13" s="283" t="s">
        <v>106</v>
      </c>
      <c r="I13" s="31">
        <f>IF(J13="","",ROUNDDOWN(J13*(1+O13/100),0))</f>
        <v>5140</v>
      </c>
      <c r="J13" s="290">
        <v>4760</v>
      </c>
      <c r="K13" s="31">
        <f>IF(L13="","",ROUNDDOWN(L13*(1+O13/100),0))</f>
        <v>102816</v>
      </c>
      <c r="L13" s="31">
        <f>IF(OR(J13="",G13=""),"",ROUNDDOWN(J13*G13,0))</f>
        <v>95200</v>
      </c>
      <c r="M13" s="192">
        <f>L13</f>
        <v>95200</v>
      </c>
      <c r="N13" s="259">
        <v>1</v>
      </c>
      <c r="O13" s="292">
        <v>8</v>
      </c>
    </row>
    <row r="14" spans="1:16" ht="61.5" customHeight="1">
      <c r="A14" s="248">
        <v>2</v>
      </c>
      <c r="B14" s="548">
        <v>43039</v>
      </c>
      <c r="C14" s="549"/>
      <c r="D14" s="549"/>
      <c r="E14" s="281" t="s">
        <v>104</v>
      </c>
      <c r="F14" s="281" t="s">
        <v>107</v>
      </c>
      <c r="G14" s="284">
        <v>10</v>
      </c>
      <c r="H14" s="283" t="s">
        <v>108</v>
      </c>
      <c r="I14" s="31">
        <f aca="true" t="shared" si="0" ref="I14:I22">IF(J14="","",ROUNDDOWN(J14*(1+O14/100),0))</f>
        <v>3807</v>
      </c>
      <c r="J14" s="299">
        <v>3525</v>
      </c>
      <c r="K14" s="31">
        <f aca="true" t="shared" si="1" ref="K14:K22">IF(L14="","",ROUNDDOWN(L14*(1+O14/100),0))</f>
        <v>38070</v>
      </c>
      <c r="L14" s="32">
        <f aca="true" t="shared" si="2" ref="L14:L22">IF(OR(J14="",G14=""),"",ROUNDDOWN(J14*G14,0))</f>
        <v>35250</v>
      </c>
      <c r="M14" s="192">
        <f aca="true" t="shared" si="3" ref="M14:M22">L14</f>
        <v>35250</v>
      </c>
      <c r="N14" s="260">
        <v>2</v>
      </c>
      <c r="O14" s="292">
        <v>8</v>
      </c>
      <c r="P14" s="219"/>
    </row>
    <row r="15" spans="1:16" ht="61.5" customHeight="1">
      <c r="A15" s="246">
        <v>3</v>
      </c>
      <c r="B15" s="548">
        <v>43069</v>
      </c>
      <c r="C15" s="549"/>
      <c r="D15" s="549"/>
      <c r="E15" s="285" t="s">
        <v>104</v>
      </c>
      <c r="F15" s="285" t="s">
        <v>109</v>
      </c>
      <c r="G15" s="284">
        <v>10</v>
      </c>
      <c r="H15" s="283" t="s">
        <v>110</v>
      </c>
      <c r="I15" s="31">
        <f t="shared" si="0"/>
        <v>16200</v>
      </c>
      <c r="J15" s="299">
        <v>15000</v>
      </c>
      <c r="K15" s="31">
        <f t="shared" si="1"/>
        <v>162000</v>
      </c>
      <c r="L15" s="32">
        <f t="shared" si="2"/>
        <v>150000</v>
      </c>
      <c r="M15" s="32">
        <f t="shared" si="3"/>
        <v>150000</v>
      </c>
      <c r="N15" s="259">
        <v>3</v>
      </c>
      <c r="O15" s="292">
        <v>8</v>
      </c>
      <c r="P15" s="219"/>
    </row>
    <row r="16" spans="1:18" s="232" customFormat="1" ht="61.5" customHeight="1">
      <c r="A16" s="248">
        <v>4</v>
      </c>
      <c r="B16" s="548">
        <v>43008</v>
      </c>
      <c r="C16" s="549"/>
      <c r="D16" s="549"/>
      <c r="E16" s="285" t="s">
        <v>104</v>
      </c>
      <c r="F16" s="285" t="s">
        <v>111</v>
      </c>
      <c r="G16" s="282">
        <v>10</v>
      </c>
      <c r="H16" s="283" t="s">
        <v>108</v>
      </c>
      <c r="I16" s="31">
        <f t="shared" si="0"/>
        <v>1620</v>
      </c>
      <c r="J16" s="299">
        <v>1500</v>
      </c>
      <c r="K16" s="31">
        <f t="shared" si="1"/>
        <v>16200</v>
      </c>
      <c r="L16" s="32">
        <f t="shared" si="2"/>
        <v>15000</v>
      </c>
      <c r="M16" s="32">
        <f t="shared" si="3"/>
        <v>15000</v>
      </c>
      <c r="N16" s="260">
        <v>4</v>
      </c>
      <c r="O16" s="292">
        <v>8</v>
      </c>
      <c r="P16" s="219"/>
      <c r="Q16" s="211"/>
      <c r="R16" s="211"/>
    </row>
    <row r="17" spans="1:18" s="232" customFormat="1" ht="61.5" customHeight="1">
      <c r="A17" s="246">
        <v>5</v>
      </c>
      <c r="B17" s="548">
        <v>43039</v>
      </c>
      <c r="C17" s="549"/>
      <c r="D17" s="549"/>
      <c r="E17" s="285" t="s">
        <v>104</v>
      </c>
      <c r="F17" s="285" t="s">
        <v>111</v>
      </c>
      <c r="G17" s="284">
        <v>1</v>
      </c>
      <c r="H17" s="283" t="s">
        <v>110</v>
      </c>
      <c r="I17" s="31">
        <f t="shared" si="0"/>
        <v>129600</v>
      </c>
      <c r="J17" s="299">
        <v>120000</v>
      </c>
      <c r="K17" s="31">
        <f t="shared" si="1"/>
        <v>129600</v>
      </c>
      <c r="L17" s="32">
        <f t="shared" si="2"/>
        <v>120000</v>
      </c>
      <c r="M17" s="32">
        <f t="shared" si="3"/>
        <v>120000</v>
      </c>
      <c r="N17" s="259">
        <v>5</v>
      </c>
      <c r="O17" s="292">
        <v>8</v>
      </c>
      <c r="P17" s="211"/>
      <c r="Q17" s="211"/>
      <c r="R17" s="211"/>
    </row>
    <row r="18" spans="1:15" ht="61.5" customHeight="1">
      <c r="A18" s="248">
        <v>6</v>
      </c>
      <c r="B18" s="548">
        <v>43069</v>
      </c>
      <c r="C18" s="549"/>
      <c r="D18" s="549"/>
      <c r="E18" s="308" t="s">
        <v>104</v>
      </c>
      <c r="F18" s="285" t="s">
        <v>111</v>
      </c>
      <c r="G18" s="284">
        <v>1</v>
      </c>
      <c r="H18" s="283" t="s">
        <v>112</v>
      </c>
      <c r="I18" s="31">
        <f t="shared" si="0"/>
        <v>105840</v>
      </c>
      <c r="J18" s="299">
        <v>98000</v>
      </c>
      <c r="K18" s="31">
        <f t="shared" si="1"/>
        <v>105840</v>
      </c>
      <c r="L18" s="32">
        <f t="shared" si="2"/>
        <v>98000</v>
      </c>
      <c r="M18" s="32">
        <f t="shared" si="3"/>
        <v>98000</v>
      </c>
      <c r="N18" s="260">
        <v>6</v>
      </c>
      <c r="O18" s="292">
        <v>8</v>
      </c>
    </row>
    <row r="19" spans="1:15" ht="61.5" customHeight="1">
      <c r="A19" s="246">
        <v>7</v>
      </c>
      <c r="B19" s="548"/>
      <c r="C19" s="549"/>
      <c r="D19" s="549"/>
      <c r="E19" s="308"/>
      <c r="F19" s="285"/>
      <c r="G19" s="282"/>
      <c r="H19" s="297"/>
      <c r="I19" s="31">
        <f t="shared" si="0"/>
      </c>
      <c r="J19" s="299"/>
      <c r="K19" s="31">
        <f t="shared" si="1"/>
      </c>
      <c r="L19" s="32">
        <f t="shared" si="2"/>
      </c>
      <c r="M19" s="32">
        <f t="shared" si="3"/>
      </c>
      <c r="N19" s="259">
        <v>7</v>
      </c>
      <c r="O19" s="292">
        <v>8</v>
      </c>
    </row>
    <row r="20" spans="1:15" ht="61.5" customHeight="1">
      <c r="A20" s="248">
        <v>8</v>
      </c>
      <c r="B20" s="548"/>
      <c r="C20" s="549"/>
      <c r="D20" s="549"/>
      <c r="E20" s="308"/>
      <c r="F20" s="285"/>
      <c r="G20" s="284"/>
      <c r="H20" s="297"/>
      <c r="I20" s="31">
        <f t="shared" si="0"/>
      </c>
      <c r="J20" s="299"/>
      <c r="K20" s="31">
        <f t="shared" si="1"/>
      </c>
      <c r="L20" s="32">
        <f t="shared" si="2"/>
      </c>
      <c r="M20" s="32">
        <f t="shared" si="3"/>
      </c>
      <c r="N20" s="260">
        <v>8</v>
      </c>
      <c r="O20" s="292">
        <v>8</v>
      </c>
    </row>
    <row r="21" spans="1:15" ht="61.5" customHeight="1">
      <c r="A21" s="246">
        <v>9</v>
      </c>
      <c r="B21" s="548"/>
      <c r="C21" s="549"/>
      <c r="D21" s="549"/>
      <c r="E21" s="308"/>
      <c r="F21" s="285"/>
      <c r="G21" s="284"/>
      <c r="H21" s="297"/>
      <c r="I21" s="31">
        <f t="shared" si="0"/>
      </c>
      <c r="J21" s="299"/>
      <c r="K21" s="31">
        <f t="shared" si="1"/>
      </c>
      <c r="L21" s="32">
        <f t="shared" si="2"/>
      </c>
      <c r="M21" s="32">
        <f t="shared" si="3"/>
      </c>
      <c r="N21" s="259">
        <v>9</v>
      </c>
      <c r="O21" s="292">
        <v>8</v>
      </c>
    </row>
    <row r="22" spans="1:15" ht="61.5" customHeight="1" thickBot="1">
      <c r="A22" s="255">
        <v>10</v>
      </c>
      <c r="B22" s="550"/>
      <c r="C22" s="551"/>
      <c r="D22" s="551"/>
      <c r="E22" s="309"/>
      <c r="F22" s="287"/>
      <c r="G22" s="288"/>
      <c r="H22" s="289"/>
      <c r="I22" s="33">
        <f t="shared" si="0"/>
      </c>
      <c r="J22" s="291"/>
      <c r="K22" s="33">
        <f t="shared" si="1"/>
      </c>
      <c r="L22" s="33">
        <f t="shared" si="2"/>
      </c>
      <c r="M22" s="33">
        <f t="shared" si="3"/>
      </c>
      <c r="N22" s="261">
        <v>10</v>
      </c>
      <c r="O22" s="293">
        <v>8</v>
      </c>
    </row>
    <row r="23" spans="1:14" ht="21" customHeight="1" thickBot="1">
      <c r="A23" s="546" t="s">
        <v>15</v>
      </c>
      <c r="B23" s="547"/>
      <c r="C23" s="547"/>
      <c r="D23" s="547"/>
      <c r="E23" s="547"/>
      <c r="F23" s="547"/>
      <c r="G23" s="547"/>
      <c r="H23" s="547"/>
      <c r="I23" s="547"/>
      <c r="J23" s="235"/>
      <c r="K23" s="30">
        <f>SUM(K13:K22)</f>
        <v>554526</v>
      </c>
      <c r="L23" s="37">
        <f>SUM(L13:L22)</f>
        <v>513450</v>
      </c>
      <c r="M23" s="29">
        <f>SUM(M13:M22)</f>
        <v>513450</v>
      </c>
      <c r="N23" s="236"/>
    </row>
    <row r="24" spans="1:14" ht="13.5" customHeight="1">
      <c r="A24" s="213"/>
      <c r="L24" s="238"/>
      <c r="M24" s="239"/>
      <c r="N24" s="213"/>
    </row>
    <row r="25" spans="2:14" ht="13.5" customHeight="1">
      <c r="B25" s="211" t="s">
        <v>17</v>
      </c>
      <c r="D25" s="241"/>
      <c r="E25" s="1" t="s">
        <v>33</v>
      </c>
      <c r="N25" s="213"/>
    </row>
    <row r="26" spans="2:16" ht="13.5" customHeight="1">
      <c r="B26" s="211" t="s">
        <v>18</v>
      </c>
      <c r="E26" s="1" t="s">
        <v>34</v>
      </c>
      <c r="P26" s="1"/>
    </row>
    <row r="27" spans="2:16" ht="13.5" customHeight="1">
      <c r="B27" s="211" t="s">
        <v>19</v>
      </c>
      <c r="E27" s="1" t="s">
        <v>35</v>
      </c>
      <c r="P27" s="1"/>
    </row>
    <row r="28" spans="1:16" s="1" customFormat="1" ht="13.5">
      <c r="A28" s="209"/>
      <c r="B28" s="211"/>
      <c r="C28" s="211"/>
      <c r="D28" s="211"/>
      <c r="E28" s="210"/>
      <c r="G28" s="211"/>
      <c r="H28" s="211"/>
      <c r="I28" s="211"/>
      <c r="J28" s="211"/>
      <c r="K28" s="211"/>
      <c r="L28" s="211"/>
      <c r="M28" s="211"/>
      <c r="N28" s="209"/>
      <c r="O28" s="209"/>
      <c r="P28" s="211"/>
    </row>
    <row r="29" spans="1:16" s="1" customFormat="1" ht="13.5">
      <c r="A29" s="209"/>
      <c r="B29" s="211"/>
      <c r="C29" s="211"/>
      <c r="D29" s="211"/>
      <c r="E29" s="210"/>
      <c r="G29" s="211"/>
      <c r="H29" s="211"/>
      <c r="I29" s="211"/>
      <c r="J29" s="211"/>
      <c r="K29" s="211"/>
      <c r="L29" s="211"/>
      <c r="M29" s="211"/>
      <c r="N29" s="209"/>
      <c r="O29" s="209"/>
      <c r="P29" s="211"/>
    </row>
    <row r="30" spans="1:16" s="1" customFormat="1" ht="13.5">
      <c r="A30" s="209"/>
      <c r="B30" s="211"/>
      <c r="C30" s="211"/>
      <c r="D30" s="211"/>
      <c r="E30" s="210"/>
      <c r="G30" s="211"/>
      <c r="H30" s="211"/>
      <c r="I30" s="211"/>
      <c r="J30" s="211"/>
      <c r="K30" s="211"/>
      <c r="L30" s="211"/>
      <c r="M30" s="211"/>
      <c r="N30" s="209"/>
      <c r="O30" s="209"/>
      <c r="P30" s="211"/>
    </row>
  </sheetData>
  <sheetProtection sheet="1" objects="1" scenarios="1"/>
  <mergeCells count="20">
    <mergeCell ref="B2:D2"/>
    <mergeCell ref="O11:O12"/>
    <mergeCell ref="B18:D18"/>
    <mergeCell ref="A4:E4"/>
    <mergeCell ref="A11:A12"/>
    <mergeCell ref="B11:D11"/>
    <mergeCell ref="K11:L11"/>
    <mergeCell ref="N11:N12"/>
    <mergeCell ref="F7:H7"/>
    <mergeCell ref="F6:H6"/>
    <mergeCell ref="B19:D19"/>
    <mergeCell ref="B20:D20"/>
    <mergeCell ref="B21:D21"/>
    <mergeCell ref="B22:D22"/>
    <mergeCell ref="A23:I23"/>
    <mergeCell ref="B13:D13"/>
    <mergeCell ref="B14:D14"/>
    <mergeCell ref="B15:D15"/>
    <mergeCell ref="B16:D16"/>
    <mergeCell ref="B17:D17"/>
  </mergeCells>
  <dataValidations count="2">
    <dataValidation allowBlank="1" showInputMessage="1" showErrorMessage="1" imeMode="halfAlpha" sqref="I13:M22"/>
    <dataValidation allowBlank="1" showInputMessage="1" showErrorMessage="1" imeMode="hiragana" sqref="L9 J9"/>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57" r:id="rId1"/>
</worksheet>
</file>

<file path=xl/worksheets/sheet11.xml><?xml version="1.0" encoding="utf-8"?>
<worksheet xmlns="http://schemas.openxmlformats.org/spreadsheetml/2006/main" xmlns:r="http://schemas.openxmlformats.org/officeDocument/2006/relationships">
  <sheetPr codeName="Sheet6">
    <tabColor theme="6" tint="0.7999799847602844"/>
    <pageSetUpPr fitToPage="1"/>
  </sheetPr>
  <dimension ref="A1:R27"/>
  <sheetViews>
    <sheetView showGridLines="0" zoomScaleSheetLayoutView="100" workbookViewId="0" topLeftCell="A1">
      <pane ySplit="3" topLeftCell="A4" activePane="bottomLeft" state="frozen"/>
      <selection pane="topLeft" activeCell="B13" sqref="B13:D22"/>
      <selection pane="bottomLeft" activeCell="A1" sqref="A1"/>
    </sheetView>
  </sheetViews>
  <sheetFormatPr defaultColWidth="9.140625" defaultRowHeight="15"/>
  <cols>
    <col min="1" max="1" width="8.421875" style="211" customWidth="1"/>
    <col min="2" max="4" width="3.7109375" style="211" customWidth="1"/>
    <col min="5" max="5" width="16.421875" style="210" customWidth="1"/>
    <col min="6" max="6" width="16.140625" style="1" customWidth="1"/>
    <col min="7" max="7" width="9.140625" style="211" customWidth="1"/>
    <col min="8" max="8" width="6.421875" style="211" customWidth="1"/>
    <col min="9" max="9" width="15.140625" style="211" customWidth="1"/>
    <col min="10" max="10" width="15.140625" style="242" customWidth="1"/>
    <col min="11" max="13" width="15.140625" style="211" customWidth="1"/>
    <col min="14" max="14" width="3.8515625" style="209" customWidth="1"/>
    <col min="15" max="15" width="5.28125" style="209" customWidth="1"/>
    <col min="16" max="16384" width="9.00390625" style="211" customWidth="1"/>
  </cols>
  <sheetData>
    <row r="1" spans="1:18" ht="13.5">
      <c r="A1" s="209"/>
      <c r="H1" s="209"/>
      <c r="J1" s="211"/>
      <c r="P1" s="209"/>
      <c r="Q1" s="212"/>
      <c r="R1" s="212"/>
    </row>
    <row r="2" spans="1:18" ht="13.5">
      <c r="A2" s="209"/>
      <c r="B2" s="559" t="s">
        <v>216</v>
      </c>
      <c r="C2" s="559"/>
      <c r="D2" s="559"/>
      <c r="H2" s="209"/>
      <c r="J2" s="211"/>
      <c r="P2" s="209"/>
      <c r="Q2" s="212"/>
      <c r="R2" s="212"/>
    </row>
    <row r="3" spans="1:18" ht="13.5">
      <c r="A3" s="209"/>
      <c r="H3" s="209"/>
      <c r="J3" s="211"/>
      <c r="P3" s="209"/>
      <c r="Q3" s="212"/>
      <c r="R3" s="212"/>
    </row>
    <row r="4" spans="1:6" ht="13.5" customHeight="1">
      <c r="A4" s="560" t="s">
        <v>243</v>
      </c>
      <c r="B4" s="560"/>
      <c r="C4" s="560"/>
      <c r="D4" s="560"/>
      <c r="E4" s="560"/>
      <c r="F4" s="209"/>
    </row>
    <row r="5" spans="1:14" ht="13.5" customHeight="1">
      <c r="A5" s="213"/>
      <c r="B5" s="213"/>
      <c r="C5" s="213"/>
      <c r="D5" s="213"/>
      <c r="E5" s="214"/>
      <c r="F5" s="209"/>
      <c r="N5" s="213"/>
    </row>
    <row r="6" spans="1:14" ht="13.5" customHeight="1">
      <c r="A6" s="213"/>
      <c r="B6" s="215" t="s">
        <v>161</v>
      </c>
      <c r="C6" s="216"/>
      <c r="D6" s="217"/>
      <c r="E6" s="218"/>
      <c r="F6" s="554" t="s">
        <v>16</v>
      </c>
      <c r="G6" s="555"/>
      <c r="H6" s="556"/>
      <c r="N6" s="213"/>
    </row>
    <row r="7" spans="1:14" ht="13.5" customHeight="1">
      <c r="A7" s="213"/>
      <c r="B7" s="213"/>
      <c r="C7" s="213"/>
      <c r="D7" s="213"/>
      <c r="E7" s="214"/>
      <c r="F7" s="563" t="s">
        <v>29</v>
      </c>
      <c r="G7" s="564"/>
      <c r="H7" s="565"/>
      <c r="N7" s="213"/>
    </row>
    <row r="8" spans="1:15" ht="13.5" customHeight="1">
      <c r="A8" s="213"/>
      <c r="B8" s="213"/>
      <c r="C8" s="213"/>
      <c r="D8" s="213"/>
      <c r="E8" s="214"/>
      <c r="F8" s="209"/>
      <c r="N8" s="213"/>
      <c r="O8" s="219"/>
    </row>
    <row r="9" spans="1:14" ht="13.5" customHeight="1">
      <c r="A9" s="241"/>
      <c r="F9" s="209"/>
      <c r="I9" s="220" t="s">
        <v>32</v>
      </c>
      <c r="J9" s="1" t="str">
        <f>IF('基本情報入力（使い方）'!$C$12="","",'基本情報入力（使い方）'!$C$12)</f>
        <v>Ｂ金属株式会社</v>
      </c>
      <c r="K9" s="220"/>
      <c r="L9" s="1"/>
      <c r="N9" s="213"/>
    </row>
    <row r="10" spans="1:15" ht="13.5" customHeight="1" thickBot="1">
      <c r="A10" s="241"/>
      <c r="F10" s="209"/>
      <c r="M10" s="220" t="s">
        <v>20</v>
      </c>
      <c r="N10" s="211"/>
      <c r="O10" s="220"/>
    </row>
    <row r="11" spans="1:15" ht="27" customHeight="1">
      <c r="A11" s="561" t="s">
        <v>1</v>
      </c>
      <c r="B11" s="552" t="s">
        <v>2</v>
      </c>
      <c r="C11" s="552"/>
      <c r="D11" s="553"/>
      <c r="E11" s="221" t="s">
        <v>3</v>
      </c>
      <c r="F11" s="222" t="s">
        <v>4</v>
      </c>
      <c r="G11" s="222" t="s">
        <v>5</v>
      </c>
      <c r="H11" s="222" t="s">
        <v>6</v>
      </c>
      <c r="I11" s="222" t="s">
        <v>0</v>
      </c>
      <c r="J11" s="262" t="s">
        <v>0</v>
      </c>
      <c r="K11" s="572" t="s">
        <v>7</v>
      </c>
      <c r="L11" s="553"/>
      <c r="M11" s="223" t="s">
        <v>8</v>
      </c>
      <c r="N11" s="544" t="s">
        <v>1</v>
      </c>
      <c r="O11" s="568" t="s">
        <v>38</v>
      </c>
    </row>
    <row r="12" spans="1:15" ht="42" customHeight="1" thickBot="1">
      <c r="A12" s="562"/>
      <c r="B12" s="224" t="s">
        <v>9</v>
      </c>
      <c r="C12" s="224" t="s">
        <v>10</v>
      </c>
      <c r="D12" s="225" t="s">
        <v>11</v>
      </c>
      <c r="E12" s="226"/>
      <c r="F12" s="227"/>
      <c r="G12" s="228"/>
      <c r="H12" s="228"/>
      <c r="I12" s="228" t="s">
        <v>12</v>
      </c>
      <c r="J12" s="263" t="s">
        <v>25</v>
      </c>
      <c r="K12" s="228" t="s">
        <v>13</v>
      </c>
      <c r="L12" s="229" t="s">
        <v>23</v>
      </c>
      <c r="M12" s="229" t="s">
        <v>14</v>
      </c>
      <c r="N12" s="545"/>
      <c r="O12" s="569"/>
    </row>
    <row r="13" spans="1:15" ht="61.5" customHeight="1">
      <c r="A13" s="246">
        <v>1</v>
      </c>
      <c r="B13" s="548">
        <v>43054</v>
      </c>
      <c r="C13" s="549"/>
      <c r="D13" s="549"/>
      <c r="E13" s="280" t="s">
        <v>115</v>
      </c>
      <c r="F13" s="281" t="s">
        <v>116</v>
      </c>
      <c r="G13" s="282">
        <v>5</v>
      </c>
      <c r="H13" s="283" t="s">
        <v>117</v>
      </c>
      <c r="I13" s="31">
        <f>IF(J13="","",ROUNDDOWN(J13*(1+O13/100),0))</f>
        <v>108000</v>
      </c>
      <c r="J13" s="290">
        <v>100000</v>
      </c>
      <c r="K13" s="31">
        <f>IF(L13="","",ROUNDDOWN(L13*(1+O13/100),0))</f>
        <v>540000</v>
      </c>
      <c r="L13" s="31">
        <f>IF(OR(J13="",G13=""),"",ROUNDDOWN(J13*G13,0))</f>
        <v>500000</v>
      </c>
      <c r="M13" s="192">
        <f>L13</f>
        <v>500000</v>
      </c>
      <c r="N13" s="259">
        <v>1</v>
      </c>
      <c r="O13" s="292">
        <v>8</v>
      </c>
    </row>
    <row r="14" spans="1:15" ht="61.5" customHeight="1">
      <c r="A14" s="248">
        <v>2</v>
      </c>
      <c r="B14" s="548"/>
      <c r="C14" s="549"/>
      <c r="D14" s="549"/>
      <c r="E14" s="285"/>
      <c r="F14" s="281"/>
      <c r="G14" s="282"/>
      <c r="H14" s="283"/>
      <c r="I14" s="31">
        <f aca="true" t="shared" si="0" ref="I14:I22">IF(J14="","",ROUNDDOWN(J14*(1+O14/100),0))</f>
      </c>
      <c r="J14" s="290"/>
      <c r="K14" s="31">
        <f aca="true" t="shared" si="1" ref="K14:K22">IF(L14="","",ROUNDDOWN(L14*(1+O14/100),0))</f>
      </c>
      <c r="L14" s="31">
        <f aca="true" t="shared" si="2" ref="L14:L22">IF(OR(J14="",G14=""),"",ROUNDDOWN(J14*G14,0))</f>
      </c>
      <c r="M14" s="192">
        <f aca="true" t="shared" si="3" ref="M14:M22">L14</f>
      </c>
      <c r="N14" s="260">
        <v>2</v>
      </c>
      <c r="O14" s="292">
        <v>8</v>
      </c>
    </row>
    <row r="15" spans="1:15" ht="61.5" customHeight="1">
      <c r="A15" s="246">
        <v>3</v>
      </c>
      <c r="B15" s="548"/>
      <c r="C15" s="549"/>
      <c r="D15" s="549"/>
      <c r="E15" s="285"/>
      <c r="F15" s="285"/>
      <c r="G15" s="282"/>
      <c r="H15" s="283"/>
      <c r="I15" s="31">
        <f t="shared" si="0"/>
      </c>
      <c r="J15" s="290"/>
      <c r="K15" s="31">
        <f t="shared" si="1"/>
      </c>
      <c r="L15" s="31">
        <f t="shared" si="2"/>
      </c>
      <c r="M15" s="32">
        <f t="shared" si="3"/>
      </c>
      <c r="N15" s="259">
        <v>3</v>
      </c>
      <c r="O15" s="292">
        <v>8</v>
      </c>
    </row>
    <row r="16" spans="1:15" s="232" customFormat="1" ht="61.5" customHeight="1">
      <c r="A16" s="248">
        <v>4</v>
      </c>
      <c r="B16" s="548"/>
      <c r="C16" s="549"/>
      <c r="D16" s="549"/>
      <c r="E16" s="285"/>
      <c r="F16" s="285"/>
      <c r="G16" s="282"/>
      <c r="H16" s="283"/>
      <c r="I16" s="31">
        <f t="shared" si="0"/>
      </c>
      <c r="J16" s="290"/>
      <c r="K16" s="31">
        <f t="shared" si="1"/>
      </c>
      <c r="L16" s="31">
        <f t="shared" si="2"/>
      </c>
      <c r="M16" s="32">
        <f t="shared" si="3"/>
      </c>
      <c r="N16" s="264">
        <v>4</v>
      </c>
      <c r="O16" s="292">
        <v>8</v>
      </c>
    </row>
    <row r="17" spans="1:15" s="232" customFormat="1" ht="61.5" customHeight="1">
      <c r="A17" s="246">
        <v>5</v>
      </c>
      <c r="B17" s="548"/>
      <c r="C17" s="549"/>
      <c r="D17" s="549"/>
      <c r="E17" s="285"/>
      <c r="F17" s="285"/>
      <c r="G17" s="282"/>
      <c r="H17" s="283"/>
      <c r="I17" s="31">
        <f t="shared" si="0"/>
      </c>
      <c r="J17" s="290"/>
      <c r="K17" s="31">
        <f t="shared" si="1"/>
      </c>
      <c r="L17" s="31">
        <f t="shared" si="2"/>
      </c>
      <c r="M17" s="32">
        <f t="shared" si="3"/>
      </c>
      <c r="N17" s="265">
        <v>5</v>
      </c>
      <c r="O17" s="292">
        <v>8</v>
      </c>
    </row>
    <row r="18" spans="1:15" ht="61.5" customHeight="1">
      <c r="A18" s="248">
        <v>6</v>
      </c>
      <c r="B18" s="548"/>
      <c r="C18" s="549"/>
      <c r="D18" s="549"/>
      <c r="E18" s="285"/>
      <c r="F18" s="285"/>
      <c r="G18" s="282"/>
      <c r="H18" s="283"/>
      <c r="I18" s="31">
        <f t="shared" si="0"/>
      </c>
      <c r="J18" s="290"/>
      <c r="K18" s="31">
        <f t="shared" si="1"/>
      </c>
      <c r="L18" s="31">
        <f t="shared" si="2"/>
      </c>
      <c r="M18" s="32">
        <f t="shared" si="3"/>
      </c>
      <c r="N18" s="260">
        <v>6</v>
      </c>
      <c r="O18" s="292">
        <v>8</v>
      </c>
    </row>
    <row r="19" spans="1:15" ht="61.5" customHeight="1">
      <c r="A19" s="246">
        <v>7</v>
      </c>
      <c r="B19" s="548"/>
      <c r="C19" s="549"/>
      <c r="D19" s="549"/>
      <c r="E19" s="285"/>
      <c r="F19" s="286"/>
      <c r="G19" s="282"/>
      <c r="H19" s="283"/>
      <c r="I19" s="31">
        <f t="shared" si="0"/>
      </c>
      <c r="J19" s="290"/>
      <c r="K19" s="31">
        <f t="shared" si="1"/>
      </c>
      <c r="L19" s="31">
        <f t="shared" si="2"/>
      </c>
      <c r="M19" s="32">
        <f t="shared" si="3"/>
      </c>
      <c r="N19" s="259">
        <v>7</v>
      </c>
      <c r="O19" s="292">
        <v>8</v>
      </c>
    </row>
    <row r="20" spans="1:15" ht="61.5" customHeight="1">
      <c r="A20" s="248">
        <v>8</v>
      </c>
      <c r="B20" s="548"/>
      <c r="C20" s="549"/>
      <c r="D20" s="549"/>
      <c r="E20" s="285"/>
      <c r="F20" s="285"/>
      <c r="G20" s="282"/>
      <c r="H20" s="283"/>
      <c r="I20" s="31">
        <f t="shared" si="0"/>
      </c>
      <c r="J20" s="290"/>
      <c r="K20" s="31">
        <f t="shared" si="1"/>
      </c>
      <c r="L20" s="31">
        <f t="shared" si="2"/>
      </c>
      <c r="M20" s="32">
        <f t="shared" si="3"/>
      </c>
      <c r="N20" s="260">
        <v>8</v>
      </c>
      <c r="O20" s="292">
        <v>8</v>
      </c>
    </row>
    <row r="21" spans="1:15" ht="61.5" customHeight="1">
      <c r="A21" s="246">
        <v>9</v>
      </c>
      <c r="B21" s="548"/>
      <c r="C21" s="549"/>
      <c r="D21" s="549"/>
      <c r="E21" s="285"/>
      <c r="F21" s="285"/>
      <c r="G21" s="282"/>
      <c r="H21" s="283"/>
      <c r="I21" s="31">
        <f t="shared" si="0"/>
      </c>
      <c r="J21" s="290"/>
      <c r="K21" s="31">
        <f t="shared" si="1"/>
      </c>
      <c r="L21" s="31">
        <f t="shared" si="2"/>
      </c>
      <c r="M21" s="32">
        <f t="shared" si="3"/>
      </c>
      <c r="N21" s="259">
        <v>9</v>
      </c>
      <c r="O21" s="292">
        <v>8</v>
      </c>
    </row>
    <row r="22" spans="1:15" ht="61.5" customHeight="1" thickBot="1">
      <c r="A22" s="255">
        <v>10</v>
      </c>
      <c r="B22" s="550"/>
      <c r="C22" s="551"/>
      <c r="D22" s="551"/>
      <c r="E22" s="287"/>
      <c r="F22" s="287"/>
      <c r="G22" s="288"/>
      <c r="H22" s="289"/>
      <c r="I22" s="33">
        <f t="shared" si="0"/>
      </c>
      <c r="J22" s="291"/>
      <c r="K22" s="33">
        <f t="shared" si="1"/>
      </c>
      <c r="L22" s="33">
        <f t="shared" si="2"/>
      </c>
      <c r="M22" s="33">
        <f t="shared" si="3"/>
      </c>
      <c r="N22" s="261">
        <v>10</v>
      </c>
      <c r="O22" s="293">
        <v>8</v>
      </c>
    </row>
    <row r="23" spans="1:14" ht="21" customHeight="1" thickBot="1">
      <c r="A23" s="546" t="s">
        <v>15</v>
      </c>
      <c r="B23" s="547"/>
      <c r="C23" s="547"/>
      <c r="D23" s="547"/>
      <c r="E23" s="547"/>
      <c r="F23" s="547"/>
      <c r="G23" s="547"/>
      <c r="H23" s="547"/>
      <c r="I23" s="547"/>
      <c r="J23" s="266"/>
      <c r="K23" s="30">
        <f>SUM(K13:K22)</f>
        <v>540000</v>
      </c>
      <c r="L23" s="30">
        <f>SUM(L13:L22)</f>
        <v>500000</v>
      </c>
      <c r="M23" s="36">
        <f>SUM(M13:M22)</f>
        <v>500000</v>
      </c>
      <c r="N23" s="236"/>
    </row>
    <row r="24" spans="1:14" ht="13.5" customHeight="1">
      <c r="A24" s="241"/>
      <c r="L24" s="238"/>
      <c r="M24" s="239"/>
      <c r="N24" s="213"/>
    </row>
    <row r="25" spans="2:14" ht="13.5" customHeight="1">
      <c r="B25" s="211" t="s">
        <v>17</v>
      </c>
      <c r="D25" s="241"/>
      <c r="E25" s="1" t="s">
        <v>33</v>
      </c>
      <c r="N25" s="213"/>
    </row>
    <row r="26" spans="1:15" s="1" customFormat="1" ht="13.5" customHeight="1">
      <c r="A26" s="211"/>
      <c r="B26" s="211" t="s">
        <v>18</v>
      </c>
      <c r="C26" s="211"/>
      <c r="D26" s="211"/>
      <c r="E26" s="1" t="s">
        <v>34</v>
      </c>
      <c r="G26" s="211"/>
      <c r="H26" s="211"/>
      <c r="I26" s="211"/>
      <c r="J26" s="242"/>
      <c r="K26" s="211"/>
      <c r="L26" s="211"/>
      <c r="M26" s="211"/>
      <c r="N26" s="209"/>
      <c r="O26" s="209"/>
    </row>
    <row r="27" spans="1:15" s="1" customFormat="1" ht="13.5" customHeight="1">
      <c r="A27" s="211"/>
      <c r="B27" s="211" t="s">
        <v>19</v>
      </c>
      <c r="C27" s="211"/>
      <c r="D27" s="211"/>
      <c r="E27" s="1" t="s">
        <v>35</v>
      </c>
      <c r="G27" s="211"/>
      <c r="H27" s="211"/>
      <c r="I27" s="211"/>
      <c r="J27" s="242"/>
      <c r="K27" s="211"/>
      <c r="L27" s="211"/>
      <c r="M27" s="211"/>
      <c r="N27" s="209"/>
      <c r="O27" s="209"/>
    </row>
  </sheetData>
  <sheetProtection sheet="1" objects="1" scenarios="1"/>
  <mergeCells count="20">
    <mergeCell ref="B2:D2"/>
    <mergeCell ref="O11:O12"/>
    <mergeCell ref="B18:D18"/>
    <mergeCell ref="A4:E4"/>
    <mergeCell ref="A11:A12"/>
    <mergeCell ref="B11:D11"/>
    <mergeCell ref="K11:L11"/>
    <mergeCell ref="N11:N12"/>
    <mergeCell ref="F6:H6"/>
    <mergeCell ref="F7:H7"/>
    <mergeCell ref="B19:D19"/>
    <mergeCell ref="B20:D20"/>
    <mergeCell ref="B21:D21"/>
    <mergeCell ref="B22:D22"/>
    <mergeCell ref="A23:I23"/>
    <mergeCell ref="B13:D13"/>
    <mergeCell ref="B14:D14"/>
    <mergeCell ref="B15:D15"/>
    <mergeCell ref="B16:D16"/>
    <mergeCell ref="B17:D17"/>
  </mergeCells>
  <dataValidations count="2">
    <dataValidation allowBlank="1" showInputMessage="1" showErrorMessage="1" imeMode="halfAlpha" sqref="I13:M22"/>
    <dataValidation allowBlank="1" showInputMessage="1" showErrorMessage="1" imeMode="hiragana" sqref="L9 J9"/>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57" r:id="rId1"/>
</worksheet>
</file>

<file path=xl/worksheets/sheet12.xml><?xml version="1.0" encoding="utf-8"?>
<worksheet xmlns="http://schemas.openxmlformats.org/spreadsheetml/2006/main" xmlns:r="http://schemas.openxmlformats.org/officeDocument/2006/relationships">
  <sheetPr codeName="Sheet7">
    <tabColor theme="6" tint="0.7999799847602844"/>
    <pageSetUpPr fitToPage="1"/>
  </sheetPr>
  <dimension ref="A1:R27"/>
  <sheetViews>
    <sheetView showGridLines="0" zoomScaleSheetLayoutView="100" workbookViewId="0" topLeftCell="A1">
      <pane ySplit="3" topLeftCell="A4" activePane="bottomLeft" state="frozen"/>
      <selection pane="topLeft" activeCell="B13" sqref="B13:D22"/>
      <selection pane="bottomLeft" activeCell="A1" sqref="A1"/>
    </sheetView>
  </sheetViews>
  <sheetFormatPr defaultColWidth="9.140625" defaultRowHeight="15"/>
  <cols>
    <col min="1" max="1" width="8.421875" style="211" customWidth="1"/>
    <col min="2" max="4" width="3.7109375" style="211" customWidth="1"/>
    <col min="5" max="5" width="16.421875" style="1" customWidth="1"/>
    <col min="6" max="6" width="16.140625" style="1" customWidth="1"/>
    <col min="7" max="7" width="9.140625" style="211" customWidth="1"/>
    <col min="8" max="8" width="6.421875" style="211" customWidth="1"/>
    <col min="9" max="13" width="15.140625" style="211" customWidth="1"/>
    <col min="14" max="14" width="3.8515625" style="209" customWidth="1"/>
    <col min="15" max="15" width="5.28125" style="209" customWidth="1"/>
    <col min="16" max="16384" width="9.00390625" style="211" customWidth="1"/>
  </cols>
  <sheetData>
    <row r="1" spans="1:18" ht="13.5">
      <c r="A1" s="209"/>
      <c r="E1" s="210"/>
      <c r="H1" s="209"/>
      <c r="P1" s="209"/>
      <c r="Q1" s="212"/>
      <c r="R1" s="212"/>
    </row>
    <row r="2" spans="1:18" ht="13.5">
      <c r="A2" s="209"/>
      <c r="B2" s="559" t="s">
        <v>216</v>
      </c>
      <c r="C2" s="559"/>
      <c r="D2" s="559"/>
      <c r="E2" s="210"/>
      <c r="H2" s="209"/>
      <c r="P2" s="209"/>
      <c r="Q2" s="212"/>
      <c r="R2" s="212"/>
    </row>
    <row r="3" spans="1:18" ht="13.5">
      <c r="A3" s="209"/>
      <c r="E3" s="210"/>
      <c r="H3" s="209"/>
      <c r="P3" s="209"/>
      <c r="Q3" s="212"/>
      <c r="R3" s="212"/>
    </row>
    <row r="4" spans="1:6" ht="13.5" customHeight="1">
      <c r="A4" s="560" t="s">
        <v>243</v>
      </c>
      <c r="B4" s="560"/>
      <c r="C4" s="560"/>
      <c r="D4" s="560"/>
      <c r="E4" s="560"/>
      <c r="F4" s="209"/>
    </row>
    <row r="5" spans="1:14" ht="13.5" customHeight="1">
      <c r="A5" s="213"/>
      <c r="B5" s="213"/>
      <c r="C5" s="213"/>
      <c r="D5" s="213"/>
      <c r="E5" s="257"/>
      <c r="F5" s="209"/>
      <c r="N5" s="213"/>
    </row>
    <row r="6" spans="1:14" ht="13.5" customHeight="1">
      <c r="A6" s="213"/>
      <c r="B6" s="215" t="s">
        <v>161</v>
      </c>
      <c r="C6" s="216"/>
      <c r="D6" s="217"/>
      <c r="E6" s="218"/>
      <c r="F6" s="554" t="s">
        <v>16</v>
      </c>
      <c r="G6" s="555"/>
      <c r="H6" s="556"/>
      <c r="N6" s="213"/>
    </row>
    <row r="7" spans="1:14" ht="13.5" customHeight="1">
      <c r="A7" s="213"/>
      <c r="B7" s="213"/>
      <c r="C7" s="213"/>
      <c r="D7" s="213"/>
      <c r="E7" s="257"/>
      <c r="F7" s="563" t="s">
        <v>28</v>
      </c>
      <c r="G7" s="564"/>
      <c r="H7" s="565"/>
      <c r="N7" s="257"/>
    </row>
    <row r="8" spans="1:15" ht="13.5" customHeight="1">
      <c r="A8" s="213"/>
      <c r="B8" s="213"/>
      <c r="C8" s="213"/>
      <c r="D8" s="213"/>
      <c r="E8" s="257"/>
      <c r="F8" s="209"/>
      <c r="N8" s="213"/>
      <c r="O8" s="219"/>
    </row>
    <row r="9" spans="1:14" ht="13.5" customHeight="1">
      <c r="A9" s="241"/>
      <c r="F9" s="209"/>
      <c r="I9" s="220" t="s">
        <v>32</v>
      </c>
      <c r="J9" s="1" t="str">
        <f>IF('基本情報入力（使い方）'!$C$12="","",'基本情報入力（使い方）'!$C$12)</f>
        <v>Ｂ金属株式会社</v>
      </c>
      <c r="K9" s="220"/>
      <c r="L9" s="1"/>
      <c r="N9" s="213"/>
    </row>
    <row r="10" spans="1:15" ht="13.5" customHeight="1" thickBot="1">
      <c r="A10" s="241"/>
      <c r="F10" s="209"/>
      <c r="M10" s="220" t="s">
        <v>20</v>
      </c>
      <c r="N10" s="211"/>
      <c r="O10" s="220"/>
    </row>
    <row r="11" spans="1:15" ht="27" customHeight="1">
      <c r="A11" s="561" t="s">
        <v>1</v>
      </c>
      <c r="B11" s="552" t="s">
        <v>2</v>
      </c>
      <c r="C11" s="552"/>
      <c r="D11" s="553"/>
      <c r="E11" s="222" t="s">
        <v>3</v>
      </c>
      <c r="F11" s="222" t="s">
        <v>4</v>
      </c>
      <c r="G11" s="222" t="s">
        <v>5</v>
      </c>
      <c r="H11" s="222" t="s">
        <v>6</v>
      </c>
      <c r="I11" s="222" t="s">
        <v>0</v>
      </c>
      <c r="J11" s="222" t="s">
        <v>0</v>
      </c>
      <c r="K11" s="572" t="s">
        <v>7</v>
      </c>
      <c r="L11" s="553"/>
      <c r="M11" s="223" t="s">
        <v>8</v>
      </c>
      <c r="N11" s="544" t="s">
        <v>1</v>
      </c>
      <c r="O11" s="568" t="s">
        <v>38</v>
      </c>
    </row>
    <row r="12" spans="1:15" ht="42" customHeight="1" thickBot="1">
      <c r="A12" s="562"/>
      <c r="B12" s="224" t="s">
        <v>9</v>
      </c>
      <c r="C12" s="224" t="s">
        <v>10</v>
      </c>
      <c r="D12" s="225" t="s">
        <v>11</v>
      </c>
      <c r="E12" s="258"/>
      <c r="F12" s="227"/>
      <c r="G12" s="228"/>
      <c r="H12" s="228"/>
      <c r="I12" s="228" t="s">
        <v>12</v>
      </c>
      <c r="J12" s="228" t="s">
        <v>25</v>
      </c>
      <c r="K12" s="228" t="s">
        <v>13</v>
      </c>
      <c r="L12" s="229" t="s">
        <v>23</v>
      </c>
      <c r="M12" s="229" t="s">
        <v>14</v>
      </c>
      <c r="N12" s="545"/>
      <c r="O12" s="569"/>
    </row>
    <row r="13" spans="1:15" ht="61.5" customHeight="1">
      <c r="A13" s="246">
        <v>1</v>
      </c>
      <c r="B13" s="570">
        <v>43039</v>
      </c>
      <c r="C13" s="571"/>
      <c r="D13" s="571"/>
      <c r="E13" s="306" t="s">
        <v>118</v>
      </c>
      <c r="F13" s="281" t="s">
        <v>119</v>
      </c>
      <c r="G13" s="282">
        <v>2</v>
      </c>
      <c r="H13" s="283" t="s">
        <v>117</v>
      </c>
      <c r="I13" s="31">
        <f>IF(J13="","",ROUNDDOWN(J13*(1+O13/100),0))</f>
        <v>583200</v>
      </c>
      <c r="J13" s="290">
        <v>540000</v>
      </c>
      <c r="K13" s="31">
        <f>IF(L13="","",ROUNDDOWN(L13*(1+O13/100),0))</f>
        <v>1166400</v>
      </c>
      <c r="L13" s="31">
        <f>IF(OR(J13="",G13=""),"",ROUNDDOWN(J13*G13,0))</f>
        <v>1080000</v>
      </c>
      <c r="M13" s="192">
        <f>L13</f>
        <v>1080000</v>
      </c>
      <c r="N13" s="247">
        <v>1</v>
      </c>
      <c r="O13" s="304">
        <v>8</v>
      </c>
    </row>
    <row r="14" spans="1:15" ht="61.5" customHeight="1">
      <c r="A14" s="248">
        <v>2</v>
      </c>
      <c r="B14" s="548"/>
      <c r="C14" s="549"/>
      <c r="D14" s="549"/>
      <c r="E14" s="302"/>
      <c r="F14" s="285"/>
      <c r="G14" s="282"/>
      <c r="H14" s="283"/>
      <c r="I14" s="31">
        <f aca="true" t="shared" si="0" ref="I14:I22">IF(J14="","",ROUNDDOWN(J14*(1+O14/100),0))</f>
      </c>
      <c r="J14" s="290"/>
      <c r="K14" s="31">
        <f aca="true" t="shared" si="1" ref="K14:K22">IF(L14="","",ROUNDDOWN(L14*(1+O14/100),0))</f>
      </c>
      <c r="L14" s="31">
        <f aca="true" t="shared" si="2" ref="L14:L22">IF(OR(J14="",G14=""),"",ROUNDDOWN(J14*G14,0))</f>
      </c>
      <c r="M14" s="192">
        <f aca="true" t="shared" si="3" ref="M14:M22">L14</f>
      </c>
      <c r="N14" s="249">
        <v>2</v>
      </c>
      <c r="O14" s="304">
        <v>8</v>
      </c>
    </row>
    <row r="15" spans="1:15" ht="61.5" customHeight="1">
      <c r="A15" s="248">
        <v>3</v>
      </c>
      <c r="B15" s="548"/>
      <c r="C15" s="549"/>
      <c r="D15" s="549"/>
      <c r="E15" s="302"/>
      <c r="F15" s="285"/>
      <c r="G15" s="282"/>
      <c r="H15" s="283"/>
      <c r="I15" s="31">
        <f t="shared" si="0"/>
      </c>
      <c r="J15" s="290"/>
      <c r="K15" s="31">
        <f t="shared" si="1"/>
      </c>
      <c r="L15" s="31">
        <f t="shared" si="2"/>
      </c>
      <c r="M15" s="32">
        <f t="shared" si="3"/>
      </c>
      <c r="N15" s="247">
        <v>3</v>
      </c>
      <c r="O15" s="304">
        <v>8</v>
      </c>
    </row>
    <row r="16" spans="1:15" ht="61.5" customHeight="1">
      <c r="A16" s="248">
        <v>4</v>
      </c>
      <c r="B16" s="548"/>
      <c r="C16" s="549"/>
      <c r="D16" s="549"/>
      <c r="E16" s="302"/>
      <c r="F16" s="285"/>
      <c r="G16" s="282"/>
      <c r="H16" s="283"/>
      <c r="I16" s="31">
        <f t="shared" si="0"/>
      </c>
      <c r="J16" s="290"/>
      <c r="K16" s="31">
        <f t="shared" si="1"/>
      </c>
      <c r="L16" s="31">
        <f t="shared" si="2"/>
      </c>
      <c r="M16" s="32">
        <f t="shared" si="3"/>
      </c>
      <c r="N16" s="249">
        <v>4</v>
      </c>
      <c r="O16" s="304">
        <v>8</v>
      </c>
    </row>
    <row r="17" spans="1:15" ht="61.5" customHeight="1">
      <c r="A17" s="248">
        <v>5</v>
      </c>
      <c r="B17" s="548"/>
      <c r="C17" s="549"/>
      <c r="D17" s="549"/>
      <c r="E17" s="302"/>
      <c r="F17" s="285"/>
      <c r="G17" s="282"/>
      <c r="H17" s="283"/>
      <c r="I17" s="31">
        <f t="shared" si="0"/>
      </c>
      <c r="J17" s="290"/>
      <c r="K17" s="31">
        <f t="shared" si="1"/>
      </c>
      <c r="L17" s="31">
        <f t="shared" si="2"/>
      </c>
      <c r="M17" s="32">
        <f t="shared" si="3"/>
      </c>
      <c r="N17" s="247">
        <v>5</v>
      </c>
      <c r="O17" s="304">
        <v>8</v>
      </c>
    </row>
    <row r="18" spans="1:15" ht="61.5" customHeight="1">
      <c r="A18" s="248">
        <v>6</v>
      </c>
      <c r="B18" s="548"/>
      <c r="C18" s="549"/>
      <c r="D18" s="549"/>
      <c r="E18" s="302"/>
      <c r="F18" s="285"/>
      <c r="G18" s="282"/>
      <c r="H18" s="283"/>
      <c r="I18" s="31">
        <f t="shared" si="0"/>
      </c>
      <c r="J18" s="290"/>
      <c r="K18" s="31">
        <f t="shared" si="1"/>
      </c>
      <c r="L18" s="31">
        <f t="shared" si="2"/>
      </c>
      <c r="M18" s="32">
        <f t="shared" si="3"/>
      </c>
      <c r="N18" s="249">
        <v>6</v>
      </c>
      <c r="O18" s="304">
        <v>8</v>
      </c>
    </row>
    <row r="19" spans="1:15" ht="61.5" customHeight="1">
      <c r="A19" s="248">
        <v>7</v>
      </c>
      <c r="B19" s="548"/>
      <c r="C19" s="549"/>
      <c r="D19" s="549"/>
      <c r="E19" s="302"/>
      <c r="F19" s="286"/>
      <c r="G19" s="282"/>
      <c r="H19" s="283"/>
      <c r="I19" s="31">
        <f t="shared" si="0"/>
      </c>
      <c r="J19" s="290"/>
      <c r="K19" s="31">
        <f t="shared" si="1"/>
      </c>
      <c r="L19" s="31">
        <f t="shared" si="2"/>
      </c>
      <c r="M19" s="32">
        <f t="shared" si="3"/>
      </c>
      <c r="N19" s="247">
        <v>7</v>
      </c>
      <c r="O19" s="304">
        <v>8</v>
      </c>
    </row>
    <row r="20" spans="1:15" ht="61.5" customHeight="1">
      <c r="A20" s="248">
        <v>8</v>
      </c>
      <c r="B20" s="548"/>
      <c r="C20" s="549"/>
      <c r="D20" s="549"/>
      <c r="E20" s="302"/>
      <c r="F20" s="285"/>
      <c r="G20" s="282"/>
      <c r="H20" s="283"/>
      <c r="I20" s="31">
        <f t="shared" si="0"/>
      </c>
      <c r="J20" s="290"/>
      <c r="K20" s="31">
        <f t="shared" si="1"/>
      </c>
      <c r="L20" s="31">
        <f t="shared" si="2"/>
      </c>
      <c r="M20" s="32">
        <f t="shared" si="3"/>
      </c>
      <c r="N20" s="249">
        <v>8</v>
      </c>
      <c r="O20" s="304">
        <v>8</v>
      </c>
    </row>
    <row r="21" spans="1:15" ht="61.5" customHeight="1">
      <c r="A21" s="248">
        <v>9</v>
      </c>
      <c r="B21" s="548"/>
      <c r="C21" s="549"/>
      <c r="D21" s="549"/>
      <c r="E21" s="302"/>
      <c r="F21" s="285"/>
      <c r="G21" s="282"/>
      <c r="H21" s="283"/>
      <c r="I21" s="31">
        <f t="shared" si="0"/>
      </c>
      <c r="J21" s="290"/>
      <c r="K21" s="31">
        <f t="shared" si="1"/>
      </c>
      <c r="L21" s="31">
        <f t="shared" si="2"/>
      </c>
      <c r="M21" s="32">
        <f t="shared" si="3"/>
      </c>
      <c r="N21" s="247">
        <v>9</v>
      </c>
      <c r="O21" s="304">
        <v>8</v>
      </c>
    </row>
    <row r="22" spans="1:15" ht="61.5" customHeight="1" thickBot="1">
      <c r="A22" s="255">
        <v>10</v>
      </c>
      <c r="B22" s="550"/>
      <c r="C22" s="551"/>
      <c r="D22" s="551"/>
      <c r="E22" s="303"/>
      <c r="F22" s="287"/>
      <c r="G22" s="288"/>
      <c r="H22" s="289"/>
      <c r="I22" s="33">
        <f t="shared" si="0"/>
      </c>
      <c r="J22" s="291"/>
      <c r="K22" s="33">
        <f t="shared" si="1"/>
      </c>
      <c r="L22" s="33">
        <f t="shared" si="2"/>
      </c>
      <c r="M22" s="33">
        <f t="shared" si="3"/>
      </c>
      <c r="N22" s="256">
        <v>10</v>
      </c>
      <c r="O22" s="305">
        <v>8</v>
      </c>
    </row>
    <row r="23" spans="1:14" ht="21" customHeight="1" thickBot="1">
      <c r="A23" s="546" t="s">
        <v>15</v>
      </c>
      <c r="B23" s="547"/>
      <c r="C23" s="547"/>
      <c r="D23" s="547"/>
      <c r="E23" s="547"/>
      <c r="F23" s="547"/>
      <c r="G23" s="547"/>
      <c r="H23" s="547"/>
      <c r="I23" s="547"/>
      <c r="J23" s="235"/>
      <c r="K23" s="30">
        <f>SUM(K13:K22)</f>
        <v>1166400</v>
      </c>
      <c r="L23" s="30">
        <f>SUM(L13:L22)</f>
        <v>1080000</v>
      </c>
      <c r="M23" s="29">
        <f>SUM(M13:M22)</f>
        <v>1080000</v>
      </c>
      <c r="N23" s="236"/>
    </row>
    <row r="24" spans="1:14" ht="13.5" customHeight="1">
      <c r="A24" s="241"/>
      <c r="L24" s="238"/>
      <c r="M24" s="239"/>
      <c r="N24" s="213"/>
    </row>
    <row r="25" spans="1:14" ht="13.5" customHeight="1">
      <c r="A25" s="241"/>
      <c r="B25" s="211" t="s">
        <v>17</v>
      </c>
      <c r="D25" s="241"/>
      <c r="E25" s="1" t="s">
        <v>33</v>
      </c>
      <c r="N25" s="213"/>
    </row>
    <row r="26" spans="2:5" ht="13.5" customHeight="1">
      <c r="B26" s="211" t="s">
        <v>18</v>
      </c>
      <c r="E26" s="1" t="s">
        <v>34</v>
      </c>
    </row>
    <row r="27" spans="2:5" ht="13.5" customHeight="1">
      <c r="B27" s="211" t="s">
        <v>19</v>
      </c>
      <c r="E27" s="1" t="s">
        <v>35</v>
      </c>
    </row>
  </sheetData>
  <sheetProtection sheet="1" objects="1" scenarios="1"/>
  <mergeCells count="20">
    <mergeCell ref="B2:D2"/>
    <mergeCell ref="O11:O12"/>
    <mergeCell ref="B18:D18"/>
    <mergeCell ref="A4:E4"/>
    <mergeCell ref="A11:A12"/>
    <mergeCell ref="B11:D11"/>
    <mergeCell ref="K11:L11"/>
    <mergeCell ref="N11:N12"/>
    <mergeCell ref="F6:H6"/>
    <mergeCell ref="F7:H7"/>
    <mergeCell ref="B19:D19"/>
    <mergeCell ref="B20:D20"/>
    <mergeCell ref="B21:D21"/>
    <mergeCell ref="B22:D22"/>
    <mergeCell ref="A23:I23"/>
    <mergeCell ref="B13:D13"/>
    <mergeCell ref="B14:D14"/>
    <mergeCell ref="B15:D15"/>
    <mergeCell ref="B16:D16"/>
    <mergeCell ref="B17:D17"/>
  </mergeCells>
  <dataValidations count="2">
    <dataValidation allowBlank="1" showInputMessage="1" showErrorMessage="1" imeMode="halfAlpha" sqref="I13:M22"/>
    <dataValidation allowBlank="1" showInputMessage="1" showErrorMessage="1" imeMode="hiragana" sqref="L9 J9"/>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57" r:id="rId1"/>
</worksheet>
</file>

<file path=xl/worksheets/sheet13.xml><?xml version="1.0" encoding="utf-8"?>
<worksheet xmlns="http://schemas.openxmlformats.org/spreadsheetml/2006/main" xmlns:r="http://schemas.openxmlformats.org/officeDocument/2006/relationships">
  <sheetPr codeName="Sheet8">
    <tabColor theme="6" tint="0.7999799847602844"/>
    <pageSetUpPr fitToPage="1"/>
  </sheetPr>
  <dimension ref="A1:R27"/>
  <sheetViews>
    <sheetView showGridLines="0" zoomScaleSheetLayoutView="100" zoomScalePageLayoutView="0" workbookViewId="0" topLeftCell="A1">
      <pane ySplit="3" topLeftCell="A4" activePane="bottomLeft" state="frozen"/>
      <selection pane="topLeft" activeCell="B13" sqref="B13:D22"/>
      <selection pane="bottomLeft" activeCell="A1" sqref="A1"/>
    </sheetView>
  </sheetViews>
  <sheetFormatPr defaultColWidth="9.140625" defaultRowHeight="15"/>
  <cols>
    <col min="1" max="1" width="8.421875" style="211" customWidth="1"/>
    <col min="2" max="4" width="3.7109375" style="211" customWidth="1"/>
    <col min="5" max="5" width="16.421875" style="1" customWidth="1"/>
    <col min="6" max="6" width="16.140625" style="1" customWidth="1"/>
    <col min="7" max="7" width="9.140625" style="211" customWidth="1"/>
    <col min="8" max="8" width="6.421875" style="211" customWidth="1"/>
    <col min="9" max="13" width="15.140625" style="211" customWidth="1"/>
    <col min="14" max="14" width="3.8515625" style="209" customWidth="1"/>
    <col min="15" max="15" width="5.28125" style="209" customWidth="1"/>
    <col min="16" max="16384" width="9.00390625" style="211" customWidth="1"/>
  </cols>
  <sheetData>
    <row r="1" spans="1:18" ht="13.5">
      <c r="A1" s="209"/>
      <c r="E1" s="210"/>
      <c r="H1" s="209"/>
      <c r="P1" s="209"/>
      <c r="Q1" s="212"/>
      <c r="R1" s="212"/>
    </row>
    <row r="2" spans="1:18" ht="13.5">
      <c r="A2" s="209"/>
      <c r="B2" s="559" t="s">
        <v>216</v>
      </c>
      <c r="C2" s="559"/>
      <c r="D2" s="559"/>
      <c r="E2" s="210"/>
      <c r="H2" s="209"/>
      <c r="P2" s="209"/>
      <c r="Q2" s="212"/>
      <c r="R2" s="212"/>
    </row>
    <row r="3" spans="1:18" ht="13.5">
      <c r="A3" s="209"/>
      <c r="E3" s="210"/>
      <c r="H3" s="209"/>
      <c r="P3" s="209"/>
      <c r="Q3" s="212"/>
      <c r="R3" s="212"/>
    </row>
    <row r="4" spans="1:6" ht="13.5" customHeight="1">
      <c r="A4" s="560" t="s">
        <v>243</v>
      </c>
      <c r="B4" s="560"/>
      <c r="C4" s="560"/>
      <c r="D4" s="560"/>
      <c r="E4" s="560"/>
      <c r="F4" s="209"/>
    </row>
    <row r="5" spans="1:14" ht="13.5" customHeight="1">
      <c r="A5" s="213"/>
      <c r="B5" s="213"/>
      <c r="C5" s="213"/>
      <c r="D5" s="213"/>
      <c r="E5" s="257"/>
      <c r="F5" s="209"/>
      <c r="N5" s="213"/>
    </row>
    <row r="6" spans="1:14" ht="13.5" customHeight="1">
      <c r="A6" s="213"/>
      <c r="B6" s="215" t="s">
        <v>161</v>
      </c>
      <c r="C6" s="216"/>
      <c r="D6" s="217"/>
      <c r="E6" s="218"/>
      <c r="F6" s="554" t="s">
        <v>16</v>
      </c>
      <c r="G6" s="555"/>
      <c r="H6" s="556"/>
      <c r="N6" s="213"/>
    </row>
    <row r="7" spans="1:14" ht="13.5" customHeight="1">
      <c r="A7" s="213"/>
      <c r="B7" s="213"/>
      <c r="C7" s="213"/>
      <c r="D7" s="213"/>
      <c r="E7" s="257"/>
      <c r="F7" s="563" t="s">
        <v>46</v>
      </c>
      <c r="G7" s="564"/>
      <c r="H7" s="565"/>
      <c r="N7" s="213"/>
    </row>
    <row r="8" spans="1:15" ht="13.5" customHeight="1">
      <c r="A8" s="213"/>
      <c r="B8" s="213"/>
      <c r="C8" s="213"/>
      <c r="D8" s="213"/>
      <c r="E8" s="257"/>
      <c r="F8" s="209"/>
      <c r="N8" s="213"/>
      <c r="O8" s="219"/>
    </row>
    <row r="9" spans="1:14" ht="13.5" customHeight="1">
      <c r="A9" s="241"/>
      <c r="F9" s="209"/>
      <c r="I9" s="220" t="s">
        <v>32</v>
      </c>
      <c r="J9" s="1" t="str">
        <f>IF('基本情報入力（使い方）'!$C$12="","",'基本情報入力（使い方）'!$C$12)</f>
        <v>Ｂ金属株式会社</v>
      </c>
      <c r="K9" s="220"/>
      <c r="L9" s="1"/>
      <c r="N9" s="213"/>
    </row>
    <row r="10" spans="1:15" ht="13.5" customHeight="1" thickBot="1">
      <c r="A10" s="241"/>
      <c r="F10" s="209"/>
      <c r="M10" s="220" t="s">
        <v>20</v>
      </c>
      <c r="N10" s="211"/>
      <c r="O10" s="220"/>
    </row>
    <row r="11" spans="1:15" ht="27" customHeight="1">
      <c r="A11" s="561" t="s">
        <v>1</v>
      </c>
      <c r="B11" s="552" t="s">
        <v>2</v>
      </c>
      <c r="C11" s="552"/>
      <c r="D11" s="553"/>
      <c r="E11" s="222" t="s">
        <v>3</v>
      </c>
      <c r="F11" s="222" t="s">
        <v>4</v>
      </c>
      <c r="G11" s="222" t="s">
        <v>5</v>
      </c>
      <c r="H11" s="222" t="s">
        <v>6</v>
      </c>
      <c r="I11" s="222" t="s">
        <v>0</v>
      </c>
      <c r="J11" s="222" t="s">
        <v>0</v>
      </c>
      <c r="K11" s="572" t="s">
        <v>7</v>
      </c>
      <c r="L11" s="553"/>
      <c r="M11" s="223" t="s">
        <v>8</v>
      </c>
      <c r="N11" s="544" t="s">
        <v>1</v>
      </c>
      <c r="O11" s="568" t="s">
        <v>38</v>
      </c>
    </row>
    <row r="12" spans="1:15" ht="42" customHeight="1" thickBot="1">
      <c r="A12" s="562"/>
      <c r="B12" s="224" t="s">
        <v>9</v>
      </c>
      <c r="C12" s="224" t="s">
        <v>10</v>
      </c>
      <c r="D12" s="225" t="s">
        <v>11</v>
      </c>
      <c r="E12" s="258"/>
      <c r="F12" s="227"/>
      <c r="G12" s="228"/>
      <c r="H12" s="228"/>
      <c r="I12" s="228" t="s">
        <v>12</v>
      </c>
      <c r="J12" s="228" t="s">
        <v>25</v>
      </c>
      <c r="K12" s="228" t="s">
        <v>13</v>
      </c>
      <c r="L12" s="229" t="s">
        <v>23</v>
      </c>
      <c r="M12" s="229" t="s">
        <v>14</v>
      </c>
      <c r="N12" s="545"/>
      <c r="O12" s="569"/>
    </row>
    <row r="13" spans="1:15" ht="61.5" customHeight="1">
      <c r="A13" s="246">
        <v>1</v>
      </c>
      <c r="B13" s="548">
        <v>43039</v>
      </c>
      <c r="C13" s="549"/>
      <c r="D13" s="573"/>
      <c r="E13" s="280" t="s">
        <v>120</v>
      </c>
      <c r="F13" s="280" t="s">
        <v>121</v>
      </c>
      <c r="G13" s="295">
        <v>1</v>
      </c>
      <c r="H13" s="296" t="s">
        <v>133</v>
      </c>
      <c r="I13" s="35">
        <f>IF(J13="","",ROUNDDOWN(J13*(1+O13/100),0))</f>
        <v>594000</v>
      </c>
      <c r="J13" s="298">
        <v>550000</v>
      </c>
      <c r="K13" s="35">
        <f>IF(L13="","",ROUNDDOWN(L13*(1+O13/100),0))</f>
        <v>594000</v>
      </c>
      <c r="L13" s="35">
        <f>IF(OR(J13="",G13=""),"",ROUNDDOWN(J13*G13,0))</f>
        <v>550000</v>
      </c>
      <c r="M13" s="192">
        <f>L13</f>
        <v>550000</v>
      </c>
      <c r="N13" s="259">
        <v>1</v>
      </c>
      <c r="O13" s="292">
        <v>8</v>
      </c>
    </row>
    <row r="14" spans="1:15" ht="61.5" customHeight="1">
      <c r="A14" s="248">
        <v>2</v>
      </c>
      <c r="B14" s="548"/>
      <c r="C14" s="549"/>
      <c r="D14" s="573"/>
      <c r="E14" s="285"/>
      <c r="F14" s="285"/>
      <c r="G14" s="282"/>
      <c r="H14" s="283"/>
      <c r="I14" s="31">
        <f aca="true" t="shared" si="0" ref="I14:I22">IF(J14="","",ROUNDDOWN(J14*(1+O14/100),0))</f>
      </c>
      <c r="J14" s="290"/>
      <c r="K14" s="31">
        <f aca="true" t="shared" si="1" ref="K14:K22">IF(L14="","",ROUNDDOWN(L14*(1+O14/100),0))</f>
      </c>
      <c r="L14" s="31">
        <f aca="true" t="shared" si="2" ref="L14:L22">IF(OR(J14="",G14=""),"",ROUNDDOWN(J14*G14,0))</f>
      </c>
      <c r="M14" s="192">
        <f aca="true" t="shared" si="3" ref="M14:M22">L14</f>
      </c>
      <c r="N14" s="260">
        <v>2</v>
      </c>
      <c r="O14" s="292">
        <v>8</v>
      </c>
    </row>
    <row r="15" spans="1:15" ht="61.5" customHeight="1">
      <c r="A15" s="248">
        <v>3</v>
      </c>
      <c r="B15" s="548"/>
      <c r="C15" s="549"/>
      <c r="D15" s="573"/>
      <c r="E15" s="285"/>
      <c r="F15" s="285"/>
      <c r="G15" s="282"/>
      <c r="H15" s="283"/>
      <c r="I15" s="31">
        <f t="shared" si="0"/>
      </c>
      <c r="J15" s="290"/>
      <c r="K15" s="31">
        <f t="shared" si="1"/>
      </c>
      <c r="L15" s="31">
        <f t="shared" si="2"/>
      </c>
      <c r="M15" s="32">
        <f t="shared" si="3"/>
      </c>
      <c r="N15" s="259">
        <v>3</v>
      </c>
      <c r="O15" s="292">
        <v>8</v>
      </c>
    </row>
    <row r="16" spans="1:15" ht="61.5" customHeight="1">
      <c r="A16" s="248">
        <v>4</v>
      </c>
      <c r="B16" s="548"/>
      <c r="C16" s="549"/>
      <c r="D16" s="573"/>
      <c r="E16" s="285"/>
      <c r="F16" s="285"/>
      <c r="G16" s="282"/>
      <c r="H16" s="283"/>
      <c r="I16" s="31">
        <f t="shared" si="0"/>
      </c>
      <c r="J16" s="290"/>
      <c r="K16" s="31">
        <f t="shared" si="1"/>
      </c>
      <c r="L16" s="31">
        <f t="shared" si="2"/>
      </c>
      <c r="M16" s="32">
        <f t="shared" si="3"/>
      </c>
      <c r="N16" s="260">
        <v>4</v>
      </c>
      <c r="O16" s="292">
        <v>8</v>
      </c>
    </row>
    <row r="17" spans="1:15" ht="61.5" customHeight="1">
      <c r="A17" s="248">
        <v>5</v>
      </c>
      <c r="B17" s="548"/>
      <c r="C17" s="549"/>
      <c r="D17" s="573"/>
      <c r="E17" s="285"/>
      <c r="F17" s="285"/>
      <c r="G17" s="282"/>
      <c r="H17" s="283"/>
      <c r="I17" s="31">
        <f t="shared" si="0"/>
      </c>
      <c r="J17" s="290"/>
      <c r="K17" s="31">
        <f t="shared" si="1"/>
      </c>
      <c r="L17" s="31">
        <f t="shared" si="2"/>
      </c>
      <c r="M17" s="32">
        <f t="shared" si="3"/>
      </c>
      <c r="N17" s="259">
        <v>5</v>
      </c>
      <c r="O17" s="292">
        <v>8</v>
      </c>
    </row>
    <row r="18" spans="1:15" ht="61.5" customHeight="1">
      <c r="A18" s="248">
        <v>6</v>
      </c>
      <c r="B18" s="548"/>
      <c r="C18" s="549"/>
      <c r="D18" s="573"/>
      <c r="E18" s="285"/>
      <c r="F18" s="285"/>
      <c r="G18" s="282"/>
      <c r="H18" s="283"/>
      <c r="I18" s="31">
        <f t="shared" si="0"/>
      </c>
      <c r="J18" s="290"/>
      <c r="K18" s="31">
        <f t="shared" si="1"/>
      </c>
      <c r="L18" s="31">
        <f t="shared" si="2"/>
      </c>
      <c r="M18" s="32">
        <f t="shared" si="3"/>
      </c>
      <c r="N18" s="260">
        <v>6</v>
      </c>
      <c r="O18" s="292">
        <v>8</v>
      </c>
    </row>
    <row r="19" spans="1:15" ht="61.5" customHeight="1">
      <c r="A19" s="248">
        <v>7</v>
      </c>
      <c r="B19" s="548"/>
      <c r="C19" s="549"/>
      <c r="D19" s="573"/>
      <c r="E19" s="285"/>
      <c r="F19" s="286"/>
      <c r="G19" s="282"/>
      <c r="H19" s="283"/>
      <c r="I19" s="31">
        <f t="shared" si="0"/>
      </c>
      <c r="J19" s="290"/>
      <c r="K19" s="31">
        <f t="shared" si="1"/>
      </c>
      <c r="L19" s="31">
        <f t="shared" si="2"/>
      </c>
      <c r="M19" s="32">
        <f t="shared" si="3"/>
      </c>
      <c r="N19" s="259">
        <v>7</v>
      </c>
      <c r="O19" s="292">
        <v>8</v>
      </c>
    </row>
    <row r="20" spans="1:15" ht="61.5" customHeight="1">
      <c r="A20" s="248">
        <v>8</v>
      </c>
      <c r="B20" s="548"/>
      <c r="C20" s="549"/>
      <c r="D20" s="573"/>
      <c r="E20" s="285"/>
      <c r="F20" s="285"/>
      <c r="G20" s="282"/>
      <c r="H20" s="283"/>
      <c r="I20" s="31">
        <f t="shared" si="0"/>
      </c>
      <c r="J20" s="290"/>
      <c r="K20" s="31">
        <f t="shared" si="1"/>
      </c>
      <c r="L20" s="31">
        <f t="shared" si="2"/>
      </c>
      <c r="M20" s="32">
        <f t="shared" si="3"/>
      </c>
      <c r="N20" s="260">
        <v>8</v>
      </c>
      <c r="O20" s="292">
        <v>8</v>
      </c>
    </row>
    <row r="21" spans="1:15" ht="61.5" customHeight="1">
      <c r="A21" s="248">
        <v>9</v>
      </c>
      <c r="B21" s="548"/>
      <c r="C21" s="549"/>
      <c r="D21" s="573"/>
      <c r="E21" s="285"/>
      <c r="F21" s="285"/>
      <c r="G21" s="282"/>
      <c r="H21" s="283"/>
      <c r="I21" s="31">
        <f t="shared" si="0"/>
      </c>
      <c r="J21" s="290"/>
      <c r="K21" s="31">
        <f t="shared" si="1"/>
      </c>
      <c r="L21" s="31">
        <f t="shared" si="2"/>
      </c>
      <c r="M21" s="32">
        <f t="shared" si="3"/>
      </c>
      <c r="N21" s="259">
        <v>9</v>
      </c>
      <c r="O21" s="292">
        <v>8</v>
      </c>
    </row>
    <row r="22" spans="1:15" ht="61.5" customHeight="1" thickBot="1">
      <c r="A22" s="255">
        <v>10</v>
      </c>
      <c r="B22" s="550"/>
      <c r="C22" s="551"/>
      <c r="D22" s="574"/>
      <c r="E22" s="287"/>
      <c r="F22" s="287"/>
      <c r="G22" s="288"/>
      <c r="H22" s="289"/>
      <c r="I22" s="33">
        <f t="shared" si="0"/>
      </c>
      <c r="J22" s="291"/>
      <c r="K22" s="33">
        <f t="shared" si="1"/>
      </c>
      <c r="L22" s="33">
        <f t="shared" si="2"/>
      </c>
      <c r="M22" s="33">
        <f t="shared" si="3"/>
      </c>
      <c r="N22" s="261">
        <v>10</v>
      </c>
      <c r="O22" s="293">
        <v>8</v>
      </c>
    </row>
    <row r="23" spans="1:14" ht="21" customHeight="1" thickBot="1">
      <c r="A23" s="546" t="s">
        <v>15</v>
      </c>
      <c r="B23" s="547"/>
      <c r="C23" s="547"/>
      <c r="D23" s="547"/>
      <c r="E23" s="547"/>
      <c r="F23" s="547"/>
      <c r="G23" s="547"/>
      <c r="H23" s="547"/>
      <c r="I23" s="547"/>
      <c r="J23" s="235"/>
      <c r="K23" s="28">
        <f>SUM(K13:K22)</f>
        <v>594000</v>
      </c>
      <c r="L23" s="28">
        <f>SUM(L13:L22)</f>
        <v>550000</v>
      </c>
      <c r="M23" s="34">
        <f>SUM(M13:M22)</f>
        <v>550000</v>
      </c>
      <c r="N23" s="236"/>
    </row>
    <row r="24" spans="1:14" ht="13.5" customHeight="1">
      <c r="A24" s="241"/>
      <c r="L24" s="238"/>
      <c r="M24" s="239"/>
      <c r="N24" s="213"/>
    </row>
    <row r="25" spans="1:14" ht="13.5" customHeight="1">
      <c r="A25" s="241"/>
      <c r="B25" s="211" t="s">
        <v>17</v>
      </c>
      <c r="D25" s="241"/>
      <c r="E25" s="1" t="s">
        <v>33</v>
      </c>
      <c r="N25" s="213"/>
    </row>
    <row r="26" spans="2:5" ht="13.5" customHeight="1">
      <c r="B26" s="211" t="s">
        <v>18</v>
      </c>
      <c r="E26" s="1" t="s">
        <v>34</v>
      </c>
    </row>
    <row r="27" spans="2:5" ht="13.5" customHeight="1">
      <c r="B27" s="211" t="s">
        <v>19</v>
      </c>
      <c r="E27" s="1" t="s">
        <v>35</v>
      </c>
    </row>
  </sheetData>
  <sheetProtection sheet="1" objects="1" scenarios="1"/>
  <mergeCells count="20">
    <mergeCell ref="B2:D2"/>
    <mergeCell ref="O11:O12"/>
    <mergeCell ref="B18:D18"/>
    <mergeCell ref="A4:E4"/>
    <mergeCell ref="A11:A12"/>
    <mergeCell ref="B11:D11"/>
    <mergeCell ref="K11:L11"/>
    <mergeCell ref="N11:N12"/>
    <mergeCell ref="F6:H6"/>
    <mergeCell ref="F7:H7"/>
    <mergeCell ref="B19:D19"/>
    <mergeCell ref="B20:D20"/>
    <mergeCell ref="B21:D21"/>
    <mergeCell ref="B22:D22"/>
    <mergeCell ref="A23:I23"/>
    <mergeCell ref="B13:D13"/>
    <mergeCell ref="B14:D14"/>
    <mergeCell ref="B15:D15"/>
    <mergeCell ref="B16:D16"/>
    <mergeCell ref="B17:D17"/>
  </mergeCells>
  <dataValidations count="2">
    <dataValidation allowBlank="1" showInputMessage="1" showErrorMessage="1" imeMode="halfAlpha" sqref="K23:M23 I13:M22"/>
    <dataValidation allowBlank="1" showInputMessage="1" showErrorMessage="1" imeMode="hiragana" sqref="L9 J9"/>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57" r:id="rId1"/>
</worksheet>
</file>

<file path=xl/worksheets/sheet14.xml><?xml version="1.0" encoding="utf-8"?>
<worksheet xmlns="http://schemas.openxmlformats.org/spreadsheetml/2006/main" xmlns:r="http://schemas.openxmlformats.org/officeDocument/2006/relationships">
  <sheetPr codeName="Sheet10">
    <tabColor theme="6" tint="0.7999799847602844"/>
    <pageSetUpPr fitToPage="1"/>
  </sheetPr>
  <dimension ref="A1:R27"/>
  <sheetViews>
    <sheetView showGridLines="0" zoomScaleSheetLayoutView="100" zoomScalePageLayoutView="0" workbookViewId="0" topLeftCell="A1">
      <pane ySplit="3" topLeftCell="A4" activePane="bottomLeft" state="frozen"/>
      <selection pane="topLeft" activeCell="B13" sqref="B13:D22"/>
      <selection pane="bottomLeft" activeCell="A1" sqref="A1"/>
    </sheetView>
  </sheetViews>
  <sheetFormatPr defaultColWidth="9.140625" defaultRowHeight="15"/>
  <cols>
    <col min="1" max="1" width="8.421875" style="211" customWidth="1"/>
    <col min="2" max="4" width="3.7109375" style="211" customWidth="1"/>
    <col min="5" max="5" width="16.421875" style="1" customWidth="1"/>
    <col min="6" max="6" width="16.140625" style="1" customWidth="1"/>
    <col min="7" max="7" width="9.140625" style="211" customWidth="1"/>
    <col min="8" max="8" width="6.421875" style="211" customWidth="1"/>
    <col min="9" max="13" width="15.140625" style="211" customWidth="1"/>
    <col min="14" max="14" width="3.8515625" style="209" customWidth="1"/>
    <col min="15" max="15" width="5.28125" style="209" customWidth="1"/>
    <col min="16" max="16384" width="9.00390625" style="211" customWidth="1"/>
  </cols>
  <sheetData>
    <row r="1" spans="1:18" ht="13.5">
      <c r="A1" s="209"/>
      <c r="E1" s="210"/>
      <c r="H1" s="209"/>
      <c r="P1" s="209"/>
      <c r="Q1" s="212"/>
      <c r="R1" s="212"/>
    </row>
    <row r="2" spans="1:18" ht="13.5">
      <c r="A2" s="209"/>
      <c r="B2" s="559" t="s">
        <v>216</v>
      </c>
      <c r="C2" s="559"/>
      <c r="D2" s="559"/>
      <c r="E2" s="210"/>
      <c r="H2" s="209"/>
      <c r="P2" s="209"/>
      <c r="Q2" s="212"/>
      <c r="R2" s="212"/>
    </row>
    <row r="3" spans="1:18" ht="13.5">
      <c r="A3" s="209"/>
      <c r="E3" s="210"/>
      <c r="H3" s="209"/>
      <c r="P3" s="209"/>
      <c r="Q3" s="212"/>
      <c r="R3" s="212"/>
    </row>
    <row r="4" spans="1:6" ht="13.5" customHeight="1">
      <c r="A4" s="560" t="s">
        <v>243</v>
      </c>
      <c r="B4" s="560"/>
      <c r="C4" s="560"/>
      <c r="D4" s="560"/>
      <c r="E4" s="560"/>
      <c r="F4" s="209"/>
    </row>
    <row r="5" spans="1:14" ht="13.5" customHeight="1">
      <c r="A5" s="213"/>
      <c r="B5" s="213"/>
      <c r="C5" s="213"/>
      <c r="D5" s="213"/>
      <c r="E5" s="257"/>
      <c r="F5" s="209"/>
      <c r="N5" s="213"/>
    </row>
    <row r="6" spans="1:14" ht="13.5" customHeight="1">
      <c r="A6" s="213"/>
      <c r="B6" s="215" t="s">
        <v>161</v>
      </c>
      <c r="C6" s="216"/>
      <c r="D6" s="217"/>
      <c r="E6" s="218"/>
      <c r="F6" s="554" t="s">
        <v>16</v>
      </c>
      <c r="G6" s="555"/>
      <c r="H6" s="556"/>
      <c r="N6" s="213"/>
    </row>
    <row r="7" spans="1:14" ht="13.5" customHeight="1">
      <c r="A7" s="213"/>
      <c r="B7" s="213"/>
      <c r="C7" s="213"/>
      <c r="D7" s="213"/>
      <c r="E7" s="257"/>
      <c r="F7" s="563" t="s">
        <v>73</v>
      </c>
      <c r="G7" s="564"/>
      <c r="H7" s="565"/>
      <c r="N7" s="213"/>
    </row>
    <row r="8" spans="1:15" ht="13.5" customHeight="1">
      <c r="A8" s="213"/>
      <c r="B8" s="213"/>
      <c r="C8" s="213"/>
      <c r="D8" s="213"/>
      <c r="E8" s="257"/>
      <c r="F8" s="209"/>
      <c r="N8" s="213"/>
      <c r="O8" s="219"/>
    </row>
    <row r="9" spans="1:14" ht="13.5" customHeight="1">
      <c r="A9" s="241"/>
      <c r="F9" s="209"/>
      <c r="I9" s="220" t="s">
        <v>32</v>
      </c>
      <c r="J9" s="1" t="str">
        <f>IF('基本情報入力（使い方）'!$C$12="","",'基本情報入力（使い方）'!$C$12)</f>
        <v>Ｂ金属株式会社</v>
      </c>
      <c r="K9" s="220"/>
      <c r="L9" s="1"/>
      <c r="N9" s="213"/>
    </row>
    <row r="10" spans="1:15" ht="13.5" customHeight="1" thickBot="1">
      <c r="A10" s="241"/>
      <c r="F10" s="209"/>
      <c r="M10" s="220" t="s">
        <v>20</v>
      </c>
      <c r="N10" s="211"/>
      <c r="O10" s="220"/>
    </row>
    <row r="11" spans="1:15" ht="27" customHeight="1">
      <c r="A11" s="561" t="s">
        <v>1</v>
      </c>
      <c r="B11" s="552" t="s">
        <v>2</v>
      </c>
      <c r="C11" s="552"/>
      <c r="D11" s="553"/>
      <c r="E11" s="222" t="s">
        <v>3</v>
      </c>
      <c r="F11" s="222" t="s">
        <v>4</v>
      </c>
      <c r="G11" s="222" t="s">
        <v>5</v>
      </c>
      <c r="H11" s="222" t="s">
        <v>6</v>
      </c>
      <c r="I11" s="222" t="s">
        <v>0</v>
      </c>
      <c r="J11" s="222" t="s">
        <v>0</v>
      </c>
      <c r="K11" s="572" t="s">
        <v>7</v>
      </c>
      <c r="L11" s="553"/>
      <c r="M11" s="222" t="s">
        <v>8</v>
      </c>
      <c r="N11" s="544" t="s">
        <v>1</v>
      </c>
      <c r="O11" s="568" t="s">
        <v>38</v>
      </c>
    </row>
    <row r="12" spans="1:15" ht="42" customHeight="1" thickBot="1">
      <c r="A12" s="562"/>
      <c r="B12" s="224" t="s">
        <v>9</v>
      </c>
      <c r="C12" s="224" t="s">
        <v>10</v>
      </c>
      <c r="D12" s="225" t="s">
        <v>11</v>
      </c>
      <c r="E12" s="258"/>
      <c r="F12" s="227"/>
      <c r="G12" s="228"/>
      <c r="H12" s="228"/>
      <c r="I12" s="228" t="s">
        <v>12</v>
      </c>
      <c r="J12" s="228" t="s">
        <v>25</v>
      </c>
      <c r="K12" s="228" t="s">
        <v>13</v>
      </c>
      <c r="L12" s="229" t="s">
        <v>23</v>
      </c>
      <c r="M12" s="228" t="s">
        <v>14</v>
      </c>
      <c r="N12" s="545"/>
      <c r="O12" s="569"/>
    </row>
    <row r="13" spans="1:15" ht="61.5" customHeight="1">
      <c r="A13" s="246">
        <v>1</v>
      </c>
      <c r="B13" s="570">
        <v>43008</v>
      </c>
      <c r="C13" s="571"/>
      <c r="D13" s="571"/>
      <c r="E13" s="306" t="s">
        <v>126</v>
      </c>
      <c r="F13" s="281" t="s">
        <v>129</v>
      </c>
      <c r="G13" s="282">
        <v>1</v>
      </c>
      <c r="H13" s="283" t="s">
        <v>133</v>
      </c>
      <c r="I13" s="31">
        <f>IF(J13="","",ROUNDDOWN(J13*(1+O13/100),0))</f>
        <v>108000</v>
      </c>
      <c r="J13" s="290">
        <v>100000</v>
      </c>
      <c r="K13" s="31">
        <f>IF(L13="","",ROUNDDOWN(L13*(1+O13/100),0))</f>
        <v>108000</v>
      </c>
      <c r="L13" s="31">
        <f>IF(OR(J13="",G13=""),"",ROUNDDOWN(J13*G13,0))</f>
        <v>100000</v>
      </c>
      <c r="M13" s="192">
        <f>L13</f>
        <v>100000</v>
      </c>
      <c r="N13" s="259">
        <v>1</v>
      </c>
      <c r="O13" s="292">
        <v>8</v>
      </c>
    </row>
    <row r="14" spans="1:15" ht="61.5" customHeight="1">
      <c r="A14" s="248">
        <v>2</v>
      </c>
      <c r="B14" s="548">
        <v>43039</v>
      </c>
      <c r="C14" s="549"/>
      <c r="D14" s="549"/>
      <c r="E14" s="306" t="s">
        <v>126</v>
      </c>
      <c r="F14" s="285" t="s">
        <v>130</v>
      </c>
      <c r="G14" s="282">
        <v>1</v>
      </c>
      <c r="H14" s="283" t="s">
        <v>132</v>
      </c>
      <c r="I14" s="31">
        <f aca="true" t="shared" si="0" ref="I14:I22">IF(J14="","",ROUNDDOWN(J14*(1+O14/100),0))</f>
        <v>54000</v>
      </c>
      <c r="J14" s="290">
        <v>50000</v>
      </c>
      <c r="K14" s="31">
        <f aca="true" t="shared" si="1" ref="K14:K22">IF(L14="","",ROUNDDOWN(L14*(1+O14/100),0))</f>
        <v>54000</v>
      </c>
      <c r="L14" s="31">
        <f aca="true" t="shared" si="2" ref="L14:L22">IF(OR(J14="",G14=""),"",ROUNDDOWN(J14*G14,0))</f>
        <v>50000</v>
      </c>
      <c r="M14" s="192">
        <f aca="true" t="shared" si="3" ref="M14:M22">L14</f>
        <v>50000</v>
      </c>
      <c r="N14" s="260">
        <v>2</v>
      </c>
      <c r="O14" s="292">
        <v>8</v>
      </c>
    </row>
    <row r="15" spans="1:15" ht="61.5" customHeight="1">
      <c r="A15" s="248">
        <v>3</v>
      </c>
      <c r="B15" s="548">
        <v>43039</v>
      </c>
      <c r="C15" s="549"/>
      <c r="D15" s="549"/>
      <c r="E15" s="306" t="s">
        <v>126</v>
      </c>
      <c r="F15" s="285" t="s">
        <v>131</v>
      </c>
      <c r="G15" s="282">
        <v>20</v>
      </c>
      <c r="H15" s="283" t="s">
        <v>134</v>
      </c>
      <c r="I15" s="31">
        <f t="shared" si="0"/>
        <v>5400</v>
      </c>
      <c r="J15" s="290">
        <v>5000</v>
      </c>
      <c r="K15" s="31">
        <f t="shared" si="1"/>
        <v>108000</v>
      </c>
      <c r="L15" s="31">
        <f t="shared" si="2"/>
        <v>100000</v>
      </c>
      <c r="M15" s="32">
        <f t="shared" si="3"/>
        <v>100000</v>
      </c>
      <c r="N15" s="259">
        <v>3</v>
      </c>
      <c r="O15" s="292">
        <v>8</v>
      </c>
    </row>
    <row r="16" spans="1:15" ht="61.5" customHeight="1">
      <c r="A16" s="248">
        <v>4</v>
      </c>
      <c r="B16" s="548"/>
      <c r="C16" s="549"/>
      <c r="D16" s="549"/>
      <c r="E16" s="302"/>
      <c r="F16" s="285"/>
      <c r="G16" s="282"/>
      <c r="H16" s="283"/>
      <c r="I16" s="31">
        <f t="shared" si="0"/>
      </c>
      <c r="J16" s="290"/>
      <c r="K16" s="31">
        <f t="shared" si="1"/>
      </c>
      <c r="L16" s="31">
        <f t="shared" si="2"/>
      </c>
      <c r="M16" s="32">
        <f t="shared" si="3"/>
      </c>
      <c r="N16" s="260">
        <v>4</v>
      </c>
      <c r="O16" s="292">
        <v>8</v>
      </c>
    </row>
    <row r="17" spans="1:15" ht="61.5" customHeight="1">
      <c r="A17" s="248">
        <v>5</v>
      </c>
      <c r="B17" s="548"/>
      <c r="C17" s="549"/>
      <c r="D17" s="549"/>
      <c r="E17" s="302"/>
      <c r="F17" s="285"/>
      <c r="G17" s="282"/>
      <c r="H17" s="283"/>
      <c r="I17" s="31">
        <f t="shared" si="0"/>
      </c>
      <c r="J17" s="290"/>
      <c r="K17" s="31">
        <f t="shared" si="1"/>
      </c>
      <c r="L17" s="31">
        <f t="shared" si="2"/>
      </c>
      <c r="M17" s="32">
        <f t="shared" si="3"/>
      </c>
      <c r="N17" s="259">
        <v>5</v>
      </c>
      <c r="O17" s="292">
        <v>8</v>
      </c>
    </row>
    <row r="18" spans="1:15" ht="61.5" customHeight="1">
      <c r="A18" s="248">
        <v>6</v>
      </c>
      <c r="B18" s="548"/>
      <c r="C18" s="549"/>
      <c r="D18" s="549"/>
      <c r="E18" s="302"/>
      <c r="F18" s="285"/>
      <c r="G18" s="282"/>
      <c r="H18" s="283"/>
      <c r="I18" s="31">
        <f t="shared" si="0"/>
      </c>
      <c r="J18" s="290"/>
      <c r="K18" s="31">
        <f t="shared" si="1"/>
      </c>
      <c r="L18" s="31">
        <f t="shared" si="2"/>
      </c>
      <c r="M18" s="32">
        <f t="shared" si="3"/>
      </c>
      <c r="N18" s="260">
        <v>6</v>
      </c>
      <c r="O18" s="292">
        <v>8</v>
      </c>
    </row>
    <row r="19" spans="1:15" ht="61.5" customHeight="1">
      <c r="A19" s="248">
        <v>7</v>
      </c>
      <c r="B19" s="548"/>
      <c r="C19" s="549"/>
      <c r="D19" s="549"/>
      <c r="E19" s="302"/>
      <c r="F19" s="286"/>
      <c r="G19" s="282"/>
      <c r="H19" s="283"/>
      <c r="I19" s="31">
        <f t="shared" si="0"/>
      </c>
      <c r="J19" s="290"/>
      <c r="K19" s="31">
        <f t="shared" si="1"/>
      </c>
      <c r="L19" s="31">
        <f t="shared" si="2"/>
      </c>
      <c r="M19" s="32">
        <f t="shared" si="3"/>
      </c>
      <c r="N19" s="259">
        <v>7</v>
      </c>
      <c r="O19" s="292">
        <v>8</v>
      </c>
    </row>
    <row r="20" spans="1:15" ht="61.5" customHeight="1">
      <c r="A20" s="248">
        <v>8</v>
      </c>
      <c r="B20" s="548"/>
      <c r="C20" s="549"/>
      <c r="D20" s="549"/>
      <c r="E20" s="302"/>
      <c r="F20" s="285"/>
      <c r="G20" s="282"/>
      <c r="H20" s="283"/>
      <c r="I20" s="31">
        <f t="shared" si="0"/>
      </c>
      <c r="J20" s="290"/>
      <c r="K20" s="31">
        <f t="shared" si="1"/>
      </c>
      <c r="L20" s="31">
        <f t="shared" si="2"/>
      </c>
      <c r="M20" s="32">
        <f t="shared" si="3"/>
      </c>
      <c r="N20" s="260">
        <v>8</v>
      </c>
      <c r="O20" s="292">
        <v>8</v>
      </c>
    </row>
    <row r="21" spans="1:15" ht="61.5" customHeight="1">
      <c r="A21" s="248">
        <v>9</v>
      </c>
      <c r="B21" s="548"/>
      <c r="C21" s="549"/>
      <c r="D21" s="549"/>
      <c r="E21" s="302"/>
      <c r="F21" s="285"/>
      <c r="G21" s="282"/>
      <c r="H21" s="283"/>
      <c r="I21" s="31">
        <f t="shared" si="0"/>
      </c>
      <c r="J21" s="290"/>
      <c r="K21" s="31">
        <f t="shared" si="1"/>
      </c>
      <c r="L21" s="31">
        <f t="shared" si="2"/>
      </c>
      <c r="M21" s="32">
        <f t="shared" si="3"/>
      </c>
      <c r="N21" s="259">
        <v>9</v>
      </c>
      <c r="O21" s="292">
        <v>8</v>
      </c>
    </row>
    <row r="22" spans="1:15" ht="61.5" customHeight="1" thickBot="1">
      <c r="A22" s="255">
        <v>10</v>
      </c>
      <c r="B22" s="550"/>
      <c r="C22" s="551"/>
      <c r="D22" s="551"/>
      <c r="E22" s="303"/>
      <c r="F22" s="287"/>
      <c r="G22" s="288"/>
      <c r="H22" s="289"/>
      <c r="I22" s="33">
        <f t="shared" si="0"/>
      </c>
      <c r="J22" s="291"/>
      <c r="K22" s="33">
        <f t="shared" si="1"/>
      </c>
      <c r="L22" s="33">
        <f t="shared" si="2"/>
      </c>
      <c r="M22" s="33">
        <f t="shared" si="3"/>
      </c>
      <c r="N22" s="261">
        <v>10</v>
      </c>
      <c r="O22" s="293">
        <v>8</v>
      </c>
    </row>
    <row r="23" spans="1:14" ht="21" customHeight="1" thickBot="1">
      <c r="A23" s="546" t="s">
        <v>15</v>
      </c>
      <c r="B23" s="547"/>
      <c r="C23" s="547"/>
      <c r="D23" s="547"/>
      <c r="E23" s="547"/>
      <c r="F23" s="547"/>
      <c r="G23" s="547"/>
      <c r="H23" s="547"/>
      <c r="I23" s="547"/>
      <c r="J23" s="235"/>
      <c r="K23" s="30">
        <f>SUM(K13:K22)</f>
        <v>270000</v>
      </c>
      <c r="L23" s="30">
        <f>SUM(L13:L22)</f>
        <v>250000</v>
      </c>
      <c r="M23" s="29">
        <f>SUM(M13:M22)</f>
        <v>250000</v>
      </c>
      <c r="N23" s="236"/>
    </row>
    <row r="24" spans="1:14" ht="13.5" customHeight="1">
      <c r="A24" s="241"/>
      <c r="L24" s="238"/>
      <c r="M24" s="239"/>
      <c r="N24" s="213"/>
    </row>
    <row r="25" spans="1:14" ht="13.5" customHeight="1">
      <c r="A25" s="241"/>
      <c r="B25" s="211" t="s">
        <v>17</v>
      </c>
      <c r="D25" s="241"/>
      <c r="E25" s="1" t="s">
        <v>33</v>
      </c>
      <c r="N25" s="213"/>
    </row>
    <row r="26" spans="2:5" ht="13.5" customHeight="1">
      <c r="B26" s="211" t="s">
        <v>18</v>
      </c>
      <c r="E26" s="1" t="s">
        <v>34</v>
      </c>
    </row>
    <row r="27" spans="2:5" ht="13.5" customHeight="1">
      <c r="B27" s="211" t="s">
        <v>19</v>
      </c>
      <c r="E27" s="1" t="s">
        <v>35</v>
      </c>
    </row>
  </sheetData>
  <sheetProtection sheet="1" objects="1" scenarios="1"/>
  <mergeCells count="20">
    <mergeCell ref="B2:D2"/>
    <mergeCell ref="O11:O12"/>
    <mergeCell ref="B15:D15"/>
    <mergeCell ref="A4:E4"/>
    <mergeCell ref="A11:A12"/>
    <mergeCell ref="B11:D11"/>
    <mergeCell ref="K11:L11"/>
    <mergeCell ref="N11:N12"/>
    <mergeCell ref="F6:H6"/>
    <mergeCell ref="F7:H7"/>
    <mergeCell ref="A23:I23"/>
    <mergeCell ref="B20:D20"/>
    <mergeCell ref="B21:D21"/>
    <mergeCell ref="B22:D22"/>
    <mergeCell ref="B13:D13"/>
    <mergeCell ref="B16:D16"/>
    <mergeCell ref="B17:D17"/>
    <mergeCell ref="B18:D18"/>
    <mergeCell ref="B19:D19"/>
    <mergeCell ref="B14:D14"/>
  </mergeCells>
  <dataValidations count="2">
    <dataValidation allowBlank="1" showInputMessage="1" showErrorMessage="1" imeMode="halfAlpha" sqref="I13:M22"/>
    <dataValidation allowBlank="1" showInputMessage="1" showErrorMessage="1" imeMode="hiragana" sqref="L9 J9"/>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57" r:id="rId1"/>
</worksheet>
</file>

<file path=xl/worksheets/sheet2.xml><?xml version="1.0" encoding="utf-8"?>
<worksheet xmlns="http://schemas.openxmlformats.org/spreadsheetml/2006/main" xmlns:r="http://schemas.openxmlformats.org/officeDocument/2006/relationships">
  <sheetPr codeName="Sheet2"/>
  <dimension ref="B2:N15"/>
  <sheetViews>
    <sheetView zoomScalePageLayoutView="0" workbookViewId="0" topLeftCell="A1">
      <selection activeCell="G5" sqref="G5"/>
    </sheetView>
  </sheetViews>
  <sheetFormatPr defaultColWidth="9.140625" defaultRowHeight="15"/>
  <cols>
    <col min="2" max="2" width="3.140625" style="44" bestFit="1" customWidth="1"/>
    <col min="3" max="3" width="25.140625" style="0" customWidth="1"/>
    <col min="5" max="5" width="3.140625" style="44" bestFit="1" customWidth="1"/>
    <col min="6" max="6" width="27.8515625" style="45" customWidth="1"/>
    <col min="7" max="7" width="32.8515625" style="0" bestFit="1" customWidth="1"/>
    <col min="8" max="8" width="12.140625" style="47" bestFit="1" customWidth="1"/>
    <col min="9" max="10" width="12.140625" style="49" bestFit="1" customWidth="1"/>
    <col min="11" max="11" width="12.421875" style="49" bestFit="1" customWidth="1"/>
    <col min="13" max="13" width="3.140625" style="0" bestFit="1" customWidth="1"/>
    <col min="14" max="14" width="24.7109375" style="0" bestFit="1" customWidth="1"/>
  </cols>
  <sheetData>
    <row r="2" spans="2:14" ht="13.5">
      <c r="B2" s="43" t="s">
        <v>141</v>
      </c>
      <c r="C2" s="43" t="s">
        <v>140</v>
      </c>
      <c r="E2" s="43" t="s">
        <v>141</v>
      </c>
      <c r="F2" s="412" t="s">
        <v>140</v>
      </c>
      <c r="G2" s="413"/>
      <c r="H2" s="40" t="s">
        <v>188</v>
      </c>
      <c r="I2" s="40" t="s">
        <v>189</v>
      </c>
      <c r="J2" s="40" t="s">
        <v>190</v>
      </c>
      <c r="K2" s="40" t="s">
        <v>152</v>
      </c>
      <c r="M2" s="46" t="s">
        <v>141</v>
      </c>
      <c r="N2" s="26" t="s">
        <v>142</v>
      </c>
    </row>
    <row r="3" spans="2:14" ht="13.5">
      <c r="B3" s="43">
        <v>1</v>
      </c>
      <c r="C3" s="41" t="s">
        <v>150</v>
      </c>
      <c r="E3" s="43">
        <v>1</v>
      </c>
      <c r="F3" s="41" t="s">
        <v>185</v>
      </c>
      <c r="G3" s="41" t="str">
        <f>"("&amp;F10&amp;F11&amp;F12&amp;F13&amp;F14&amp;F15&amp;")"</f>
        <v>(①制御　②ＡＩ)</v>
      </c>
      <c r="H3" s="42">
        <v>30000000</v>
      </c>
      <c r="I3" s="42">
        <v>30000000</v>
      </c>
      <c r="J3" s="42">
        <v>30000000</v>
      </c>
      <c r="K3" s="42">
        <v>1000000</v>
      </c>
      <c r="M3" s="46">
        <v>1</v>
      </c>
      <c r="N3" s="191" t="s">
        <v>198</v>
      </c>
    </row>
    <row r="4" spans="2:14" ht="13.5">
      <c r="B4" s="43">
        <v>2</v>
      </c>
      <c r="C4" s="41" t="s">
        <v>151</v>
      </c>
      <c r="E4" s="46">
        <v>2</v>
      </c>
      <c r="F4" s="41" t="s">
        <v>186</v>
      </c>
      <c r="G4" s="41"/>
      <c r="H4" s="42">
        <v>10000000</v>
      </c>
      <c r="I4" s="42">
        <v>20000000</v>
      </c>
      <c r="J4" s="42">
        <v>30000000</v>
      </c>
      <c r="K4" s="42">
        <v>1000000</v>
      </c>
      <c r="M4" s="46">
        <v>2</v>
      </c>
      <c r="N4" s="41" t="s">
        <v>217</v>
      </c>
    </row>
    <row r="5" spans="5:14" ht="13.5">
      <c r="E5" s="46">
        <v>3</v>
      </c>
      <c r="F5" s="41" t="s">
        <v>139</v>
      </c>
      <c r="G5" s="41" t="s">
        <v>220</v>
      </c>
      <c r="H5" s="42">
        <v>5000000</v>
      </c>
      <c r="I5" s="42">
        <v>10000000</v>
      </c>
      <c r="J5" s="42">
        <v>15000000</v>
      </c>
      <c r="K5" s="42">
        <v>1000000</v>
      </c>
      <c r="M5" s="46">
        <v>3</v>
      </c>
      <c r="N5" s="41" t="s">
        <v>218</v>
      </c>
    </row>
    <row r="6" spans="5:11" ht="13.5">
      <c r="E6" s="46">
        <v>4</v>
      </c>
      <c r="F6" s="41" t="s">
        <v>139</v>
      </c>
      <c r="G6" s="41" t="s">
        <v>219</v>
      </c>
      <c r="H6" s="42">
        <v>5000000</v>
      </c>
      <c r="I6" s="42">
        <v>10000000</v>
      </c>
      <c r="J6" s="42">
        <v>15000000</v>
      </c>
      <c r="K6" s="42">
        <v>1000000</v>
      </c>
    </row>
    <row r="7" spans="5:7" ht="13.5">
      <c r="E7" s="48"/>
      <c r="G7" s="45"/>
    </row>
    <row r="8" spans="5:7" ht="13.5">
      <c r="E8" s="48"/>
      <c r="G8" s="45"/>
    </row>
    <row r="9" spans="5:7" ht="13.5">
      <c r="E9" s="199"/>
      <c r="F9" s="46" t="s">
        <v>142</v>
      </c>
      <c r="G9" s="45"/>
    </row>
    <row r="10" spans="5:7" ht="13.5">
      <c r="E10" s="199"/>
      <c r="F10" s="191">
        <f>IF('基本情報入力（使い方）'!J30=TRUE,"①監視","")</f>
      </c>
      <c r="G10" s="45"/>
    </row>
    <row r="11" spans="5:7" ht="13.5">
      <c r="E11" s="199"/>
      <c r="F11" s="191">
        <f>IF('基本情報入力（使い方）'!J31=TRUE,IF(F10="","①","・")&amp;"保守","")</f>
      </c>
      <c r="G11" s="45"/>
    </row>
    <row r="12" spans="5:7" ht="13.5">
      <c r="E12" s="199"/>
      <c r="F12" s="191" t="str">
        <f>IF('基本情報入力（使い方）'!J32=TRUE,IF(F10&amp;F11="","①","・")&amp;"制御","")</f>
        <v>①制御</v>
      </c>
      <c r="G12" s="45"/>
    </row>
    <row r="13" spans="5:7" ht="13.5">
      <c r="E13" s="199"/>
      <c r="F13" s="191">
        <f>IF('基本情報入力（使い方）'!J33=TRUE,IF(F10&amp;F11&amp;F12="","①","・")&amp;"分析","")</f>
      </c>
      <c r="G13" s="45"/>
    </row>
    <row r="14" spans="5:6" ht="13.5">
      <c r="E14" s="199"/>
      <c r="F14" s="191" t="str">
        <f>IF('基本情報入力（使い方）'!J34=TRUE,IF(F10&amp;F11&amp;F12&amp;F13="","②","　②")&amp;"ＡＩ","")</f>
        <v>　②ＡＩ</v>
      </c>
    </row>
    <row r="15" spans="5:6" ht="13.5">
      <c r="E15" s="199"/>
      <c r="F15" s="191">
        <f>IF('基本情報入力（使い方）'!J35=TRUE,IF(F14="","　②","・")&amp;"ロボット","")</f>
      </c>
    </row>
  </sheetData>
  <sheetProtection/>
  <mergeCells count="1">
    <mergeCell ref="F2:G2"/>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lvl01"/>
  <dimension ref="A1:K89"/>
  <sheetViews>
    <sheetView showGridLines="0" zoomScaleSheetLayoutView="100" zoomScalePageLayoutView="0" workbookViewId="0" topLeftCell="A1">
      <selection activeCell="A1" sqref="A1"/>
    </sheetView>
  </sheetViews>
  <sheetFormatPr defaultColWidth="9.140625" defaultRowHeight="15.75" customHeight="1"/>
  <cols>
    <col min="1" max="2" width="3.421875" style="206" customWidth="1"/>
    <col min="3" max="8" width="13.421875" style="206" customWidth="1"/>
    <col min="9" max="9" width="3.8515625" style="206" customWidth="1"/>
    <col min="10" max="10" width="6.421875" style="3" hidden="1" customWidth="1"/>
    <col min="11" max="11" width="3.8515625" style="3" hidden="1" customWidth="1"/>
    <col min="12" max="16384" width="9.00390625" style="206" customWidth="1"/>
  </cols>
  <sheetData>
    <row r="1" spans="1:11" s="201" customFormat="1" ht="15.75" customHeight="1">
      <c r="A1" s="340" t="s">
        <v>45</v>
      </c>
      <c r="J1" s="16"/>
      <c r="K1" s="16"/>
    </row>
    <row r="2" spans="10:11" s="201" customFormat="1" ht="15.75" customHeight="1">
      <c r="J2" s="16"/>
      <c r="K2" s="16"/>
    </row>
    <row r="3" spans="1:11" s="201" customFormat="1" ht="15.75" customHeight="1">
      <c r="A3" s="341" t="s">
        <v>68</v>
      </c>
      <c r="J3" s="16"/>
      <c r="K3" s="16"/>
    </row>
    <row r="4" spans="3:11" s="201" customFormat="1" ht="15.75" customHeight="1">
      <c r="C4" s="201" t="s">
        <v>244</v>
      </c>
      <c r="J4" s="16"/>
      <c r="K4" s="409"/>
    </row>
    <row r="5" spans="3:11" s="201" customFormat="1" ht="15.75" customHeight="1">
      <c r="C5" s="201" t="s">
        <v>245</v>
      </c>
      <c r="J5" s="16"/>
      <c r="K5" s="409"/>
    </row>
    <row r="6" spans="3:11" s="201" customFormat="1" ht="15.75" customHeight="1">
      <c r="C6" s="201" t="s">
        <v>225</v>
      </c>
      <c r="J6" s="16"/>
      <c r="K6" s="409"/>
    </row>
    <row r="7" spans="3:11" s="201" customFormat="1" ht="15.75" customHeight="1">
      <c r="C7" s="201" t="s">
        <v>224</v>
      </c>
      <c r="J7" s="16"/>
      <c r="K7" s="409"/>
    </row>
    <row r="8" spans="3:11" s="201" customFormat="1" ht="15.75" customHeight="1">
      <c r="C8" s="342"/>
      <c r="J8" s="16"/>
      <c r="K8" s="16"/>
    </row>
    <row r="9" spans="1:11" s="201" customFormat="1" ht="15.75" customHeight="1">
      <c r="A9" s="341" t="s">
        <v>229</v>
      </c>
      <c r="C9" s="342"/>
      <c r="J9" s="16"/>
      <c r="K9" s="16"/>
    </row>
    <row r="10" spans="1:11" s="201" customFormat="1" ht="15.75" customHeight="1">
      <c r="A10" s="342"/>
      <c r="C10" s="342"/>
      <c r="J10" s="16"/>
      <c r="K10" s="16"/>
    </row>
    <row r="11" spans="1:11" s="201" customFormat="1" ht="15.75" customHeight="1">
      <c r="A11" s="340">
        <v>1</v>
      </c>
      <c r="B11" s="340" t="s">
        <v>67</v>
      </c>
      <c r="J11" s="16"/>
      <c r="K11" s="16"/>
    </row>
    <row r="12" spans="3:11" s="201" customFormat="1" ht="15.75" customHeight="1">
      <c r="C12" s="418" t="s">
        <v>182</v>
      </c>
      <c r="D12" s="419"/>
      <c r="E12" s="419"/>
      <c r="F12" s="419"/>
      <c r="G12" s="419"/>
      <c r="H12" s="420"/>
      <c r="J12" s="410"/>
      <c r="K12" s="16"/>
    </row>
    <row r="13" spans="6:11" s="201" customFormat="1" ht="15.75" customHeight="1">
      <c r="F13" s="343"/>
      <c r="G13" s="343"/>
      <c r="H13" s="343"/>
      <c r="I13" s="344"/>
      <c r="J13" s="17"/>
      <c r="K13" s="16"/>
    </row>
    <row r="14" spans="1:11" s="201" customFormat="1" ht="15.75" customHeight="1">
      <c r="A14" s="340">
        <v>2</v>
      </c>
      <c r="B14" s="345" t="s">
        <v>226</v>
      </c>
      <c r="D14" s="346"/>
      <c r="E14" s="346"/>
      <c r="F14" s="346"/>
      <c r="G14" s="346"/>
      <c r="H14" s="346"/>
      <c r="I14" s="346"/>
      <c r="J14" s="16"/>
      <c r="K14" s="16"/>
    </row>
    <row r="15" spans="10:11" s="201" customFormat="1" ht="15.75" customHeight="1">
      <c r="J15" s="16"/>
      <c r="K15" s="16"/>
    </row>
    <row r="16" spans="3:11" s="201" customFormat="1" ht="15.75" customHeight="1">
      <c r="C16" s="347"/>
      <c r="D16" s="348"/>
      <c r="E16" s="349"/>
      <c r="F16" s="349"/>
      <c r="G16" s="349"/>
      <c r="H16" s="350"/>
      <c r="J16" s="16">
        <v>2</v>
      </c>
      <c r="K16" s="16"/>
    </row>
    <row r="17" spans="3:11" s="201" customFormat="1" ht="15.75" customHeight="1">
      <c r="C17" s="351"/>
      <c r="D17" s="352"/>
      <c r="E17" s="353"/>
      <c r="F17" s="353"/>
      <c r="G17" s="353"/>
      <c r="H17" s="354"/>
      <c r="J17" s="16"/>
      <c r="K17" s="16"/>
    </row>
    <row r="18" spans="3:11" s="201" customFormat="1" ht="15.75" customHeight="1">
      <c r="C18" s="355"/>
      <c r="D18" s="356"/>
      <c r="E18" s="356"/>
      <c r="F18" s="356"/>
      <c r="G18" s="356"/>
      <c r="H18" s="357"/>
      <c r="J18" s="16"/>
      <c r="K18" s="16"/>
    </row>
    <row r="19" spans="2:11" s="201" customFormat="1" ht="15.75" customHeight="1">
      <c r="B19" s="344"/>
      <c r="C19" s="358"/>
      <c r="J19" s="16"/>
      <c r="K19" s="16"/>
    </row>
    <row r="20" spans="3:11" s="203" customFormat="1" ht="15.75" customHeight="1">
      <c r="C20" s="359"/>
      <c r="D20" s="359"/>
      <c r="E20" s="359"/>
      <c r="F20" s="359"/>
      <c r="G20" s="359"/>
      <c r="H20" s="359"/>
      <c r="J20" s="18"/>
      <c r="K20" s="18"/>
    </row>
    <row r="21" spans="1:11" s="201" customFormat="1" ht="15.75" customHeight="1">
      <c r="A21" s="360"/>
      <c r="B21" s="360"/>
      <c r="C21" s="360"/>
      <c r="D21" s="360"/>
      <c r="E21" s="202"/>
      <c r="F21" s="202"/>
      <c r="G21" s="202"/>
      <c r="H21" s="202"/>
      <c r="I21" s="202"/>
      <c r="J21" s="16"/>
      <c r="K21" s="16"/>
    </row>
    <row r="22" spans="1:11" s="201" customFormat="1" ht="15.75" customHeight="1">
      <c r="A22" s="360"/>
      <c r="B22" s="360"/>
      <c r="C22" s="422"/>
      <c r="D22" s="422"/>
      <c r="E22" s="421"/>
      <c r="F22" s="421"/>
      <c r="G22" s="421"/>
      <c r="H22" s="421"/>
      <c r="I22" s="202"/>
      <c r="J22" s="16">
        <v>4</v>
      </c>
      <c r="K22" s="16"/>
    </row>
    <row r="23" spans="1:11" s="201" customFormat="1" ht="15.75" customHeight="1">
      <c r="A23" s="360"/>
      <c r="B23" s="360"/>
      <c r="C23" s="422"/>
      <c r="D23" s="422"/>
      <c r="E23" s="421"/>
      <c r="F23" s="421"/>
      <c r="G23" s="421"/>
      <c r="H23" s="421"/>
      <c r="I23" s="202"/>
      <c r="J23" s="16"/>
      <c r="K23" s="16"/>
    </row>
    <row r="24" spans="1:11" s="201" customFormat="1" ht="15.75" customHeight="1">
      <c r="A24" s="360"/>
      <c r="B24" s="360"/>
      <c r="C24" s="422"/>
      <c r="D24" s="422"/>
      <c r="E24" s="421"/>
      <c r="F24" s="421"/>
      <c r="G24" s="421"/>
      <c r="H24" s="421"/>
      <c r="I24" s="202"/>
      <c r="J24" s="16"/>
      <c r="K24" s="16"/>
    </row>
    <row r="25" spans="1:11" s="201" customFormat="1" ht="15.75" customHeight="1">
      <c r="A25" s="360"/>
      <c r="B25" s="360"/>
      <c r="C25" s="422">
        <v>1</v>
      </c>
      <c r="D25" s="422"/>
      <c r="E25" s="421"/>
      <c r="F25" s="421"/>
      <c r="G25" s="421"/>
      <c r="H25" s="421"/>
      <c r="J25" s="16"/>
      <c r="K25" s="16"/>
    </row>
    <row r="26" spans="1:11" s="201" customFormat="1" ht="15.75" customHeight="1">
      <c r="A26" s="360"/>
      <c r="B26" s="360"/>
      <c r="C26" s="422"/>
      <c r="D26" s="422"/>
      <c r="E26" s="421"/>
      <c r="F26" s="421"/>
      <c r="G26" s="421"/>
      <c r="H26" s="421"/>
      <c r="J26" s="16"/>
      <c r="K26" s="16"/>
    </row>
    <row r="27" spans="3:11" s="201" customFormat="1" ht="15.75" customHeight="1">
      <c r="C27" s="361"/>
      <c r="E27" s="426"/>
      <c r="H27" s="362"/>
      <c r="J27" s="16"/>
      <c r="K27" s="16"/>
    </row>
    <row r="28" spans="3:11" s="201" customFormat="1" ht="15.75" customHeight="1">
      <c r="C28" s="363"/>
      <c r="E28" s="427"/>
      <c r="H28" s="364"/>
      <c r="J28" s="16"/>
      <c r="K28" s="16"/>
    </row>
    <row r="29" spans="3:11" s="201" customFormat="1" ht="15.75" customHeight="1">
      <c r="C29" s="365" t="s">
        <v>204</v>
      </c>
      <c r="E29" s="428"/>
      <c r="F29" s="366" t="s">
        <v>205</v>
      </c>
      <c r="H29" s="367"/>
      <c r="J29" s="16"/>
      <c r="K29" s="16"/>
    </row>
    <row r="30" spans="3:11" s="201" customFormat="1" ht="15.75" customHeight="1">
      <c r="C30" s="368"/>
      <c r="D30" s="369"/>
      <c r="E30" s="370"/>
      <c r="F30" s="423"/>
      <c r="G30" s="423"/>
      <c r="H30" s="423"/>
      <c r="J30" s="16" t="b">
        <v>0</v>
      </c>
      <c r="K30" s="16">
        <v>3</v>
      </c>
    </row>
    <row r="31" spans="3:11" s="201" customFormat="1" ht="15.75" customHeight="1">
      <c r="C31" s="371"/>
      <c r="D31" s="372"/>
      <c r="E31" s="373"/>
      <c r="F31" s="424"/>
      <c r="G31" s="424"/>
      <c r="H31" s="424"/>
      <c r="J31" s="16" t="b">
        <v>0</v>
      </c>
      <c r="K31" s="16"/>
    </row>
    <row r="32" spans="3:11" s="201" customFormat="1" ht="15.75" customHeight="1">
      <c r="C32" s="371"/>
      <c r="D32" s="372"/>
      <c r="E32" s="373"/>
      <c r="F32" s="424"/>
      <c r="G32" s="424"/>
      <c r="H32" s="424"/>
      <c r="J32" s="16" t="b">
        <v>1</v>
      </c>
      <c r="K32" s="16"/>
    </row>
    <row r="33" spans="3:11" s="201" customFormat="1" ht="15.75" customHeight="1">
      <c r="C33" s="371"/>
      <c r="D33" s="372"/>
      <c r="E33" s="373"/>
      <c r="F33" s="424"/>
      <c r="G33" s="424"/>
      <c r="H33" s="424"/>
      <c r="J33" s="16" t="b">
        <v>0</v>
      </c>
      <c r="K33" s="16"/>
    </row>
    <row r="34" spans="3:11" s="201" customFormat="1" ht="15.75" customHeight="1">
      <c r="C34" s="371"/>
      <c r="D34" s="372"/>
      <c r="E34" s="373"/>
      <c r="F34" s="424"/>
      <c r="G34" s="424"/>
      <c r="H34" s="424"/>
      <c r="J34" s="16" t="b">
        <v>1</v>
      </c>
      <c r="K34" s="16"/>
    </row>
    <row r="35" spans="3:11" s="201" customFormat="1" ht="15.75" customHeight="1">
      <c r="C35" s="374"/>
      <c r="D35" s="375"/>
      <c r="E35" s="376"/>
      <c r="F35" s="425"/>
      <c r="G35" s="425"/>
      <c r="H35" s="425"/>
      <c r="J35" s="16" t="b">
        <v>0</v>
      </c>
      <c r="K35" s="16"/>
    </row>
    <row r="36" spans="3:11" s="201" customFormat="1" ht="15.75" customHeight="1">
      <c r="C36" s="377">
        <f>IF(J22=1,IF(OR(AND(J30=FALSE,J31=FALSE,J32=FALSE,J33=FALSE),AND(J34=FALSE,J35=FALSE)),"第四次産業革命型の場合、①IoT機能と②IoTへの付加機能には1種類以上の選択が必要です。",""),"")</f>
      </c>
      <c r="F36" s="366"/>
      <c r="J36" s="16"/>
      <c r="K36" s="16"/>
    </row>
    <row r="37" spans="4:11" s="201" customFormat="1" ht="15.75" customHeight="1">
      <c r="D37" s="378"/>
      <c r="E37" s="378"/>
      <c r="F37" s="378"/>
      <c r="G37" s="378"/>
      <c r="H37" s="379"/>
      <c r="I37" s="343"/>
      <c r="J37" s="17"/>
      <c r="K37" s="16"/>
    </row>
    <row r="38" spans="1:11" s="204" customFormat="1" ht="15.75" customHeight="1">
      <c r="A38" s="380">
        <v>3</v>
      </c>
      <c r="B38" s="380" t="s">
        <v>248</v>
      </c>
      <c r="E38" s="381"/>
      <c r="J38" s="193"/>
      <c r="K38" s="193"/>
    </row>
    <row r="39" spans="5:11" s="204" customFormat="1" ht="15.75" customHeight="1">
      <c r="E39" s="381"/>
      <c r="J39" s="193"/>
      <c r="K39" s="193"/>
    </row>
    <row r="40" spans="3:11" s="204" customFormat="1" ht="15.75" customHeight="1">
      <c r="C40" s="414" t="s">
        <v>250</v>
      </c>
      <c r="D40" s="415"/>
      <c r="E40" s="416">
        <v>18000000</v>
      </c>
      <c r="F40" s="417"/>
      <c r="H40" s="382"/>
      <c r="J40" s="193"/>
      <c r="K40" s="193"/>
    </row>
    <row r="41" spans="3:11" s="204" customFormat="1" ht="15.75" customHeight="1">
      <c r="C41" s="414" t="s">
        <v>251</v>
      </c>
      <c r="D41" s="415"/>
      <c r="E41" s="416">
        <v>12000000</v>
      </c>
      <c r="F41" s="417"/>
      <c r="J41" s="193"/>
      <c r="K41" s="193"/>
    </row>
    <row r="42" spans="3:11" s="204" customFormat="1" ht="15.75" customHeight="1">
      <c r="C42" s="383" t="s">
        <v>249</v>
      </c>
      <c r="D42" s="384"/>
      <c r="E42" s="385"/>
      <c r="J42" s="193"/>
      <c r="K42" s="193"/>
    </row>
    <row r="43" spans="3:11" s="201" customFormat="1" ht="15.75" customHeight="1">
      <c r="C43" s="378"/>
      <c r="D43" s="378"/>
      <c r="E43" s="378"/>
      <c r="F43" s="378"/>
      <c r="G43" s="378"/>
      <c r="H43" s="379"/>
      <c r="I43" s="343"/>
      <c r="J43" s="17"/>
      <c r="K43" s="16"/>
    </row>
    <row r="44" spans="1:11" s="201" customFormat="1" ht="15.75" customHeight="1">
      <c r="A44" s="340">
        <v>4</v>
      </c>
      <c r="B44" s="340" t="s">
        <v>138</v>
      </c>
      <c r="J44" s="16"/>
      <c r="K44" s="16"/>
    </row>
    <row r="45" spans="2:11" s="201" customFormat="1" ht="15.75" customHeight="1">
      <c r="B45" s="201" t="s">
        <v>69</v>
      </c>
      <c r="J45" s="16"/>
      <c r="K45" s="16"/>
    </row>
    <row r="46" spans="2:11" s="201" customFormat="1" ht="15.75" customHeight="1">
      <c r="B46" s="203" t="s">
        <v>191</v>
      </c>
      <c r="C46" s="203"/>
      <c r="E46" s="203"/>
      <c r="J46" s="16"/>
      <c r="K46" s="16"/>
    </row>
    <row r="47" spans="2:11" s="204" customFormat="1" ht="15.75" customHeight="1">
      <c r="B47" s="386"/>
      <c r="C47" s="387" t="s">
        <v>74</v>
      </c>
      <c r="D47" s="388"/>
      <c r="E47" s="388"/>
      <c r="F47" s="389"/>
      <c r="J47" s="193"/>
      <c r="K47" s="193"/>
    </row>
    <row r="48" spans="2:11" s="204" customFormat="1" ht="15.75" customHeight="1">
      <c r="B48" s="386"/>
      <c r="C48" s="390" t="s">
        <v>75</v>
      </c>
      <c r="D48" s="391"/>
      <c r="E48" s="391"/>
      <c r="F48" s="392"/>
      <c r="J48" s="193"/>
      <c r="K48" s="193"/>
    </row>
    <row r="49" spans="2:11" s="204" customFormat="1" ht="15.75" customHeight="1">
      <c r="B49" s="386"/>
      <c r="C49" s="390" t="s">
        <v>175</v>
      </c>
      <c r="D49" s="391"/>
      <c r="E49" s="391"/>
      <c r="F49" s="392"/>
      <c r="J49" s="193"/>
      <c r="K49" s="193"/>
    </row>
    <row r="50" spans="2:11" s="204" customFormat="1" ht="15.75" customHeight="1">
      <c r="B50" s="386"/>
      <c r="C50" s="390" t="s">
        <v>177</v>
      </c>
      <c r="D50" s="391"/>
      <c r="E50" s="391"/>
      <c r="F50" s="392"/>
      <c r="J50" s="193"/>
      <c r="K50" s="193"/>
    </row>
    <row r="51" spans="2:11" s="204" customFormat="1" ht="15.75" customHeight="1">
      <c r="B51" s="386"/>
      <c r="C51" s="390" t="s">
        <v>176</v>
      </c>
      <c r="D51" s="391"/>
      <c r="E51" s="391"/>
      <c r="F51" s="392"/>
      <c r="J51" s="193"/>
      <c r="K51" s="193"/>
    </row>
    <row r="52" spans="2:11" s="204" customFormat="1" ht="15.75" customHeight="1">
      <c r="B52" s="386"/>
      <c r="C52" s="393" t="s">
        <v>211</v>
      </c>
      <c r="D52" s="394"/>
      <c r="E52" s="395"/>
      <c r="F52" s="396"/>
      <c r="J52" s="193"/>
      <c r="K52" s="193"/>
    </row>
    <row r="53" spans="2:11" s="204" customFormat="1" ht="15.75" customHeight="1">
      <c r="B53" s="386"/>
      <c r="C53" s="393" t="s">
        <v>212</v>
      </c>
      <c r="D53" s="394"/>
      <c r="E53" s="395"/>
      <c r="F53" s="396"/>
      <c r="J53" s="193"/>
      <c r="K53" s="193"/>
    </row>
    <row r="54" spans="2:11" s="204" customFormat="1" ht="15.75" customHeight="1">
      <c r="B54" s="386"/>
      <c r="C54" s="393" t="s">
        <v>213</v>
      </c>
      <c r="D54" s="394"/>
      <c r="E54" s="395"/>
      <c r="F54" s="396"/>
      <c r="J54" s="193"/>
      <c r="K54" s="193"/>
    </row>
    <row r="55" spans="2:11" s="204" customFormat="1" ht="15.75" customHeight="1">
      <c r="B55" s="386"/>
      <c r="C55" s="393" t="s">
        <v>214</v>
      </c>
      <c r="D55" s="394"/>
      <c r="E55" s="395"/>
      <c r="F55" s="396"/>
      <c r="J55" s="193"/>
      <c r="K55" s="193"/>
    </row>
    <row r="56" spans="2:11" s="204" customFormat="1" ht="15.75" customHeight="1">
      <c r="B56" s="386"/>
      <c r="C56" s="397" t="s">
        <v>215</v>
      </c>
      <c r="D56" s="398"/>
      <c r="E56" s="399"/>
      <c r="F56" s="400"/>
      <c r="J56" s="193"/>
      <c r="K56" s="193"/>
    </row>
    <row r="57" spans="2:11" s="204" customFormat="1" ht="15.75" customHeight="1">
      <c r="B57" s="384"/>
      <c r="C57" s="384"/>
      <c r="D57" s="384"/>
      <c r="E57" s="385"/>
      <c r="J57" s="193"/>
      <c r="K57" s="193"/>
    </row>
    <row r="58" spans="2:11" s="201" customFormat="1" ht="15.75" customHeight="1">
      <c r="B58" s="201" t="s">
        <v>43</v>
      </c>
      <c r="H58" s="401"/>
      <c r="J58" s="16"/>
      <c r="K58" s="16"/>
    </row>
    <row r="59" spans="2:11" s="201" customFormat="1" ht="15.75" customHeight="1">
      <c r="B59" s="201" t="s">
        <v>66</v>
      </c>
      <c r="J59" s="16"/>
      <c r="K59" s="16"/>
    </row>
    <row r="60" spans="2:11" s="201" customFormat="1" ht="15.75" customHeight="1">
      <c r="B60" s="201" t="s">
        <v>81</v>
      </c>
      <c r="J60" s="16"/>
      <c r="K60" s="16"/>
    </row>
    <row r="61" spans="2:11" s="201" customFormat="1" ht="15.75" customHeight="1">
      <c r="B61" s="201" t="s">
        <v>44</v>
      </c>
      <c r="J61" s="16"/>
      <c r="K61" s="16"/>
    </row>
    <row r="62" spans="2:11" s="201" customFormat="1" ht="15.75" customHeight="1">
      <c r="B62" s="201" t="s">
        <v>227</v>
      </c>
      <c r="J62" s="16"/>
      <c r="K62" s="16"/>
    </row>
    <row r="63" spans="2:11" s="204" customFormat="1" ht="15.75" customHeight="1">
      <c r="B63" s="384"/>
      <c r="C63" s="402"/>
      <c r="D63" s="384"/>
      <c r="E63" s="385"/>
      <c r="J63" s="193"/>
      <c r="K63" s="193"/>
    </row>
    <row r="64" spans="1:11" s="207" customFormat="1" ht="15.75" customHeight="1">
      <c r="A64" s="340"/>
      <c r="B64" s="403" t="s">
        <v>246</v>
      </c>
      <c r="C64" s="403"/>
      <c r="D64" s="404"/>
      <c r="E64" s="405"/>
      <c r="F64" s="405"/>
      <c r="G64" s="405"/>
      <c r="H64" s="404"/>
      <c r="I64" s="406"/>
      <c r="J64" s="208"/>
      <c r="K64" s="411"/>
    </row>
    <row r="65" spans="2:11" s="207" customFormat="1" ht="15.75" customHeight="1">
      <c r="B65" s="205" t="s">
        <v>228</v>
      </c>
      <c r="J65" s="208"/>
      <c r="K65" s="208"/>
    </row>
    <row r="66" spans="2:11" s="207" customFormat="1" ht="15.75" customHeight="1">
      <c r="B66" s="205"/>
      <c r="J66" s="208"/>
      <c r="K66" s="208"/>
    </row>
    <row r="67" spans="10:11" s="207" customFormat="1" ht="15.75" customHeight="1">
      <c r="J67" s="208"/>
      <c r="K67" s="208"/>
    </row>
    <row r="68" spans="2:11" s="207" customFormat="1" ht="15.75" customHeight="1">
      <c r="B68" s="407"/>
      <c r="J68" s="208"/>
      <c r="K68" s="208"/>
    </row>
    <row r="69" spans="2:11" s="207" customFormat="1" ht="15.75" customHeight="1">
      <c r="B69" s="408"/>
      <c r="J69" s="208"/>
      <c r="K69" s="208"/>
    </row>
    <row r="70" spans="2:11" s="204" customFormat="1" ht="15.75" customHeight="1">
      <c r="B70" s="384"/>
      <c r="C70" s="384"/>
      <c r="D70" s="384"/>
      <c r="E70" s="385"/>
      <c r="J70" s="193"/>
      <c r="K70" s="193"/>
    </row>
    <row r="71" spans="4:11" s="207" customFormat="1" ht="15.75" customHeight="1">
      <c r="D71" s="205"/>
      <c r="J71" s="208"/>
      <c r="K71" s="208"/>
    </row>
    <row r="72" spans="10:11" s="207" customFormat="1" ht="15.75" customHeight="1">
      <c r="J72" s="208"/>
      <c r="K72" s="208"/>
    </row>
    <row r="73" spans="10:11" s="205" customFormat="1" ht="15.75" customHeight="1">
      <c r="J73" s="2"/>
      <c r="K73" s="2"/>
    </row>
    <row r="74" spans="10:11" s="205" customFormat="1" ht="15.75" customHeight="1">
      <c r="J74" s="2"/>
      <c r="K74" s="2"/>
    </row>
    <row r="75" spans="10:11" s="205" customFormat="1" ht="15.75" customHeight="1">
      <c r="J75" s="2"/>
      <c r="K75" s="2"/>
    </row>
    <row r="76" spans="10:11" s="205" customFormat="1" ht="15.75" customHeight="1">
      <c r="J76" s="2"/>
      <c r="K76" s="2"/>
    </row>
    <row r="77" spans="10:11" s="205" customFormat="1" ht="15.75" customHeight="1">
      <c r="J77" s="2"/>
      <c r="K77" s="2"/>
    </row>
    <row r="78" spans="10:11" s="205" customFormat="1" ht="15.75" customHeight="1">
      <c r="J78" s="2"/>
      <c r="K78" s="2"/>
    </row>
    <row r="79" spans="10:11" s="205" customFormat="1" ht="15.75" customHeight="1">
      <c r="J79" s="2"/>
      <c r="K79" s="2"/>
    </row>
    <row r="80" spans="10:11" s="205" customFormat="1" ht="15.75" customHeight="1">
      <c r="J80" s="2"/>
      <c r="K80" s="2"/>
    </row>
    <row r="81" spans="10:11" s="205" customFormat="1" ht="15.75" customHeight="1">
      <c r="J81" s="2"/>
      <c r="K81" s="2"/>
    </row>
    <row r="82" spans="10:11" s="205" customFormat="1" ht="15.75" customHeight="1">
      <c r="J82" s="2"/>
      <c r="K82" s="2"/>
    </row>
    <row r="83" spans="10:11" s="205" customFormat="1" ht="15.75" customHeight="1">
      <c r="J83" s="2"/>
      <c r="K83" s="2"/>
    </row>
    <row r="84" spans="10:11" s="205" customFormat="1" ht="15.75" customHeight="1">
      <c r="J84" s="2"/>
      <c r="K84" s="2"/>
    </row>
    <row r="85" spans="10:11" s="205" customFormat="1" ht="15.75" customHeight="1">
      <c r="J85" s="2"/>
      <c r="K85" s="2"/>
    </row>
    <row r="86" spans="10:11" s="205" customFormat="1" ht="15.75" customHeight="1">
      <c r="J86" s="2"/>
      <c r="K86" s="2"/>
    </row>
    <row r="87" spans="10:11" s="205" customFormat="1" ht="15.75" customHeight="1">
      <c r="J87" s="2"/>
      <c r="K87" s="2"/>
    </row>
    <row r="88" spans="10:11" s="205" customFormat="1" ht="15.75" customHeight="1">
      <c r="J88" s="2"/>
      <c r="K88" s="2"/>
    </row>
    <row r="89" spans="10:11" s="205" customFormat="1" ht="15.75" customHeight="1">
      <c r="J89" s="2"/>
      <c r="K89" s="2"/>
    </row>
  </sheetData>
  <sheetProtection sheet="1" objects="1" scenarios="1"/>
  <mergeCells count="10">
    <mergeCell ref="C41:D41"/>
    <mergeCell ref="C40:D40"/>
    <mergeCell ref="E41:F41"/>
    <mergeCell ref="E40:F40"/>
    <mergeCell ref="C12:H12"/>
    <mergeCell ref="G22:H26"/>
    <mergeCell ref="E22:F26"/>
    <mergeCell ref="C22:D26"/>
    <mergeCell ref="F30:H35"/>
    <mergeCell ref="E27:E29"/>
  </mergeCells>
  <conditionalFormatting sqref="E40:F40">
    <cfRule type="expression" priority="2" dxfId="0" stopIfTrue="1">
      <formula>OR($E$40="",$E$40=0)</formula>
    </cfRule>
  </conditionalFormatting>
  <conditionalFormatting sqref="E41:F41">
    <cfRule type="expression" priority="1" dxfId="0" stopIfTrue="1">
      <formula>OR($E$41="",$E$41=0)</formula>
    </cfRule>
  </conditionalFormatting>
  <hyperlinks>
    <hyperlink ref="C52" location="原材料費!A1" display="　　原材料費"/>
    <hyperlink ref="C49" location="技術導入費!A1" display="　　技術導入費"/>
    <hyperlink ref="C53" location="外注加工費!A1" display="　　外注加工費"/>
    <hyperlink ref="C54" location="委託費!A1" display="　　委託費"/>
    <hyperlink ref="C55" location="知的財産権等関連経費!A1" display="知的財産関連経費"/>
    <hyperlink ref="C51" location="運搬費!A1" display="運搬費"/>
    <hyperlink ref="C50" location="専門家経費!A1" display="専門家経費"/>
    <hyperlink ref="C56" location="クラウド利用費!A1" display="クラウド利用費"/>
    <hyperlink ref="C47" location="'機械装置費（50万円以上）'!A1" display="機械装置費（50万円以上）"/>
    <hyperlink ref="C48" location="'機械装置費（50万円未満）'!A1" display="機械装置費（50万円未満）"/>
  </hyperlinks>
  <printOptions horizontalCentered="1"/>
  <pageMargins left="0.7086614173228347" right="0.7086614173228347" top="0.7480314960629921" bottom="0.1968503937007874" header="0.31496062992125984" footer="0.31496062992125984"/>
  <pageSetup fitToHeight="5" horizontalDpi="600" verticalDpi="600" orientation="portrait" paperSize="9" scale="48" r:id="rId3"/>
  <drawing r:id="rId2"/>
  <legacyDrawing r:id="rId1"/>
</worksheet>
</file>

<file path=xl/worksheets/sheet4.xml><?xml version="1.0" encoding="utf-8"?>
<worksheet xmlns="http://schemas.openxmlformats.org/spreadsheetml/2006/main" xmlns:r="http://schemas.openxmlformats.org/officeDocument/2006/relationships">
  <sheetPr codeName="Sheet37">
    <tabColor rgb="FFFFFF3B"/>
    <pageSetUpPr fitToPage="1"/>
  </sheetPr>
  <dimension ref="A1:BG121"/>
  <sheetViews>
    <sheetView showGridLines="0" zoomScale="70" zoomScaleNormal="70" zoomScaleSheetLayoutView="70" zoomScalePageLayoutView="0" workbookViewId="0" topLeftCell="A1">
      <selection activeCell="A1" sqref="A1"/>
    </sheetView>
  </sheetViews>
  <sheetFormatPr defaultColWidth="9.140625" defaultRowHeight="15"/>
  <cols>
    <col min="1" max="1" width="3.57421875" style="91" customWidth="1"/>
    <col min="2" max="2" width="11.57421875" style="91" customWidth="1"/>
    <col min="3" max="3" width="22.7109375" style="91" customWidth="1"/>
    <col min="4" max="8" width="19.28125" style="91" customWidth="1"/>
    <col min="9" max="9" width="9.8515625" style="91" customWidth="1"/>
    <col min="10" max="10" width="22.7109375" style="91" customWidth="1"/>
    <col min="11" max="11" width="12.7109375" style="91" customWidth="1"/>
    <col min="12" max="12" width="5.28125" style="91" customWidth="1"/>
    <col min="13" max="13" width="47.140625" style="91" bestFit="1" customWidth="1"/>
    <col min="14" max="14" width="25.421875" style="94" customWidth="1"/>
    <col min="15" max="15" width="18.57421875" style="94" customWidth="1"/>
    <col min="16" max="16" width="25.421875" style="94" customWidth="1"/>
    <col min="17" max="17" width="32.421875" style="94" customWidth="1"/>
    <col min="18" max="18" width="26.28125" style="91" customWidth="1"/>
    <col min="19" max="19" width="17.421875" style="91" customWidth="1"/>
    <col min="20" max="21" width="17.421875" style="173" customWidth="1"/>
    <col min="22" max="26" width="17.421875" style="91" customWidth="1"/>
    <col min="27" max="27" width="16.8515625" style="91" customWidth="1"/>
    <col min="28" max="29" width="21.8515625" style="91" customWidth="1"/>
    <col min="30" max="30" width="35.28125" style="91" customWidth="1"/>
    <col min="31" max="31" width="19.28125" style="91" customWidth="1"/>
    <col min="32" max="32" width="5.7109375" style="91" customWidth="1"/>
    <col min="33" max="33" width="35.28125" style="91" customWidth="1"/>
    <col min="34" max="34" width="19.28125" style="91" customWidth="1"/>
    <col min="35" max="35" width="5.7109375" style="91" customWidth="1"/>
    <col min="36" max="36" width="35.28125" style="91" customWidth="1"/>
    <col min="37" max="37" width="19.28125" style="91" customWidth="1"/>
    <col min="38" max="38" width="5.7109375" style="91" customWidth="1"/>
    <col min="39" max="39" width="35.28125" style="91" customWidth="1"/>
    <col min="40" max="40" width="19.28125" style="91" customWidth="1"/>
    <col min="41" max="41" width="5.7109375" style="91" customWidth="1"/>
    <col min="42" max="42" width="35.28125" style="91" customWidth="1"/>
    <col min="43" max="43" width="19.28125" style="91" customWidth="1"/>
    <col min="44" max="44" width="5.7109375" style="91" customWidth="1"/>
    <col min="45" max="46" width="11.140625" style="91" bestFit="1" customWidth="1"/>
    <col min="47" max="47" width="6.7109375" style="91" bestFit="1" customWidth="1"/>
    <col min="48" max="48" width="45.57421875" style="91" bestFit="1" customWidth="1"/>
    <col min="49" max="49" width="10.28125" style="91" bestFit="1" customWidth="1"/>
    <col min="50" max="50" width="9.421875" style="91" bestFit="1" customWidth="1"/>
    <col min="51" max="51" width="4.57421875" style="91" bestFit="1" customWidth="1"/>
    <col min="52" max="52" width="8.421875" style="91" bestFit="1" customWidth="1"/>
    <col min="53" max="53" width="4.57421875" style="91" bestFit="1" customWidth="1"/>
    <col min="54" max="54" width="15.421875" style="91" bestFit="1" customWidth="1"/>
    <col min="55" max="55" width="4.57421875" style="91" bestFit="1" customWidth="1"/>
    <col min="56" max="56" width="18.28125" style="91" bestFit="1" customWidth="1"/>
    <col min="57" max="57" width="6.8515625" style="91" bestFit="1" customWidth="1"/>
    <col min="58" max="58" width="14.00390625" style="91" customWidth="1"/>
    <col min="59" max="59" width="13.8515625" style="91" customWidth="1"/>
    <col min="60" max="60" width="17.28125" style="91" customWidth="1"/>
    <col min="61" max="16384" width="9.00390625" style="91" customWidth="1"/>
  </cols>
  <sheetData>
    <row r="1" spans="1:15" s="87" customFormat="1" ht="13.5">
      <c r="A1" s="86"/>
      <c r="E1" s="88"/>
      <c r="K1" s="86"/>
      <c r="L1" s="86"/>
      <c r="M1" s="86"/>
      <c r="O1" s="89"/>
    </row>
    <row r="2" spans="1:15" s="87" customFormat="1" ht="13.5">
      <c r="A2" s="86"/>
      <c r="B2" s="83"/>
      <c r="E2" s="88"/>
      <c r="K2" s="86"/>
      <c r="L2" s="86"/>
      <c r="M2" s="86"/>
      <c r="O2" s="89"/>
    </row>
    <row r="3" spans="1:27" s="87" customFormat="1" ht="24">
      <c r="A3" s="86"/>
      <c r="B3" s="187" t="s">
        <v>242</v>
      </c>
      <c r="E3" s="88"/>
      <c r="K3" s="86"/>
      <c r="L3" s="86"/>
      <c r="M3" s="86"/>
      <c r="O3" s="89"/>
      <c r="S3" s="188"/>
      <c r="T3" s="188"/>
      <c r="U3" s="188"/>
      <c r="V3" s="188"/>
      <c r="W3" s="188"/>
      <c r="AA3" s="90"/>
    </row>
    <row r="4" spans="3:35" ht="24">
      <c r="C4" s="93"/>
      <c r="D4" s="94"/>
      <c r="E4" s="93"/>
      <c r="F4" s="94"/>
      <c r="G4" s="94"/>
      <c r="H4" s="94"/>
      <c r="I4" s="94"/>
      <c r="J4" s="94"/>
      <c r="K4" s="94"/>
      <c r="S4" s="188"/>
      <c r="T4" s="188"/>
      <c r="U4" s="188"/>
      <c r="V4" s="188"/>
      <c r="W4" s="188"/>
      <c r="X4" s="188"/>
      <c r="Y4" s="90"/>
      <c r="Z4" s="90"/>
      <c r="AI4" s="95"/>
    </row>
    <row r="5" spans="2:26" ht="24">
      <c r="B5" s="92" t="str">
        <f>"事業者名　：　"&amp;'基本情報入力（使い方）'!C12</f>
        <v>事業者名　：　Ｂ金属株式会社</v>
      </c>
      <c r="E5" s="524"/>
      <c r="F5" s="524"/>
      <c r="N5" s="96"/>
      <c r="O5" s="97"/>
      <c r="P5" s="97"/>
      <c r="Q5" s="91"/>
      <c r="S5" s="528" t="str">
        <f>"（事業者名　：　"&amp;'基本情報入力（使い方）'!C12&amp;")"</f>
        <v>（事業者名　：　Ｂ金属株式会社)</v>
      </c>
      <c r="T5" s="528"/>
      <c r="U5" s="528"/>
      <c r="V5" s="528"/>
      <c r="W5" s="528"/>
      <c r="X5" s="528"/>
      <c r="Y5" s="90"/>
      <c r="Z5" s="90"/>
    </row>
    <row r="6" spans="2:58" s="87" customFormat="1" ht="24">
      <c r="B6" s="436" t="s">
        <v>232</v>
      </c>
      <c r="C6" s="437"/>
      <c r="D6" s="438"/>
      <c r="E6" s="315" t="str">
        <f>事業類型&amp;"　"&amp;N50&amp;"  "&amp;N51</f>
        <v>ものづくり技術　小規模型（試作開発等）  雇用増（維持）10%の賃上げ</v>
      </c>
      <c r="F6" s="316"/>
      <c r="G6" s="316"/>
      <c r="H6" s="317"/>
      <c r="I6" s="317"/>
      <c r="J6" s="318"/>
      <c r="K6" s="100"/>
      <c r="L6" s="91"/>
      <c r="M6" s="91"/>
      <c r="N6" s="505" t="s">
        <v>37</v>
      </c>
      <c r="O6" s="101" t="s">
        <v>80</v>
      </c>
      <c r="P6" s="102"/>
      <c r="Q6" s="103"/>
      <c r="R6" s="91"/>
      <c r="S6" s="489" t="s">
        <v>37</v>
      </c>
      <c r="T6" s="529" t="s">
        <v>149</v>
      </c>
      <c r="U6" s="530"/>
      <c r="V6" s="530"/>
      <c r="W6" s="530"/>
      <c r="X6" s="531"/>
      <c r="Y6" s="90"/>
      <c r="Z6" s="90"/>
      <c r="AA6" s="91"/>
      <c r="AB6" s="91"/>
      <c r="AC6" s="91"/>
      <c r="AD6" s="91"/>
      <c r="AE6" s="91"/>
      <c r="AF6" s="91"/>
      <c r="AG6" s="91"/>
      <c r="AH6" s="91"/>
      <c r="AI6" s="91"/>
      <c r="AJ6" s="91"/>
      <c r="AK6" s="91"/>
      <c r="AL6" s="91"/>
      <c r="AM6" s="91"/>
      <c r="AN6" s="91"/>
      <c r="AO6" s="91"/>
      <c r="AP6" s="91"/>
      <c r="AQ6" s="91"/>
      <c r="AR6" s="91"/>
      <c r="AS6" s="91"/>
      <c r="AT6" s="91"/>
      <c r="AU6" s="91"/>
      <c r="AV6" s="91"/>
      <c r="AW6" s="91"/>
      <c r="AX6" s="91"/>
      <c r="AY6" s="91"/>
      <c r="AZ6" s="91"/>
      <c r="BA6" s="91"/>
      <c r="BB6" s="91"/>
      <c r="BC6" s="91"/>
      <c r="BD6" s="91"/>
      <c r="BE6" s="91"/>
      <c r="BF6" s="91"/>
    </row>
    <row r="7" spans="1:58" s="87" customFormat="1" ht="33" customHeight="1">
      <c r="A7" s="94"/>
      <c r="B7" s="319" t="s">
        <v>16</v>
      </c>
      <c r="C7" s="320"/>
      <c r="D7" s="439" t="s">
        <v>247</v>
      </c>
      <c r="E7" s="442" t="s">
        <v>235</v>
      </c>
      <c r="F7" s="443"/>
      <c r="G7" s="313" t="s">
        <v>240</v>
      </c>
      <c r="H7" s="313" t="s">
        <v>237</v>
      </c>
      <c r="I7" s="444" t="s">
        <v>238</v>
      </c>
      <c r="J7" s="445"/>
      <c r="K7" s="118"/>
      <c r="L7" s="91"/>
      <c r="M7" s="91"/>
      <c r="N7" s="506"/>
      <c r="O7" s="486" t="str">
        <f>事業類型&amp;":"&amp;$N$50</f>
        <v>ものづくり技術:小規模型（試作開発等）</v>
      </c>
      <c r="P7" s="487"/>
      <c r="Q7" s="488"/>
      <c r="R7" s="91"/>
      <c r="S7" s="490"/>
      <c r="T7" s="532"/>
      <c r="U7" s="533"/>
      <c r="V7" s="533"/>
      <c r="W7" s="533"/>
      <c r="X7" s="534"/>
      <c r="Y7" s="90"/>
      <c r="Z7" s="90"/>
      <c r="AA7" s="91"/>
      <c r="AB7" s="91"/>
      <c r="AC7" s="91"/>
      <c r="AD7" s="91"/>
      <c r="AE7" s="91"/>
      <c r="AF7" s="91"/>
      <c r="AG7" s="91"/>
      <c r="AH7" s="91"/>
      <c r="AI7" s="91"/>
      <c r="AJ7" s="91"/>
      <c r="AK7" s="91"/>
      <c r="AL7" s="91"/>
      <c r="AM7" s="91"/>
      <c r="AN7" s="91"/>
      <c r="AO7" s="91"/>
      <c r="AP7" s="91"/>
      <c r="AQ7" s="91"/>
      <c r="AR7" s="91"/>
      <c r="AS7" s="91"/>
      <c r="AT7" s="91"/>
      <c r="AU7" s="91"/>
      <c r="AV7" s="91"/>
      <c r="AW7" s="91"/>
      <c r="AX7" s="91"/>
      <c r="AY7" s="91"/>
      <c r="AZ7" s="91"/>
      <c r="BA7" s="91"/>
      <c r="BB7" s="91"/>
      <c r="BC7" s="91"/>
      <c r="BD7" s="91"/>
      <c r="BE7" s="91"/>
      <c r="BF7" s="91"/>
    </row>
    <row r="8" spans="2:24" ht="30" customHeight="1">
      <c r="B8" s="321"/>
      <c r="C8" s="322"/>
      <c r="D8" s="440"/>
      <c r="E8" s="434" t="s">
        <v>239</v>
      </c>
      <c r="F8" s="435"/>
      <c r="G8" s="324" t="s">
        <v>77</v>
      </c>
      <c r="H8" s="323" t="s">
        <v>236</v>
      </c>
      <c r="I8" s="446"/>
      <c r="J8" s="447"/>
      <c r="K8" s="118"/>
      <c r="N8" s="104"/>
      <c r="O8" s="101" t="s">
        <v>39</v>
      </c>
      <c r="P8" s="105"/>
      <c r="Q8" s="106"/>
      <c r="S8" s="107" t="s">
        <v>170</v>
      </c>
      <c r="T8" s="535" t="s">
        <v>202</v>
      </c>
      <c r="U8" s="536"/>
      <c r="V8" s="536"/>
      <c r="W8" s="536"/>
      <c r="X8" s="537"/>
    </row>
    <row r="9" spans="2:24" ht="30" customHeight="1">
      <c r="B9" s="325"/>
      <c r="C9" s="326"/>
      <c r="D9" s="441"/>
      <c r="E9" s="327" t="s">
        <v>234</v>
      </c>
      <c r="F9" s="327" t="s">
        <v>233</v>
      </c>
      <c r="G9" s="327" t="s">
        <v>233</v>
      </c>
      <c r="H9" s="327" t="s">
        <v>233</v>
      </c>
      <c r="I9" s="448"/>
      <c r="J9" s="449"/>
      <c r="K9" s="312"/>
      <c r="N9" s="51" t="str">
        <f>AR27</f>
        <v>○</v>
      </c>
      <c r="O9" s="111"/>
      <c r="P9" s="112"/>
      <c r="Q9" s="79">
        <f>補助上限額</f>
        <v>15000000</v>
      </c>
      <c r="S9" s="52" t="str">
        <f>IF(OR(T28="×",T29="×",T33="×",T30="×",T34="×",T35="×",T36="×",T32="×",T31="×",T37="×"),"×","○")</f>
        <v>○</v>
      </c>
      <c r="T9" s="538"/>
      <c r="U9" s="539"/>
      <c r="V9" s="539"/>
      <c r="W9" s="539"/>
      <c r="X9" s="540"/>
    </row>
    <row r="10" spans="1:26" ht="30" customHeight="1">
      <c r="A10" s="99"/>
      <c r="B10" s="452" t="s">
        <v>166</v>
      </c>
      <c r="C10" s="453"/>
      <c r="D10" s="336">
        <v>1980000</v>
      </c>
      <c r="E10" s="109">
        <f>'機械装置費（50万円以上）'!K23</f>
        <v>5508000</v>
      </c>
      <c r="F10" s="110">
        <f>'機械装置費（50万円以上）'!L23</f>
        <v>5100000</v>
      </c>
      <c r="G10" s="110">
        <f>'機械装置費（50万円以上）'!M23</f>
        <v>5100000</v>
      </c>
      <c r="H10" s="110">
        <f aca="true" t="shared" si="0" ref="H10:H19">Q28</f>
        <v>3399998</v>
      </c>
      <c r="I10" s="450" t="s">
        <v>241</v>
      </c>
      <c r="J10" s="451"/>
      <c r="K10" s="312"/>
      <c r="N10" s="104"/>
      <c r="O10" s="101" t="s">
        <v>152</v>
      </c>
      <c r="P10" s="105"/>
      <c r="Q10" s="106"/>
      <c r="S10" s="116" t="s">
        <v>171</v>
      </c>
      <c r="T10" s="513" t="s">
        <v>169</v>
      </c>
      <c r="U10" s="514"/>
      <c r="V10" s="514"/>
      <c r="W10" s="514"/>
      <c r="X10" s="515"/>
      <c r="Y10" s="117"/>
      <c r="Z10" s="117"/>
    </row>
    <row r="11" spans="2:26" ht="30" customHeight="1">
      <c r="B11" s="430" t="s">
        <v>167</v>
      </c>
      <c r="C11" s="431"/>
      <c r="D11" s="337">
        <v>3200000</v>
      </c>
      <c r="E11" s="114">
        <f>'機械装置費（50万円未満）'!K23</f>
        <v>3888000</v>
      </c>
      <c r="F11" s="115">
        <f>'機械装置費（50万円未満）'!L23</f>
        <v>3600000</v>
      </c>
      <c r="G11" s="115">
        <f>'機械装置費（50万円未満）'!M23</f>
        <v>3600000</v>
      </c>
      <c r="H11" s="115">
        <f t="shared" si="0"/>
        <v>2399994</v>
      </c>
      <c r="I11" s="328"/>
      <c r="J11" s="329"/>
      <c r="K11" s="312"/>
      <c r="N11" s="53" t="str">
        <f>AR28</f>
        <v>○</v>
      </c>
      <c r="O11" s="111"/>
      <c r="P11" s="112"/>
      <c r="Q11" s="79">
        <f>補助下限額</f>
        <v>1000000</v>
      </c>
      <c r="S11" s="52" t="str">
        <f>IF(OR(U28="×",U29="×",U33="×",U30="×",U34="×",U35="×",U36="×",U32="×",U31="×",U37="×"),"×","○")</f>
        <v>○</v>
      </c>
      <c r="T11" s="541"/>
      <c r="U11" s="542"/>
      <c r="V11" s="542"/>
      <c r="W11" s="542"/>
      <c r="X11" s="543"/>
      <c r="Y11" s="54"/>
      <c r="Z11" s="54"/>
    </row>
    <row r="12" spans="2:27" ht="30" customHeight="1">
      <c r="B12" s="430" t="s">
        <v>27</v>
      </c>
      <c r="C12" s="431"/>
      <c r="D12" s="337">
        <v>681450</v>
      </c>
      <c r="E12" s="114">
        <f>'技術導入費'!K23</f>
        <v>5832000</v>
      </c>
      <c r="F12" s="115">
        <f>'技術導入費'!L23</f>
        <v>5400000</v>
      </c>
      <c r="G12" s="115">
        <f>'技術導入費'!M23</f>
        <v>5400000</v>
      </c>
      <c r="H12" s="115">
        <f t="shared" si="0"/>
        <v>3600000</v>
      </c>
      <c r="I12" s="328"/>
      <c r="J12" s="329"/>
      <c r="K12" s="118"/>
      <c r="S12" s="119" t="s">
        <v>172</v>
      </c>
      <c r="T12" s="519" t="s">
        <v>179</v>
      </c>
      <c r="U12" s="520"/>
      <c r="V12" s="520"/>
      <c r="W12" s="520"/>
      <c r="X12" s="521"/>
      <c r="AA12" s="54"/>
    </row>
    <row r="13" spans="2:29" ht="30" customHeight="1">
      <c r="B13" s="430" t="s">
        <v>72</v>
      </c>
      <c r="C13" s="431"/>
      <c r="D13" s="337">
        <v>5377000</v>
      </c>
      <c r="E13" s="114">
        <f>'専門家経費'!K23</f>
        <v>1080000</v>
      </c>
      <c r="F13" s="115">
        <f>'専門家経費'!L23</f>
        <v>1000000</v>
      </c>
      <c r="G13" s="115">
        <f>'専門家経費'!M23</f>
        <v>1000000</v>
      </c>
      <c r="H13" s="115">
        <f t="shared" si="0"/>
        <v>666666</v>
      </c>
      <c r="I13" s="328"/>
      <c r="J13" s="329"/>
      <c r="K13" s="314"/>
      <c r="R13" s="94"/>
      <c r="S13" s="51" t="str">
        <f>IF(OR(V28="×",V29="×",V33="×",V30="×",V34="×",V35="×",V36="×",V32="×",V31="×",V37="×"),"×",AR29)</f>
        <v> </v>
      </c>
      <c r="T13" s="516" t="str">
        <f>"("&amp;AP29&amp;")"</f>
        <v>(判定対象外)</v>
      </c>
      <c r="U13" s="517"/>
      <c r="V13" s="517"/>
      <c r="W13" s="517"/>
      <c r="X13" s="518"/>
      <c r="AA13" s="54"/>
      <c r="AB13" s="94"/>
      <c r="AC13" s="94"/>
    </row>
    <row r="14" spans="2:27" ht="30" customHeight="1">
      <c r="B14" s="430" t="s">
        <v>30</v>
      </c>
      <c r="C14" s="431"/>
      <c r="D14" s="337">
        <v>500000</v>
      </c>
      <c r="E14" s="114">
        <f>'運搬費'!K23</f>
        <v>955800</v>
      </c>
      <c r="F14" s="115">
        <f>'運搬費'!L23</f>
        <v>885000</v>
      </c>
      <c r="G14" s="115">
        <f>'運搬費'!M23</f>
        <v>885000</v>
      </c>
      <c r="H14" s="115">
        <f t="shared" si="0"/>
        <v>590000</v>
      </c>
      <c r="I14" s="328"/>
      <c r="J14" s="330"/>
      <c r="R14" s="94"/>
      <c r="S14" s="116" t="s">
        <v>174</v>
      </c>
      <c r="T14" s="513" t="s">
        <v>173</v>
      </c>
      <c r="U14" s="514"/>
      <c r="V14" s="514"/>
      <c r="W14" s="514"/>
      <c r="X14" s="515"/>
      <c r="Y14" s="54"/>
      <c r="Z14" s="54"/>
      <c r="AA14" s="94"/>
    </row>
    <row r="15" spans="2:27" ht="30" customHeight="1">
      <c r="B15" s="430" t="s">
        <v>154</v>
      </c>
      <c r="C15" s="431"/>
      <c r="D15" s="337">
        <v>1080000</v>
      </c>
      <c r="E15" s="114">
        <f>'原材料費'!K23</f>
        <v>554526</v>
      </c>
      <c r="F15" s="115">
        <f>'原材料費'!L23</f>
        <v>513450</v>
      </c>
      <c r="G15" s="115">
        <f>'原材料費'!M23</f>
        <v>513450</v>
      </c>
      <c r="H15" s="115">
        <f t="shared" si="0"/>
        <v>342300</v>
      </c>
      <c r="I15" s="328"/>
      <c r="J15" s="330"/>
      <c r="R15" s="94"/>
      <c r="S15" s="52" t="str">
        <f>IF(OR(W28="×",W29="×",W33="×",W30="×",W34="×",W35="×",W36="×",W32="×",W31="×",W37="×"),"×",AR30)</f>
        <v> </v>
      </c>
      <c r="T15" s="516" t="str">
        <f>"("&amp;AP30&amp;")"</f>
        <v>(判定対象外)</v>
      </c>
      <c r="U15" s="517"/>
      <c r="V15" s="517"/>
      <c r="W15" s="517"/>
      <c r="X15" s="518"/>
      <c r="Y15" s="54"/>
      <c r="Z15" s="54"/>
      <c r="AA15" s="94"/>
    </row>
    <row r="16" spans="1:59" s="94" customFormat="1" ht="30" customHeight="1">
      <c r="A16" s="91"/>
      <c r="B16" s="430" t="s">
        <v>155</v>
      </c>
      <c r="C16" s="431"/>
      <c r="D16" s="337">
        <v>550000</v>
      </c>
      <c r="E16" s="114">
        <f>'外注加工費'!K23</f>
        <v>540000</v>
      </c>
      <c r="F16" s="115">
        <f>'外注加工費'!L23</f>
        <v>500000</v>
      </c>
      <c r="G16" s="115">
        <f>'外注加工費'!M23</f>
        <v>500000</v>
      </c>
      <c r="H16" s="115">
        <f t="shared" si="0"/>
        <v>333333</v>
      </c>
      <c r="I16" s="328"/>
      <c r="J16" s="331"/>
      <c r="S16" s="116" t="s">
        <v>178</v>
      </c>
      <c r="T16" s="535" t="s">
        <v>164</v>
      </c>
      <c r="U16" s="536"/>
      <c r="V16" s="536"/>
      <c r="W16" s="536"/>
      <c r="X16" s="537"/>
      <c r="Y16" s="54"/>
      <c r="Z16" s="54"/>
      <c r="AB16" s="91"/>
      <c r="AC16" s="91"/>
      <c r="AD16" s="91"/>
      <c r="AE16" s="91"/>
      <c r="AF16" s="91"/>
      <c r="AG16" s="91"/>
      <c r="AH16" s="91"/>
      <c r="AI16" s="91"/>
      <c r="AJ16" s="91"/>
      <c r="AK16" s="91"/>
      <c r="AL16" s="91"/>
      <c r="AM16" s="91"/>
      <c r="AN16" s="91"/>
      <c r="AO16" s="91"/>
      <c r="AP16" s="91"/>
      <c r="AQ16" s="91"/>
      <c r="BG16" s="120"/>
    </row>
    <row r="17" spans="1:51" s="94" customFormat="1" ht="30" customHeight="1">
      <c r="A17" s="91"/>
      <c r="B17" s="430" t="s">
        <v>156</v>
      </c>
      <c r="C17" s="431"/>
      <c r="D17" s="337">
        <v>885000</v>
      </c>
      <c r="E17" s="114">
        <f>'委託費'!K23</f>
        <v>1166400</v>
      </c>
      <c r="F17" s="115">
        <f>'委託費'!L23</f>
        <v>1080000</v>
      </c>
      <c r="G17" s="115">
        <f>'委託費'!M23</f>
        <v>1080000</v>
      </c>
      <c r="H17" s="115">
        <f t="shared" si="0"/>
        <v>720000</v>
      </c>
      <c r="I17" s="328"/>
      <c r="J17" s="331"/>
      <c r="S17" s="52" t="str">
        <f>IF(OR(X28="×",X29="×",X33="×",X30="×",X34="×",X35="×",X36="×",X32="×",X31="×",X37="×"),"×",AR31)</f>
        <v>○</v>
      </c>
      <c r="T17" s="538"/>
      <c r="U17" s="539"/>
      <c r="V17" s="539"/>
      <c r="W17" s="539"/>
      <c r="X17" s="540"/>
      <c r="Y17" s="91"/>
      <c r="Z17" s="91"/>
      <c r="AB17" s="91"/>
      <c r="AC17" s="91"/>
      <c r="AD17" s="91"/>
      <c r="AE17" s="91"/>
      <c r="AF17" s="91"/>
      <c r="AG17" s="91"/>
      <c r="AH17" s="91"/>
      <c r="AI17" s="91"/>
      <c r="AJ17" s="91"/>
      <c r="AK17" s="91"/>
      <c r="AL17" s="91"/>
      <c r="AM17" s="91"/>
      <c r="AN17" s="91"/>
      <c r="AO17" s="91"/>
      <c r="AP17" s="91"/>
      <c r="AQ17" s="91"/>
      <c r="AY17" s="120"/>
    </row>
    <row r="18" spans="1:51" s="94" customFormat="1" ht="30" customHeight="1">
      <c r="A18" s="91"/>
      <c r="B18" s="430" t="s">
        <v>157</v>
      </c>
      <c r="C18" s="431"/>
      <c r="D18" s="337">
        <v>900000</v>
      </c>
      <c r="E18" s="114">
        <f>'知的財産権等関連経費'!K23</f>
        <v>594000</v>
      </c>
      <c r="F18" s="115">
        <f>'知的財産権等関連経費'!L23</f>
        <v>550000</v>
      </c>
      <c r="G18" s="115">
        <f>'知的財産権等関連経費'!M23</f>
        <v>550000</v>
      </c>
      <c r="H18" s="115">
        <f t="shared" si="0"/>
        <v>366666</v>
      </c>
      <c r="I18" s="328"/>
      <c r="J18" s="331"/>
      <c r="S18" s="116" t="s">
        <v>199</v>
      </c>
      <c r="T18" s="483" t="s">
        <v>201</v>
      </c>
      <c r="U18" s="484"/>
      <c r="V18" s="484"/>
      <c r="W18" s="484"/>
      <c r="X18" s="485"/>
      <c r="Y18" s="54"/>
      <c r="Z18" s="54"/>
      <c r="AB18" s="91"/>
      <c r="AC18" s="91"/>
      <c r="AD18" s="91"/>
      <c r="AE18" s="91"/>
      <c r="AF18" s="91"/>
      <c r="AG18" s="91"/>
      <c r="AH18" s="91"/>
      <c r="AI18" s="91"/>
      <c r="AJ18" s="91"/>
      <c r="AK18" s="91"/>
      <c r="AL18" s="91"/>
      <c r="AM18" s="91"/>
      <c r="AN18" s="91"/>
      <c r="AO18" s="91"/>
      <c r="AP18" s="91"/>
      <c r="AQ18" s="91"/>
      <c r="AY18" s="120"/>
    </row>
    <row r="19" spans="1:50" s="94" customFormat="1" ht="30" customHeight="1">
      <c r="A19" s="91"/>
      <c r="B19" s="522" t="s">
        <v>158</v>
      </c>
      <c r="C19" s="523"/>
      <c r="D19" s="338">
        <v>225000</v>
      </c>
      <c r="E19" s="122">
        <f>'クラウド利用費'!K23</f>
        <v>270000</v>
      </c>
      <c r="F19" s="123">
        <f>'クラウド利用費'!L23</f>
        <v>250000</v>
      </c>
      <c r="G19" s="123">
        <f>'クラウド利用費'!M23</f>
        <v>250000</v>
      </c>
      <c r="H19" s="123">
        <f t="shared" si="0"/>
        <v>166666</v>
      </c>
      <c r="I19" s="332"/>
      <c r="J19" s="333"/>
      <c r="S19" s="52" t="str">
        <f>IF(OR('基本情報入力（使い方）'!E40="",'基本情報入力（使い方）'!E40=0),"×",IF(G20&gt;T19,"×","○"))</f>
        <v>×</v>
      </c>
      <c r="T19" s="507">
        <f>IF(OR('基本情報入力（使い方）'!E40="",'基本情報入力（使い方）'!E40=0),"基本情報入力（使い方）の５で総額を入力してください",'基本情報入力（使い方）'!E40)</f>
        <v>18000000</v>
      </c>
      <c r="U19" s="508"/>
      <c r="V19" s="508"/>
      <c r="W19" s="508"/>
      <c r="X19" s="509"/>
      <c r="Y19" s="54"/>
      <c r="Z19" s="54"/>
      <c r="AB19" s="91"/>
      <c r="AC19" s="91"/>
      <c r="AD19" s="91"/>
      <c r="AE19" s="91"/>
      <c r="AF19" s="91"/>
      <c r="AG19" s="91"/>
      <c r="AH19" s="91"/>
      <c r="AI19" s="91"/>
      <c r="AJ19" s="91"/>
      <c r="AK19" s="91"/>
      <c r="AL19" s="91"/>
      <c r="AM19" s="91"/>
      <c r="AN19" s="91"/>
      <c r="AO19" s="91"/>
      <c r="AP19" s="91"/>
      <c r="AQ19" s="91"/>
      <c r="AX19" s="120"/>
    </row>
    <row r="20" spans="1:50" s="94" customFormat="1" ht="30" customHeight="1">
      <c r="A20" s="91"/>
      <c r="B20" s="433" t="s">
        <v>59</v>
      </c>
      <c r="C20" s="433"/>
      <c r="D20" s="9">
        <f>SUM(D10:D19)</f>
        <v>15378450</v>
      </c>
      <c r="E20" s="9">
        <f>SUM(E10:E19)</f>
        <v>20388726</v>
      </c>
      <c r="F20" s="9">
        <f>SUM(F10:F19)</f>
        <v>18878450</v>
      </c>
      <c r="G20" s="9">
        <f>SUM(G10:G19)</f>
        <v>18878450</v>
      </c>
      <c r="H20" s="9">
        <f>SUM(H10:H19)</f>
        <v>12585623</v>
      </c>
      <c r="I20" s="334"/>
      <c r="J20" s="335"/>
      <c r="R20" s="91"/>
      <c r="S20" s="116" t="s">
        <v>200</v>
      </c>
      <c r="T20" s="483" t="s">
        <v>203</v>
      </c>
      <c r="U20" s="484"/>
      <c r="V20" s="484"/>
      <c r="W20" s="484"/>
      <c r="X20" s="485"/>
      <c r="Y20" s="91"/>
      <c r="Z20" s="91"/>
      <c r="AA20" s="91"/>
      <c r="AB20" s="91"/>
      <c r="AC20" s="91"/>
      <c r="AD20" s="91"/>
      <c r="AE20" s="91"/>
      <c r="AF20" s="91"/>
      <c r="AG20" s="91"/>
      <c r="AH20" s="91"/>
      <c r="AI20" s="91"/>
      <c r="AJ20" s="91"/>
      <c r="AK20" s="91"/>
      <c r="AL20" s="91"/>
      <c r="AM20" s="91"/>
      <c r="AN20" s="91"/>
      <c r="AO20" s="91"/>
      <c r="AP20" s="91"/>
      <c r="AQ20" s="91"/>
      <c r="AX20" s="120"/>
    </row>
    <row r="21" spans="1:51" s="94" customFormat="1" ht="30" customHeight="1">
      <c r="A21" s="91"/>
      <c r="B21" s="91"/>
      <c r="C21" s="73"/>
      <c r="D21" s="73"/>
      <c r="E21" s="66"/>
      <c r="F21" s="429">
        <f>'基本情報入力（使い方）'!E41</f>
        <v>12000000</v>
      </c>
      <c r="G21" s="429"/>
      <c r="H21" s="429"/>
      <c r="I21" s="183"/>
      <c r="J21" s="183"/>
      <c r="R21" s="91"/>
      <c r="S21" s="52" t="str">
        <f>IF(OR('基本情報入力（使い方）'!E41="",'基本情報入力（使い方）'!E41=0),"×",IF(H20&gt;T21,"×","○"))</f>
        <v>×</v>
      </c>
      <c r="T21" s="460">
        <f>IF(OR('基本情報入力（使い方）'!E41="",'基本情報入力（使い方）'!E41=0),"基本情報入力（使い方）の５で総額を入力してください",'基本情報入力（使い方）'!E41)</f>
        <v>12000000</v>
      </c>
      <c r="U21" s="461"/>
      <c r="V21" s="461"/>
      <c r="W21" s="461"/>
      <c r="X21" s="462"/>
      <c r="Y21" s="54"/>
      <c r="Z21" s="54"/>
      <c r="AA21" s="91"/>
      <c r="AB21" s="91"/>
      <c r="AC21" s="91"/>
      <c r="AD21" s="91"/>
      <c r="AE21" s="91"/>
      <c r="AF21" s="91"/>
      <c r="AG21" s="91"/>
      <c r="AH21" s="91"/>
      <c r="AI21" s="91"/>
      <c r="AJ21" s="91"/>
      <c r="AK21" s="91"/>
      <c r="AL21" s="91"/>
      <c r="AM21" s="91"/>
      <c r="AN21" s="91"/>
      <c r="AO21" s="91"/>
      <c r="AP21" s="91"/>
      <c r="AQ21" s="91"/>
      <c r="AR21" s="91"/>
      <c r="AY21" s="120"/>
    </row>
    <row r="22" spans="1:51" s="94" customFormat="1" ht="20.25" customHeight="1">
      <c r="A22" s="91"/>
      <c r="B22" s="98" t="s">
        <v>252</v>
      </c>
      <c r="C22" s="91"/>
      <c r="D22" s="91"/>
      <c r="E22" s="91"/>
      <c r="F22" s="91"/>
      <c r="G22" s="91"/>
      <c r="H22" s="91"/>
      <c r="I22" s="183"/>
      <c r="J22" s="183"/>
      <c r="K22" s="312"/>
      <c r="L22" s="91"/>
      <c r="M22" s="91"/>
      <c r="R22" s="91"/>
      <c r="S22" s="91"/>
      <c r="T22" s="91"/>
      <c r="U22" s="91"/>
      <c r="V22" s="91"/>
      <c r="W22" s="91"/>
      <c r="X22" s="91"/>
      <c r="Y22" s="91"/>
      <c r="Z22" s="91"/>
      <c r="AA22" s="91"/>
      <c r="AB22" s="91"/>
      <c r="AC22" s="91"/>
      <c r="AD22" s="91"/>
      <c r="AE22" s="91"/>
      <c r="AF22" s="91"/>
      <c r="AG22" s="91"/>
      <c r="AH22" s="91"/>
      <c r="AI22" s="91"/>
      <c r="AJ22" s="91"/>
      <c r="AK22" s="91"/>
      <c r="AL22" s="91"/>
      <c r="AM22" s="91"/>
      <c r="AN22" s="91"/>
      <c r="AO22" s="91"/>
      <c r="AP22" s="91"/>
      <c r="AQ22" s="91"/>
      <c r="AR22" s="91"/>
      <c r="AY22" s="120"/>
    </row>
    <row r="23" spans="1:51" s="94" customFormat="1" ht="30" customHeight="1">
      <c r="A23" s="91"/>
      <c r="B23" s="91"/>
      <c r="C23" s="91"/>
      <c r="D23" s="91"/>
      <c r="E23" s="91"/>
      <c r="F23" s="91"/>
      <c r="G23" s="91"/>
      <c r="H23" s="91"/>
      <c r="I23" s="91"/>
      <c r="J23" s="91"/>
      <c r="K23" s="183"/>
      <c r="L23" s="91"/>
      <c r="M23" s="91"/>
      <c r="R23" s="91"/>
      <c r="S23" s="91"/>
      <c r="T23" s="91"/>
      <c r="U23" s="91"/>
      <c r="V23" s="91"/>
      <c r="W23" s="91"/>
      <c r="X23" s="91"/>
      <c r="Y23" s="91"/>
      <c r="Z23" s="91"/>
      <c r="AA23" s="91"/>
      <c r="AB23" s="91"/>
      <c r="AC23" s="91"/>
      <c r="AD23" s="91"/>
      <c r="AE23" s="91"/>
      <c r="AF23" s="91"/>
      <c r="AG23" s="91"/>
      <c r="AH23" s="91"/>
      <c r="AI23" s="91"/>
      <c r="AJ23" s="91"/>
      <c r="AK23" s="91"/>
      <c r="AL23" s="91"/>
      <c r="AM23" s="91"/>
      <c r="AN23" s="91"/>
      <c r="AO23" s="91"/>
      <c r="AP23" s="91"/>
      <c r="AQ23" s="91"/>
      <c r="AR23" s="91"/>
      <c r="AY23" s="120"/>
    </row>
    <row r="24" spans="11:28" ht="30" customHeight="1" thickBot="1">
      <c r="K24" s="67"/>
      <c r="M24" s="124"/>
      <c r="N24" s="126" t="s">
        <v>61</v>
      </c>
      <c r="O24" s="127"/>
      <c r="P24" s="127"/>
      <c r="Q24" s="128"/>
      <c r="R24" s="129"/>
      <c r="S24" s="130"/>
      <c r="T24" s="131"/>
      <c r="U24" s="130"/>
      <c r="V24" s="130"/>
      <c r="W24" s="276"/>
      <c r="AB24" s="132"/>
    </row>
    <row r="25" spans="1:44" s="99" customFormat="1" ht="30" customHeight="1" thickTop="1">
      <c r="A25" s="91"/>
      <c r="B25" s="91"/>
      <c r="C25" s="91"/>
      <c r="D25" s="91"/>
      <c r="E25" s="91"/>
      <c r="F25" s="91"/>
      <c r="G25" s="91"/>
      <c r="H25" s="91"/>
      <c r="I25" s="91"/>
      <c r="J25" s="91"/>
      <c r="K25" s="183"/>
      <c r="L25" s="91"/>
      <c r="M25" s="87"/>
      <c r="N25" s="133" t="s">
        <v>21</v>
      </c>
      <c r="O25" s="525" t="s">
        <v>36</v>
      </c>
      <c r="P25" s="133" t="s">
        <v>21</v>
      </c>
      <c r="Q25" s="133" t="s">
        <v>21</v>
      </c>
      <c r="R25" s="494" t="s">
        <v>48</v>
      </c>
      <c r="S25" s="457" t="s">
        <v>37</v>
      </c>
      <c r="T25" s="480" t="s">
        <v>85</v>
      </c>
      <c r="U25" s="480" t="s">
        <v>86</v>
      </c>
      <c r="V25" s="480" t="s">
        <v>87</v>
      </c>
      <c r="W25" s="480" t="s">
        <v>174</v>
      </c>
      <c r="X25" s="480" t="s">
        <v>178</v>
      </c>
      <c r="Y25" s="480" t="s">
        <v>222</v>
      </c>
      <c r="Z25" s="510" t="s">
        <v>223</v>
      </c>
      <c r="AA25" s="502" t="s">
        <v>53</v>
      </c>
      <c r="AB25" s="134"/>
      <c r="AC25" s="469" t="s">
        <v>165</v>
      </c>
      <c r="AD25" s="454" t="s">
        <v>183</v>
      </c>
      <c r="AE25" s="455"/>
      <c r="AF25" s="456"/>
      <c r="AG25" s="471" t="s">
        <v>184</v>
      </c>
      <c r="AH25" s="455"/>
      <c r="AI25" s="456"/>
      <c r="AJ25" s="467" t="s">
        <v>192</v>
      </c>
      <c r="AK25" s="467"/>
      <c r="AL25" s="467"/>
      <c r="AM25" s="467" t="s">
        <v>193</v>
      </c>
      <c r="AN25" s="467"/>
      <c r="AO25" s="468"/>
      <c r="AP25" s="465" t="s">
        <v>146</v>
      </c>
      <c r="AQ25" s="465"/>
      <c r="AR25" s="466"/>
    </row>
    <row r="26" spans="13:44" ht="36.75" customHeight="1" thickBot="1">
      <c r="M26" s="87"/>
      <c r="N26" s="135" t="s">
        <v>49</v>
      </c>
      <c r="O26" s="526"/>
      <c r="P26" s="135" t="s">
        <v>50</v>
      </c>
      <c r="Q26" s="135" t="s">
        <v>22</v>
      </c>
      <c r="R26" s="495"/>
      <c r="S26" s="458"/>
      <c r="T26" s="481"/>
      <c r="U26" s="481"/>
      <c r="V26" s="481"/>
      <c r="W26" s="481"/>
      <c r="X26" s="481"/>
      <c r="Y26" s="481"/>
      <c r="Z26" s="511"/>
      <c r="AA26" s="503"/>
      <c r="AB26" s="134"/>
      <c r="AC26" s="470"/>
      <c r="AD26" s="137" t="s">
        <v>143</v>
      </c>
      <c r="AE26" s="138" t="s">
        <v>144</v>
      </c>
      <c r="AF26" s="138" t="s">
        <v>145</v>
      </c>
      <c r="AG26" s="138" t="s">
        <v>143</v>
      </c>
      <c r="AH26" s="138" t="s">
        <v>144</v>
      </c>
      <c r="AI26" s="138" t="s">
        <v>145</v>
      </c>
      <c r="AJ26" s="138" t="s">
        <v>143</v>
      </c>
      <c r="AK26" s="138" t="s">
        <v>144</v>
      </c>
      <c r="AL26" s="138" t="s">
        <v>145</v>
      </c>
      <c r="AM26" s="138" t="s">
        <v>143</v>
      </c>
      <c r="AN26" s="138" t="s">
        <v>144</v>
      </c>
      <c r="AO26" s="139" t="s">
        <v>145</v>
      </c>
      <c r="AP26" s="140" t="s">
        <v>143</v>
      </c>
      <c r="AQ26" s="138" t="s">
        <v>144</v>
      </c>
      <c r="AR26" s="138" t="s">
        <v>145</v>
      </c>
    </row>
    <row r="27" spans="12:44" ht="30" customHeight="1" thickBot="1" thickTop="1">
      <c r="L27" s="125"/>
      <c r="M27" s="87"/>
      <c r="N27" s="141" t="s">
        <v>23</v>
      </c>
      <c r="O27" s="527"/>
      <c r="P27" s="136" t="s">
        <v>23</v>
      </c>
      <c r="Q27" s="136" t="s">
        <v>23</v>
      </c>
      <c r="R27" s="496"/>
      <c r="S27" s="459"/>
      <c r="T27" s="482"/>
      <c r="U27" s="482"/>
      <c r="V27" s="482"/>
      <c r="W27" s="482"/>
      <c r="X27" s="482"/>
      <c r="Y27" s="482"/>
      <c r="Z27" s="512"/>
      <c r="AA27" s="504"/>
      <c r="AB27" s="134"/>
      <c r="AC27" s="142" t="s">
        <v>39</v>
      </c>
      <c r="AD27" s="143">
        <f>補助上限額</f>
        <v>15000000</v>
      </c>
      <c r="AE27" s="55">
        <f>$H$20</f>
        <v>12585623</v>
      </c>
      <c r="AF27" s="144" t="str">
        <f>IF(AD27-AE27&gt;=0,"○","×")</f>
        <v>○</v>
      </c>
      <c r="AG27" s="143">
        <f>補助上限額</f>
        <v>15000000</v>
      </c>
      <c r="AH27" s="55">
        <f>$H$20</f>
        <v>12585623</v>
      </c>
      <c r="AI27" s="144" t="str">
        <f>IF(AG27-AH27&gt;=0,"○","×")</f>
        <v>○</v>
      </c>
      <c r="AJ27" s="55">
        <f>補助上限額</f>
        <v>15000000</v>
      </c>
      <c r="AK27" s="55">
        <f>$H$20</f>
        <v>12585623</v>
      </c>
      <c r="AL27" s="144" t="str">
        <f>IF(AJ27-AK27&gt;=0,"○","×")</f>
        <v>○</v>
      </c>
      <c r="AM27" s="55">
        <f>補助上限額</f>
        <v>15000000</v>
      </c>
      <c r="AN27" s="55">
        <f>$H$20</f>
        <v>12585623</v>
      </c>
      <c r="AO27" s="145" t="str">
        <f>IF(AM27-AN27&gt;=0,"○","×")</f>
        <v>○</v>
      </c>
      <c r="AP27" s="146">
        <f>IF('基本情報入力（使い方）'!$J$22=1,AD27,IF('基本情報入力（使い方）'!$J$22=2,AG27,IF('基本情報入力（使い方）'!$J$22=3,AJ27,AM27)))</f>
        <v>15000000</v>
      </c>
      <c r="AQ27" s="146">
        <f>IF('基本情報入力（使い方）'!$J$22=1,AE27,IF('基本情報入力（使い方）'!$J$22=2,AH27,IF('基本情報入力（使い方）'!$J$22=3,AK27,AN27)))</f>
        <v>12585623</v>
      </c>
      <c r="AR27" s="147" t="str">
        <f>IF('基本情報入力（使い方）'!$J$22=1,AF27,IF('基本情報入力（使い方）'!$J$22=2,AI27,IF('基本情報入力（使い方）'!$J$22=3,AL27,AO27)))</f>
        <v>○</v>
      </c>
    </row>
    <row r="28" spans="12:44" ht="30" customHeight="1" thickTop="1">
      <c r="L28" s="125"/>
      <c r="M28" s="108" t="s">
        <v>70</v>
      </c>
      <c r="N28" s="195">
        <f>'機械装置費（50万円以上）'!Q23</f>
        <v>3399998</v>
      </c>
      <c r="O28" s="50">
        <f>IF($P$28&gt;0,1,"")</f>
        <v>1</v>
      </c>
      <c r="P28" s="4">
        <f>MIN(N28,N40)</f>
        <v>3399998</v>
      </c>
      <c r="Q28" s="4">
        <f>IF(P28=0,0,MIN(P28,N40))</f>
        <v>3399998</v>
      </c>
      <c r="R28" s="5">
        <f aca="true" t="shared" si="1" ref="R28:R37">H10-N28</f>
        <v>0</v>
      </c>
      <c r="S28" s="56" t="str">
        <f>IF(AND(T28&lt;&gt;"×",U28&lt;&gt;"×",V28&lt;&gt;"×",W28&lt;&gt;"×",X28&lt;&gt;"×"),"○","×")</f>
        <v>○</v>
      </c>
      <c r="T28" s="56"/>
      <c r="U28" s="56">
        <f aca="true" t="shared" si="2" ref="U28:U37">IF(AND(E10&gt;=F10,F10&gt;=G10),"","×")</f>
      </c>
      <c r="V28" s="80" t="str">
        <f>AR29</f>
        <v> </v>
      </c>
      <c r="W28" s="80"/>
      <c r="X28" s="273"/>
      <c r="Y28" s="273" t="str">
        <f>IF($S$19="○","",$S$19)</f>
        <v>×</v>
      </c>
      <c r="Z28" s="57" t="str">
        <f>IF($S$21="○","",$S$21)</f>
        <v>×</v>
      </c>
      <c r="AA28" s="499" t="str">
        <f>IF(OR(S28="×",S29="×",S33="×",S30="×",S34="×",S35="×",S36="×",S32="×",S31="×",S37="×",N9="×",N11="×",S13="×",S21="×",S9="×",S11="×",S15="×",S17="×",S19="×"),"×","○")</f>
        <v>×</v>
      </c>
      <c r="AB28" s="149"/>
      <c r="AC28" s="150" t="s">
        <v>152</v>
      </c>
      <c r="AD28" s="151">
        <f>補助下限額</f>
        <v>1000000</v>
      </c>
      <c r="AE28" s="58">
        <f>$H$20</f>
        <v>12585623</v>
      </c>
      <c r="AF28" s="152" t="str">
        <f>IF(AE28-AD28&gt;=0,"○","×")</f>
        <v>○</v>
      </c>
      <c r="AG28" s="151">
        <f>補助下限額</f>
        <v>1000000</v>
      </c>
      <c r="AH28" s="58">
        <f>$H$20</f>
        <v>12585623</v>
      </c>
      <c r="AI28" s="152" t="str">
        <f>IF(AH28-AG28&gt;=0,"○","×")</f>
        <v>○</v>
      </c>
      <c r="AJ28" s="58">
        <f>補助下限額</f>
        <v>1000000</v>
      </c>
      <c r="AK28" s="58">
        <f>$H$20</f>
        <v>12585623</v>
      </c>
      <c r="AL28" s="152" t="str">
        <f>IF(AK28-AJ28&gt;=0,"○","×")</f>
        <v>○</v>
      </c>
      <c r="AM28" s="58">
        <f>補助下限額</f>
        <v>1000000</v>
      </c>
      <c r="AN28" s="58">
        <f>$H$20</f>
        <v>12585623</v>
      </c>
      <c r="AO28" s="153" t="str">
        <f>IF(AN28-AM28&gt;=0,"○","×")</f>
        <v>○</v>
      </c>
      <c r="AP28" s="146">
        <f>IF('基本情報入力（使い方）'!$J$22=1,AD28,IF('基本情報入力（使い方）'!$J$22=2,AG28,IF('基本情報入力（使い方）'!$J$22=3,AJ28,AM28)))</f>
        <v>1000000</v>
      </c>
      <c r="AQ28" s="146">
        <f>IF('基本情報入力（使い方）'!$J$22=1,AE28,IF('基本情報入力（使い方）'!$J$22=2,AH28,IF('基本情報入力（使い方）'!$J$22=3,AK28,AN28)))</f>
        <v>12585623</v>
      </c>
      <c r="AR28" s="147" t="str">
        <f>IF('基本情報入力（使い方）'!$J$22=1,AF28,IF('基本情報入力（使い方）'!$J$22=2,AI28,IF('基本情報入力（使い方）'!$J$22=3,AL28,AO28)))</f>
        <v>○</v>
      </c>
    </row>
    <row r="29" spans="12:44" ht="30" customHeight="1">
      <c r="L29" s="125"/>
      <c r="M29" s="113" t="s">
        <v>71</v>
      </c>
      <c r="N29" s="6">
        <f>'機械装置費（50万円未満）'!Q23</f>
        <v>2399994</v>
      </c>
      <c r="O29" s="19">
        <f>IF($P$29&gt;0,1,"")</f>
        <v>1</v>
      </c>
      <c r="P29" s="7">
        <f>MIN(N29,N40)</f>
        <v>2399994</v>
      </c>
      <c r="Q29" s="7">
        <f>IF(P29=0,0,MIN(P29,(N40-P28)))</f>
        <v>2399994</v>
      </c>
      <c r="R29" s="8">
        <f t="shared" si="1"/>
        <v>0</v>
      </c>
      <c r="S29" s="59" t="str">
        <f aca="true" t="shared" si="3" ref="S29:S37">IF(AND(T29&lt;&gt;"×",U29&lt;&gt;"×",V29&lt;&gt;"×",W29&lt;&gt;"×",X29&lt;&gt;"×"),"○","×")</f>
        <v>○</v>
      </c>
      <c r="T29" s="59"/>
      <c r="U29" s="59">
        <f t="shared" si="2"/>
      </c>
      <c r="V29" s="81"/>
      <c r="W29" s="81"/>
      <c r="X29" s="274"/>
      <c r="Y29" s="274" t="str">
        <f aca="true" t="shared" si="4" ref="Y29:Y37">IF($S$19="○","",$S$19)</f>
        <v>×</v>
      </c>
      <c r="Z29" s="60" t="str">
        <f aca="true" t="shared" si="5" ref="Z29:Z37">IF($S$21="○","",$S$21)</f>
        <v>×</v>
      </c>
      <c r="AA29" s="500"/>
      <c r="AB29" s="149"/>
      <c r="AC29" s="154" t="s">
        <v>40</v>
      </c>
      <c r="AD29" s="155" t="s">
        <v>160</v>
      </c>
      <c r="AE29" s="189">
        <f>$G$10</f>
        <v>5100000</v>
      </c>
      <c r="AF29" s="152" t="str">
        <f>IF(AE29&gt;=500000,"○","×")</f>
        <v>○</v>
      </c>
      <c r="AG29" s="155" t="s">
        <v>160</v>
      </c>
      <c r="AH29" s="189">
        <f>$G$10</f>
        <v>5100000</v>
      </c>
      <c r="AI29" s="152" t="str">
        <f>IF(AH29&gt;=500000,"○","×")</f>
        <v>○</v>
      </c>
      <c r="AJ29" s="158" t="s">
        <v>51</v>
      </c>
      <c r="AK29" s="189">
        <f>$G$10</f>
        <v>5100000</v>
      </c>
      <c r="AL29" s="152" t="str">
        <f>IF(AK29&gt;=500000,"○","×")</f>
        <v>○</v>
      </c>
      <c r="AM29" s="156" t="s">
        <v>148</v>
      </c>
      <c r="AN29" s="190" t="s">
        <v>168</v>
      </c>
      <c r="AO29" s="161" t="s">
        <v>168</v>
      </c>
      <c r="AP29" s="146" t="str">
        <f>IF('基本情報入力（使い方）'!$J$22=1,AD29,IF('基本情報入力（使い方）'!$J$22=2,AG29,IF('基本情報入力（使い方）'!$J$22=3,AJ29,AM29)))</f>
        <v>判定対象外</v>
      </c>
      <c r="AQ29" s="146" t="str">
        <f>IF('基本情報入力（使い方）'!$J$22=1,AE29,IF('基本情報入力（使い方）'!$J$22=2,AH29,IF('基本情報入力（使い方）'!$J$22=3,AK29,AN29)))</f>
        <v> </v>
      </c>
      <c r="AR29" s="147" t="str">
        <f>IF('基本情報入力（使い方）'!$J$22=1,AF29,IF('基本情報入力（使い方）'!$J$22=2,AI29,IF('基本情報入力（使い方）'!$J$22=3,AL29,AO29)))</f>
        <v> </v>
      </c>
    </row>
    <row r="30" spans="12:44" ht="30" customHeight="1">
      <c r="L30" s="125"/>
      <c r="M30" s="113" t="s">
        <v>27</v>
      </c>
      <c r="N30" s="6">
        <f aca="true" t="shared" si="6" ref="N30:N37">IF(G12="",0,ROUNDDOWN(G12*2/3,0))</f>
        <v>3600000</v>
      </c>
      <c r="O30" s="19">
        <f>IF(N30=0,"",IF(SUM($N$28:$N$29)&gt;0,RANK(P30,$P$30:$P$37)+1,RANK(P30,$P$30:$P$37)))</f>
        <v>2</v>
      </c>
      <c r="P30" s="7">
        <f>IF(SUM($P$28:$P$29)-$N$40&gt;=0,0,ROUNDDOWN(N30/$N$39*$N$43,0))</f>
        <v>3600000</v>
      </c>
      <c r="Q30" s="7">
        <f aca="true" t="shared" si="7" ref="Q30:Q37">IF($P$39-P30=0,P30+$P$43,P30)</f>
        <v>3600000</v>
      </c>
      <c r="R30" s="8">
        <f t="shared" si="1"/>
        <v>0</v>
      </c>
      <c r="S30" s="59" t="str">
        <f>IF(AND(T30&lt;&gt;"×",U30&lt;&gt;"×",V30&lt;&gt;"×",W30&lt;&gt;"×",X30&lt;&gt;"×"),"○","×")</f>
        <v>○</v>
      </c>
      <c r="T30" s="84"/>
      <c r="U30" s="59">
        <f t="shared" si="2"/>
      </c>
      <c r="V30" s="81"/>
      <c r="W30" s="81" t="str">
        <f>AR30</f>
        <v> </v>
      </c>
      <c r="X30" s="274"/>
      <c r="Y30" s="274" t="str">
        <f t="shared" si="4"/>
        <v>×</v>
      </c>
      <c r="Z30" s="60" t="str">
        <f t="shared" si="5"/>
        <v>×</v>
      </c>
      <c r="AA30" s="500"/>
      <c r="AB30" s="149"/>
      <c r="AC30" s="154" t="s">
        <v>41</v>
      </c>
      <c r="AD30" s="155" t="s">
        <v>52</v>
      </c>
      <c r="AE30" s="189">
        <f>$H$20-SUM($H$10:$H$11)</f>
        <v>6785631</v>
      </c>
      <c r="AF30" s="152" t="str">
        <f>IF(AE30&lt;=5000000,"○","×")</f>
        <v>×</v>
      </c>
      <c r="AG30" s="155" t="s">
        <v>52</v>
      </c>
      <c r="AH30" s="189">
        <f>$H$20-SUM($H$10:$H$11)</f>
        <v>6785631</v>
      </c>
      <c r="AI30" s="152" t="str">
        <f>IF(AH30&lt;=5000000,"○","×")</f>
        <v>×</v>
      </c>
      <c r="AJ30" s="158" t="s">
        <v>52</v>
      </c>
      <c r="AK30" s="189">
        <f>$H$20-SUM($H$10:$H$11)</f>
        <v>6785631</v>
      </c>
      <c r="AL30" s="152" t="str">
        <f>IF(AK30&lt;=5000000,"○","×")</f>
        <v>×</v>
      </c>
      <c r="AM30" s="156" t="s">
        <v>148</v>
      </c>
      <c r="AN30" s="190" t="s">
        <v>168</v>
      </c>
      <c r="AO30" s="161" t="s">
        <v>168</v>
      </c>
      <c r="AP30" s="146" t="str">
        <f>IF('基本情報入力（使い方）'!$J$22=1,AD30,IF('基本情報入力（使い方）'!$J$22=2,AG30,IF('基本情報入力（使い方）'!$J$22=3,AJ30,AM30)))</f>
        <v>判定対象外</v>
      </c>
      <c r="AQ30" s="146" t="str">
        <f>IF('基本情報入力（使い方）'!$J$22=1,AE30,IF('基本情報入力（使い方）'!$J$22=2,AH30,IF('基本情報入力（使い方）'!$J$22=3,AK30,AN30)))</f>
        <v> </v>
      </c>
      <c r="AR30" s="147" t="str">
        <f>IF('基本情報入力（使い方）'!$J$22=1,AF30,IF('基本情報入力（使い方）'!$J$22=2,AI30,IF('基本情報入力（使い方）'!$J$22=3,AL30,AO30)))</f>
        <v> </v>
      </c>
    </row>
    <row r="31" spans="12:44" ht="30" customHeight="1">
      <c r="L31" s="148"/>
      <c r="M31" s="113" t="s">
        <v>72</v>
      </c>
      <c r="N31" s="6">
        <f t="shared" si="6"/>
        <v>666666</v>
      </c>
      <c r="O31" s="19">
        <f aca="true" t="shared" si="8" ref="O31:O36">IF(N31=0,"",IF(SUM($N$28:$N$29)&gt;0,RANK(P31,$P$30:$P$37)+1,RANK(P31,$P$30:$P$37)))</f>
        <v>4</v>
      </c>
      <c r="P31" s="7">
        <f aca="true" t="shared" si="9" ref="P31:P37">IF(SUM($P$28:$P$29)-$N$40&gt;=0,0,ROUNDDOWN(N31/$N$39*$N$43,0))</f>
        <v>666666</v>
      </c>
      <c r="Q31" s="7">
        <f t="shared" si="7"/>
        <v>666666</v>
      </c>
      <c r="R31" s="10">
        <f t="shared" si="1"/>
        <v>0</v>
      </c>
      <c r="S31" s="59" t="str">
        <f>IF(AND(T31&lt;&gt;"×",U31&lt;&gt;"×",V31&lt;&gt;"×",W31&lt;&gt;"×",X31&lt;&gt;"×"),"○","×")</f>
        <v>○</v>
      </c>
      <c r="T31" s="59"/>
      <c r="U31" s="59">
        <f t="shared" si="2"/>
      </c>
      <c r="V31" s="81"/>
      <c r="W31" s="81" t="str">
        <f>AR30</f>
        <v> </v>
      </c>
      <c r="X31" s="274"/>
      <c r="Y31" s="274" t="str">
        <f t="shared" si="4"/>
        <v>×</v>
      </c>
      <c r="Z31" s="60" t="str">
        <f t="shared" si="5"/>
        <v>×</v>
      </c>
      <c r="AA31" s="500"/>
      <c r="AB31" s="149"/>
      <c r="AC31" s="159" t="s">
        <v>29</v>
      </c>
      <c r="AD31" s="160" t="s">
        <v>148</v>
      </c>
      <c r="AE31" s="190" t="s">
        <v>168</v>
      </c>
      <c r="AF31" s="157" t="s">
        <v>168</v>
      </c>
      <c r="AG31" s="160" t="s">
        <v>148</v>
      </c>
      <c r="AH31" s="190" t="s">
        <v>168</v>
      </c>
      <c r="AI31" s="157" t="s">
        <v>168</v>
      </c>
      <c r="AJ31" s="156" t="s">
        <v>148</v>
      </c>
      <c r="AK31" s="190" t="s">
        <v>168</v>
      </c>
      <c r="AL31" s="157" t="s">
        <v>168</v>
      </c>
      <c r="AM31" s="158" t="s">
        <v>194</v>
      </c>
      <c r="AN31" s="189">
        <f>$G$16</f>
        <v>500000</v>
      </c>
      <c r="AO31" s="153" t="str">
        <f>IF('基本情報入力（使い方）'!$J$22=4,IF($G$20/2-$G$16&gt;=0,"○","×"),IF(AN31=0,"○","×"))</f>
        <v>○</v>
      </c>
      <c r="AP31" s="146" t="str">
        <f>IF('基本情報入力（使い方）'!$J$22=1,AD31,IF('基本情報入力（使い方）'!$J$22=2,AG31,IF('基本情報入力（使い方）'!$J$22=3,AJ31,AM31)))</f>
        <v>外注加工費は補助対象経費の1/2を超えていないか</v>
      </c>
      <c r="AQ31" s="146">
        <f>IF('基本情報入力（使い方）'!$J$22=1,AE31,IF('基本情報入力（使い方）'!$J$22=2,AH31,IF('基本情報入力（使い方）'!$J$22=3,AK31,AN31)))</f>
        <v>500000</v>
      </c>
      <c r="AR31" s="147" t="str">
        <f>IF('基本情報入力（使い方）'!$J$22=1,AF31,IF('基本情報入力（使い方）'!$J$22=2,AI31,IF('基本情報入力（使い方）'!$J$22=3,AL31,AO31)))</f>
        <v>○</v>
      </c>
    </row>
    <row r="32" spans="12:44" ht="30" customHeight="1">
      <c r="L32" s="148"/>
      <c r="M32" s="113" t="s">
        <v>30</v>
      </c>
      <c r="N32" s="6">
        <f t="shared" si="6"/>
        <v>590000</v>
      </c>
      <c r="O32" s="19">
        <f t="shared" si="8"/>
        <v>5</v>
      </c>
      <c r="P32" s="7">
        <f t="shared" si="9"/>
        <v>590000</v>
      </c>
      <c r="Q32" s="7">
        <f t="shared" si="7"/>
        <v>590000</v>
      </c>
      <c r="R32" s="8">
        <f t="shared" si="1"/>
        <v>0</v>
      </c>
      <c r="S32" s="59" t="str">
        <f>IF(AND(T32&lt;&gt;"×",U32&lt;&gt;"×",V32&lt;&gt;"×",W32&lt;&gt;"×",X32&lt;&gt;"×"),"○","×")</f>
        <v>○</v>
      </c>
      <c r="T32" s="59"/>
      <c r="U32" s="59">
        <f t="shared" si="2"/>
      </c>
      <c r="V32" s="81"/>
      <c r="W32" s="81" t="str">
        <f>AR30</f>
        <v> </v>
      </c>
      <c r="X32" s="274"/>
      <c r="Y32" s="274" t="str">
        <f t="shared" si="4"/>
        <v>×</v>
      </c>
      <c r="Z32" s="60" t="str">
        <f t="shared" si="5"/>
        <v>×</v>
      </c>
      <c r="AA32" s="500"/>
      <c r="AB32" s="149"/>
      <c r="AC32" s="159" t="s">
        <v>147</v>
      </c>
      <c r="AD32" s="160" t="s">
        <v>148</v>
      </c>
      <c r="AE32" s="190" t="s">
        <v>168</v>
      </c>
      <c r="AF32" s="157" t="s">
        <v>168</v>
      </c>
      <c r="AG32" s="160" t="s">
        <v>148</v>
      </c>
      <c r="AH32" s="190" t="s">
        <v>168</v>
      </c>
      <c r="AI32" s="157" t="s">
        <v>168</v>
      </c>
      <c r="AJ32" s="156" t="s">
        <v>148</v>
      </c>
      <c r="AK32" s="190" t="s">
        <v>168</v>
      </c>
      <c r="AL32" s="157" t="s">
        <v>168</v>
      </c>
      <c r="AM32" s="158" t="s">
        <v>195</v>
      </c>
      <c r="AN32" s="189">
        <f>$G$17</f>
        <v>1080000</v>
      </c>
      <c r="AO32" s="153" t="str">
        <f>IF('基本情報入力（使い方）'!$J$22=4,IF($G$20/2-$G$17&gt;=0,"○","×"),IF(AN32=0,"○","×"))</f>
        <v>○</v>
      </c>
      <c r="AP32" s="146" t="str">
        <f>IF('基本情報入力（使い方）'!$J$22=1,AD32,IF('基本情報入力（使い方）'!$J$22=2,AG32,IF('基本情報入力（使い方）'!$J$22=3,AJ32,AM32)))</f>
        <v>委託費は補助対象経費の1/2を超えていないか</v>
      </c>
      <c r="AQ32" s="146">
        <f>IF('基本情報入力（使い方）'!$J$22=1,AE32,IF('基本情報入力（使い方）'!$J$22=2,AH32,IF('基本情報入力（使い方）'!$J$22=3,AK32,AN32)))</f>
        <v>1080000</v>
      </c>
      <c r="AR32" s="147" t="str">
        <f>IF('基本情報入力（使い方）'!$J$22=1,AF32,IF('基本情報入力（使い方）'!$J$22=2,AI32,IF('基本情報入力（使い方）'!$J$22=3,AL32,AO32)))</f>
        <v>○</v>
      </c>
    </row>
    <row r="33" spans="12:44" ht="30" customHeight="1">
      <c r="L33" s="148"/>
      <c r="M33" s="113" t="s">
        <v>154</v>
      </c>
      <c r="N33" s="6">
        <f t="shared" si="6"/>
        <v>342300</v>
      </c>
      <c r="O33" s="19">
        <f t="shared" si="8"/>
        <v>7</v>
      </c>
      <c r="P33" s="7">
        <f t="shared" si="9"/>
        <v>342300</v>
      </c>
      <c r="Q33" s="7">
        <f t="shared" si="7"/>
        <v>342300</v>
      </c>
      <c r="R33" s="8">
        <f t="shared" si="1"/>
        <v>0</v>
      </c>
      <c r="S33" s="59" t="str">
        <f t="shared" si="3"/>
        <v>○</v>
      </c>
      <c r="T33" s="59"/>
      <c r="U33" s="59">
        <f t="shared" si="2"/>
      </c>
      <c r="V33" s="81"/>
      <c r="W33" s="81" t="str">
        <f>AR30</f>
        <v> </v>
      </c>
      <c r="X33" s="274" t="str">
        <f>IF(OR(G15=0,G15=""),"○",$AR$35)</f>
        <v> </v>
      </c>
      <c r="Y33" s="274" t="str">
        <f t="shared" si="4"/>
        <v>×</v>
      </c>
      <c r="Z33" s="60" t="str">
        <f t="shared" si="5"/>
        <v>×</v>
      </c>
      <c r="AA33" s="500"/>
      <c r="AB33" s="149"/>
      <c r="AC33" s="159" t="s">
        <v>42</v>
      </c>
      <c r="AD33" s="160" t="s">
        <v>148</v>
      </c>
      <c r="AE33" s="190" t="s">
        <v>168</v>
      </c>
      <c r="AF33" s="157" t="s">
        <v>168</v>
      </c>
      <c r="AG33" s="160" t="s">
        <v>148</v>
      </c>
      <c r="AH33" s="190" t="s">
        <v>168</v>
      </c>
      <c r="AI33" s="157" t="s">
        <v>168</v>
      </c>
      <c r="AJ33" s="156" t="s">
        <v>148</v>
      </c>
      <c r="AK33" s="190" t="s">
        <v>168</v>
      </c>
      <c r="AL33" s="157" t="s">
        <v>168</v>
      </c>
      <c r="AM33" s="158" t="s">
        <v>197</v>
      </c>
      <c r="AN33" s="189">
        <f>$G$16+$G$17</f>
        <v>1580000</v>
      </c>
      <c r="AO33" s="153" t="str">
        <f>IF('基本情報入力（使い方）'!$J$22=4,IF($G$20/2-($G$16+$G$17)&gt;=0,"○","×"),IF(AN33=0,"○","×"))</f>
        <v>○</v>
      </c>
      <c r="AP33" s="146" t="str">
        <f>IF('基本情報入力（使い方）'!$J$22=1,AD33,IF('基本情報入力（使い方）'!$J$22=2,AG33,IF('基本情報入力（使い方）'!$J$22=3,AJ33,AM33)))</f>
        <v>上記の合計額が補助対象経費の1/2を超えていないか</v>
      </c>
      <c r="AQ33" s="146">
        <f>IF('基本情報入力（使い方）'!$J$22=1,AE33,IF('基本情報入力（使い方）'!$J$22=2,AH33,IF('基本情報入力（使い方）'!$J$22=3,AK33,AN33)))</f>
        <v>1580000</v>
      </c>
      <c r="AR33" s="147" t="str">
        <f>IF('基本情報入力（使い方）'!$J$22=1,AF33,IF('基本情報入力（使い方）'!$J$22=2,AI33,IF('基本情報入力（使い方）'!$J$22=3,AL33,AO33)))</f>
        <v>○</v>
      </c>
    </row>
    <row r="34" spans="12:44" ht="30" customHeight="1">
      <c r="L34" s="148"/>
      <c r="M34" s="113" t="s">
        <v>155</v>
      </c>
      <c r="N34" s="6">
        <f t="shared" si="6"/>
        <v>333333</v>
      </c>
      <c r="O34" s="19">
        <f t="shared" si="8"/>
        <v>8</v>
      </c>
      <c r="P34" s="7">
        <f t="shared" si="9"/>
        <v>333333</v>
      </c>
      <c r="Q34" s="7">
        <f t="shared" si="7"/>
        <v>333333</v>
      </c>
      <c r="R34" s="8">
        <f t="shared" si="1"/>
        <v>0</v>
      </c>
      <c r="S34" s="59" t="str">
        <f t="shared" si="3"/>
        <v>○</v>
      </c>
      <c r="T34" s="85" t="str">
        <f>IF(OR(AQ31=0,AQ31=""),"○",AR33)</f>
        <v>○</v>
      </c>
      <c r="U34" s="59">
        <f t="shared" si="2"/>
      </c>
      <c r="V34" s="81"/>
      <c r="W34" s="81" t="str">
        <f>AR30</f>
        <v> </v>
      </c>
      <c r="X34" s="274" t="str">
        <f>IF(OR(G16=0,G16=""),"○",$AR$35)</f>
        <v> </v>
      </c>
      <c r="Y34" s="274" t="str">
        <f t="shared" si="4"/>
        <v>×</v>
      </c>
      <c r="Z34" s="60" t="str">
        <f t="shared" si="5"/>
        <v>×</v>
      </c>
      <c r="AA34" s="500"/>
      <c r="AB34" s="149"/>
      <c r="AC34" s="159" t="s">
        <v>163</v>
      </c>
      <c r="AD34" s="160" t="s">
        <v>148</v>
      </c>
      <c r="AE34" s="190" t="s">
        <v>168</v>
      </c>
      <c r="AF34" s="157" t="s">
        <v>168</v>
      </c>
      <c r="AG34" s="160" t="s">
        <v>148</v>
      </c>
      <c r="AH34" s="190" t="s">
        <v>168</v>
      </c>
      <c r="AI34" s="157" t="s">
        <v>168</v>
      </c>
      <c r="AJ34" s="156" t="s">
        <v>148</v>
      </c>
      <c r="AK34" s="190" t="s">
        <v>168</v>
      </c>
      <c r="AL34" s="157" t="s">
        <v>168</v>
      </c>
      <c r="AM34" s="158" t="s">
        <v>196</v>
      </c>
      <c r="AN34" s="189">
        <f>$G$18</f>
        <v>550000</v>
      </c>
      <c r="AO34" s="153" t="str">
        <f>IF($G$20/3-$G$18&gt;=0,"○","×")</f>
        <v>○</v>
      </c>
      <c r="AP34" s="146" t="str">
        <f>IF('基本情報入力（使い方）'!$J$22=1,AD34,IF('基本情報入力（使い方）'!$J$22=2,AG34,IF('基本情報入力（使い方）'!$J$22=3,AJ34,AM34)))</f>
        <v>知的財産権関連経費が補助対象経費の1/3を超えていないか</v>
      </c>
      <c r="AQ34" s="146">
        <f>IF('基本情報入力（使い方）'!$J$22=1,AE34,IF('基本情報入力（使い方）'!$J$22=2,AH34,IF('基本情報入力（使い方）'!$J$22=3,AK34,AN34)))</f>
        <v>550000</v>
      </c>
      <c r="AR34" s="147" t="str">
        <f>IF('基本情報入力（使い方）'!$J$22=1,AF34,IF('基本情報入力（使い方）'!$J$22=2,AI34,IF('基本情報入力（使い方）'!$J$22=3,AL34,AO34)))</f>
        <v>○</v>
      </c>
    </row>
    <row r="35" spans="12:44" ht="30" customHeight="1">
      <c r="L35" s="148"/>
      <c r="M35" s="113" t="s">
        <v>156</v>
      </c>
      <c r="N35" s="6">
        <f t="shared" si="6"/>
        <v>720000</v>
      </c>
      <c r="O35" s="19">
        <f t="shared" si="8"/>
        <v>3</v>
      </c>
      <c r="P35" s="7">
        <f t="shared" si="9"/>
        <v>720000</v>
      </c>
      <c r="Q35" s="7">
        <f t="shared" si="7"/>
        <v>720000</v>
      </c>
      <c r="R35" s="8">
        <f t="shared" si="1"/>
        <v>0</v>
      </c>
      <c r="S35" s="59" t="str">
        <f t="shared" si="3"/>
        <v>○</v>
      </c>
      <c r="T35" s="85" t="str">
        <f>IF(OR(AQ32=0,AQ32=""),"○",AR33)</f>
        <v>○</v>
      </c>
      <c r="U35" s="59">
        <f t="shared" si="2"/>
      </c>
      <c r="V35" s="81"/>
      <c r="W35" s="81" t="str">
        <f>AR30</f>
        <v> </v>
      </c>
      <c r="X35" s="274" t="str">
        <f>IF(OR(G17=0,G17=""),"○",$AR$35)</f>
        <v> </v>
      </c>
      <c r="Y35" s="274" t="str">
        <f t="shared" si="4"/>
        <v>×</v>
      </c>
      <c r="Z35" s="60" t="str">
        <f t="shared" si="5"/>
        <v>×</v>
      </c>
      <c r="AA35" s="500"/>
      <c r="AB35" s="149"/>
      <c r="AC35" s="159" t="s">
        <v>162</v>
      </c>
      <c r="AD35" s="155" t="s">
        <v>164</v>
      </c>
      <c r="AE35" s="189">
        <f>SUM($G$15,$G$16,$G$17,$G$18,$G$19)</f>
        <v>2893450</v>
      </c>
      <c r="AF35" s="152" t="str">
        <f>IF(AE35=0,"○","×")</f>
        <v>×</v>
      </c>
      <c r="AG35" s="155" t="s">
        <v>164</v>
      </c>
      <c r="AH35" s="189">
        <f>SUM($G$15,$G$16,$G$17,$G$18,$G$19)</f>
        <v>2893450</v>
      </c>
      <c r="AI35" s="152" t="str">
        <f>IF(AH35=0,"○","×")</f>
        <v>×</v>
      </c>
      <c r="AJ35" s="158" t="s">
        <v>164</v>
      </c>
      <c r="AK35" s="189">
        <f>SUM($G$15,$G$16,$G$17,$G$18,$G$19)</f>
        <v>2893450</v>
      </c>
      <c r="AL35" s="163" t="str">
        <f>IF(AK35=0,"○","×")</f>
        <v>×</v>
      </c>
      <c r="AM35" s="156" t="s">
        <v>148</v>
      </c>
      <c r="AN35" s="190" t="s">
        <v>168</v>
      </c>
      <c r="AO35" s="161" t="s">
        <v>168</v>
      </c>
      <c r="AP35" s="146" t="str">
        <f>IF('基本情報入力（使い方）'!$J$22=1,AD35,IF('基本情報入力（使い方）'!$J$22=2,AG35,IF('基本情報入力（使い方）'!$J$22=3,AJ35,AM35)))</f>
        <v>判定対象外</v>
      </c>
      <c r="AQ35" s="146" t="str">
        <f>IF('基本情報入力（使い方）'!$J$22=1,AE35,IF('基本情報入力（使い方）'!$J$22=2,AH35,IF('基本情報入力（使い方）'!$J$22=3,AK35,AN35)))</f>
        <v> </v>
      </c>
      <c r="AR35" s="147" t="str">
        <f>IF('基本情報入力（使い方）'!$J$22=1,AF35,IF('基本情報入力（使い方）'!$J$22=2,AI35,IF('基本情報入力（使い方）'!$J$22=3,AL35,AO35)))</f>
        <v> </v>
      </c>
    </row>
    <row r="36" spans="12:44" ht="30" customHeight="1">
      <c r="L36" s="148"/>
      <c r="M36" s="113" t="s">
        <v>157</v>
      </c>
      <c r="N36" s="6">
        <f t="shared" si="6"/>
        <v>366666</v>
      </c>
      <c r="O36" s="19">
        <f t="shared" si="8"/>
        <v>6</v>
      </c>
      <c r="P36" s="7">
        <f t="shared" si="9"/>
        <v>366666</v>
      </c>
      <c r="Q36" s="7">
        <f t="shared" si="7"/>
        <v>366666</v>
      </c>
      <c r="R36" s="8">
        <f t="shared" si="1"/>
        <v>0</v>
      </c>
      <c r="S36" s="59" t="str">
        <f t="shared" si="3"/>
        <v>○</v>
      </c>
      <c r="T36" s="85" t="str">
        <f>AR34</f>
        <v>○</v>
      </c>
      <c r="U36" s="59">
        <f t="shared" si="2"/>
      </c>
      <c r="V36" s="81"/>
      <c r="W36" s="81" t="str">
        <f>AR30</f>
        <v> </v>
      </c>
      <c r="X36" s="274" t="str">
        <f>IF(OR(G18=0,G18=""),"○",$AR$35)</f>
        <v> </v>
      </c>
      <c r="Y36" s="274" t="str">
        <f t="shared" si="4"/>
        <v>×</v>
      </c>
      <c r="Z36" s="60" t="str">
        <f t="shared" si="5"/>
        <v>×</v>
      </c>
      <c r="AA36" s="500"/>
      <c r="AB36" s="149"/>
      <c r="AC36" s="94"/>
      <c r="AD36" s="94"/>
      <c r="AE36" s="94"/>
      <c r="AF36" s="94"/>
      <c r="AG36" s="94"/>
      <c r="AH36" s="94"/>
      <c r="AI36" s="94"/>
      <c r="AJ36" s="94"/>
      <c r="AK36" s="94"/>
      <c r="AL36" s="94"/>
      <c r="AM36" s="94"/>
      <c r="AN36" s="94"/>
      <c r="AO36" s="94"/>
      <c r="AP36" s="94"/>
      <c r="AQ36" s="94"/>
      <c r="AR36" s="94"/>
    </row>
    <row r="37" spans="12:44" ht="30" customHeight="1" thickBot="1">
      <c r="L37" s="162"/>
      <c r="M37" s="121" t="s">
        <v>158</v>
      </c>
      <c r="N37" s="11">
        <f t="shared" si="6"/>
        <v>166666</v>
      </c>
      <c r="O37" s="19">
        <f>IF(N37=0,"",IF(SUM($N$28:$N$29)&gt;0,RANK(P37,$P$30:$P$37)+1,RANK(P37,$P$30:$P$37)))</f>
        <v>9</v>
      </c>
      <c r="P37" s="12">
        <f t="shared" si="9"/>
        <v>166666</v>
      </c>
      <c r="Q37" s="12">
        <f t="shared" si="7"/>
        <v>166666</v>
      </c>
      <c r="R37" s="20">
        <f t="shared" si="1"/>
        <v>0</v>
      </c>
      <c r="S37" s="61" t="str">
        <f t="shared" si="3"/>
        <v>○</v>
      </c>
      <c r="T37" s="61"/>
      <c r="U37" s="61">
        <f t="shared" si="2"/>
      </c>
      <c r="V37" s="82"/>
      <c r="W37" s="82" t="str">
        <f>AR30</f>
        <v> </v>
      </c>
      <c r="X37" s="275" t="str">
        <f>IF(OR(G19=0,G19=""),"○",$AR$35)</f>
        <v> </v>
      </c>
      <c r="Y37" s="275" t="str">
        <f t="shared" si="4"/>
        <v>×</v>
      </c>
      <c r="Z37" s="62" t="str">
        <f t="shared" si="5"/>
        <v>×</v>
      </c>
      <c r="AA37" s="501"/>
      <c r="AB37" s="149"/>
      <c r="AC37" s="94"/>
      <c r="AD37" s="94"/>
      <c r="AE37" s="94"/>
      <c r="AF37" s="94"/>
      <c r="AG37" s="94"/>
      <c r="AH37" s="94"/>
      <c r="AI37" s="94"/>
      <c r="AJ37" s="94"/>
      <c r="AK37" s="94"/>
      <c r="AL37" s="94"/>
      <c r="AM37" s="94"/>
      <c r="AN37" s="94"/>
      <c r="AO37" s="94"/>
      <c r="AP37" s="94"/>
      <c r="AQ37" s="94"/>
      <c r="AR37" s="94"/>
    </row>
    <row r="38" spans="12:44" ht="30" customHeight="1" thickTop="1">
      <c r="L38" s="148"/>
      <c r="M38" s="164" t="s">
        <v>26</v>
      </c>
      <c r="N38" s="9">
        <f>SUM(N28:N37)</f>
        <v>12585623</v>
      </c>
      <c r="O38" s="165"/>
      <c r="P38" s="13">
        <f>SUM(P28:P37)</f>
        <v>12585623</v>
      </c>
      <c r="Q38" s="9">
        <f>SUM(Q28:Q37)</f>
        <v>12585623</v>
      </c>
      <c r="R38" s="166"/>
      <c r="S38" s="167" t="s">
        <v>60</v>
      </c>
      <c r="T38" s="63"/>
      <c r="U38" s="472" t="s">
        <v>221</v>
      </c>
      <c r="V38" s="472"/>
      <c r="W38" s="472"/>
      <c r="X38" s="472"/>
      <c r="Y38" s="472"/>
      <c r="Z38" s="472"/>
      <c r="AA38" s="472"/>
      <c r="AF38" s="94"/>
      <c r="AG38" s="94"/>
      <c r="AH38" s="94"/>
      <c r="AI38" s="94"/>
      <c r="AJ38" s="94"/>
      <c r="AK38" s="94"/>
      <c r="AL38" s="94"/>
      <c r="AM38" s="94"/>
      <c r="AN38" s="94"/>
      <c r="AO38" s="94"/>
      <c r="AP38" s="94"/>
      <c r="AQ38" s="94"/>
      <c r="AR38" s="94"/>
    </row>
    <row r="39" spans="12:45" ht="30" customHeight="1">
      <c r="L39" s="148"/>
      <c r="M39" s="169" t="s">
        <v>62</v>
      </c>
      <c r="N39" s="170">
        <f>N38-SUM(N28:N29)</f>
        <v>6785631</v>
      </c>
      <c r="O39" s="169" t="s">
        <v>63</v>
      </c>
      <c r="P39" s="21">
        <f>IF(ISERROR(VLOOKUP(2,$O$28:$P$37,2,FALSE)),0,VLOOKUP(2,$O$28:$P$37,2,FALSE))</f>
        <v>3600000</v>
      </c>
      <c r="Q39" s="171" t="s">
        <v>256</v>
      </c>
      <c r="R39" s="98"/>
      <c r="S39" s="172" t="s">
        <v>180</v>
      </c>
      <c r="U39" s="64"/>
      <c r="V39" s="64"/>
      <c r="W39" s="65"/>
      <c r="AD39" s="94"/>
      <c r="AE39" s="94"/>
      <c r="AF39" s="94"/>
      <c r="AG39" s="94"/>
      <c r="AH39" s="94"/>
      <c r="AI39" s="94"/>
      <c r="AJ39" s="94"/>
      <c r="AK39" s="94"/>
      <c r="AL39" s="94"/>
      <c r="AM39" s="94"/>
      <c r="AN39" s="94"/>
      <c r="AO39" s="94"/>
      <c r="AP39" s="94"/>
      <c r="AQ39" s="94"/>
      <c r="AR39" s="94"/>
      <c r="AS39" s="94"/>
    </row>
    <row r="40" spans="12:45" ht="30" customHeight="1">
      <c r="L40" s="148"/>
      <c r="M40" s="169" t="s">
        <v>64</v>
      </c>
      <c r="N40" s="170">
        <f>MIN(N38,補助上限額)</f>
        <v>12585623</v>
      </c>
      <c r="O40" s="169" t="s">
        <v>65</v>
      </c>
      <c r="P40" s="21">
        <f>SUMIF(O28:O37,2,P28:P37)</f>
        <v>3600000</v>
      </c>
      <c r="Q40" s="171" t="s">
        <v>255</v>
      </c>
      <c r="R40" s="98"/>
      <c r="T40" s="91"/>
      <c r="U40" s="91"/>
      <c r="AD40" s="94"/>
      <c r="AE40" s="94"/>
      <c r="AF40" s="94"/>
      <c r="AG40" s="94"/>
      <c r="AH40" s="94"/>
      <c r="AI40" s="94"/>
      <c r="AJ40" s="94"/>
      <c r="AK40" s="94"/>
      <c r="AL40" s="94"/>
      <c r="AM40" s="94"/>
      <c r="AN40" s="94"/>
      <c r="AO40" s="94"/>
      <c r="AP40" s="94"/>
      <c r="AQ40" s="94"/>
      <c r="AR40" s="94"/>
      <c r="AS40" s="94"/>
    </row>
    <row r="41" spans="12:44" ht="30" customHeight="1">
      <c r="L41" s="125"/>
      <c r="M41" s="169" t="s">
        <v>78</v>
      </c>
      <c r="N41" s="170">
        <f>MAX(N40-SUM(N28:N29),0)</f>
        <v>6785631</v>
      </c>
      <c r="O41" s="200" t="s">
        <v>135</v>
      </c>
      <c r="P41" s="14">
        <f>MIN(N42-(P38-SUM(P28:P29)),N40-P38)</f>
        <v>0</v>
      </c>
      <c r="Q41" s="174"/>
      <c r="R41" s="98"/>
      <c r="T41" s="91"/>
      <c r="U41" s="91"/>
      <c r="AB41" s="94"/>
      <c r="AC41" s="94"/>
      <c r="AD41" s="94"/>
      <c r="AE41" s="94"/>
      <c r="AF41" s="94"/>
      <c r="AG41" s="94"/>
      <c r="AH41" s="94"/>
      <c r="AI41" s="94"/>
      <c r="AJ41" s="94"/>
      <c r="AK41" s="94"/>
      <c r="AL41" s="94"/>
      <c r="AM41" s="94"/>
      <c r="AN41" s="94"/>
      <c r="AO41" s="94"/>
      <c r="AP41" s="94"/>
      <c r="AQ41" s="94"/>
      <c r="AR41" s="94"/>
    </row>
    <row r="42" spans="12:33" ht="30" customHeight="1">
      <c r="L42" s="168"/>
      <c r="M42" s="169" t="s">
        <v>79</v>
      </c>
      <c r="N42" s="170">
        <f>IF(NOT(N50="小規模型（試作開発等）"),5000000,N40)</f>
        <v>12585623</v>
      </c>
      <c r="O42" s="169" t="s">
        <v>136</v>
      </c>
      <c r="P42" s="15">
        <f>IF(P39=0,0,P40/P39)</f>
        <v>1</v>
      </c>
      <c r="Q42" s="175"/>
      <c r="R42" s="176"/>
      <c r="T42" s="91"/>
      <c r="U42" s="91"/>
      <c r="AB42" s="94"/>
      <c r="AC42" s="94"/>
      <c r="AD42" s="94"/>
      <c r="AE42" s="94"/>
      <c r="AF42" s="94"/>
      <c r="AG42" s="94"/>
    </row>
    <row r="43" spans="12:44" ht="30" customHeight="1">
      <c r="L43" s="168"/>
      <c r="M43" s="177" t="s">
        <v>253</v>
      </c>
      <c r="N43" s="170">
        <f>MIN(N40,N41,N42)</f>
        <v>6785631</v>
      </c>
      <c r="O43" s="178" t="s">
        <v>254</v>
      </c>
      <c r="P43" s="14">
        <f>IF(P42=0,0,ROUNDDOWN(P41/P42,0))</f>
        <v>0</v>
      </c>
      <c r="Q43" s="175"/>
      <c r="R43" s="176"/>
      <c r="T43" s="91"/>
      <c r="U43" s="91"/>
      <c r="AH43" s="99"/>
      <c r="AI43" s="99"/>
      <c r="AJ43" s="99"/>
      <c r="AK43" s="99"/>
      <c r="AL43" s="99"/>
      <c r="AM43" s="99"/>
      <c r="AN43" s="99"/>
      <c r="AO43" s="99"/>
      <c r="AP43" s="99"/>
      <c r="AQ43" s="99"/>
      <c r="AR43" s="99"/>
    </row>
    <row r="44" spans="12:43" ht="30" customHeight="1">
      <c r="L44" s="168"/>
      <c r="M44" s="124" t="s">
        <v>159</v>
      </c>
      <c r="T44" s="91"/>
      <c r="U44" s="91"/>
      <c r="AB44" s="99"/>
      <c r="AC44" s="99"/>
      <c r="AD44" s="99"/>
      <c r="AE44" s="99"/>
      <c r="AF44" s="99"/>
      <c r="AG44" s="99"/>
      <c r="AH44" s="99"/>
      <c r="AI44" s="99"/>
      <c r="AJ44" s="99"/>
      <c r="AK44" s="99"/>
      <c r="AL44" s="99"/>
      <c r="AM44" s="99"/>
      <c r="AN44" s="99"/>
      <c r="AO44" s="99"/>
      <c r="AP44" s="99"/>
      <c r="AQ44" s="99"/>
    </row>
    <row r="45" spans="15:21" ht="30" customHeight="1">
      <c r="O45" s="179"/>
      <c r="P45" s="179"/>
      <c r="T45" s="91"/>
      <c r="U45" s="91"/>
    </row>
    <row r="46" spans="13:21" ht="30" customHeight="1" thickBot="1">
      <c r="M46" s="68" t="s">
        <v>54</v>
      </c>
      <c r="N46" s="69"/>
      <c r="O46" s="69"/>
      <c r="P46" s="179"/>
      <c r="T46" s="91"/>
      <c r="U46" s="91"/>
    </row>
    <row r="47" spans="13:21" ht="30" customHeight="1" thickTop="1">
      <c r="M47" s="75" t="s">
        <v>55</v>
      </c>
      <c r="N47" s="491" t="s">
        <v>47</v>
      </c>
      <c r="O47" s="492"/>
      <c r="P47" s="493"/>
      <c r="T47" s="91"/>
      <c r="U47" s="91"/>
    </row>
    <row r="48" spans="13:21" ht="30" customHeight="1">
      <c r="M48" s="76" t="s">
        <v>56</v>
      </c>
      <c r="N48" s="474">
        <v>0.08</v>
      </c>
      <c r="O48" s="475"/>
      <c r="P48" s="476"/>
      <c r="T48" s="91"/>
      <c r="U48" s="91"/>
    </row>
    <row r="49" spans="13:21" ht="30" customHeight="1">
      <c r="M49" s="77" t="s">
        <v>57</v>
      </c>
      <c r="N49" s="477" t="str">
        <f>VLOOKUP('基本情報入力（使い方）'!J16,'設定'!B:C,2)</f>
        <v>ものづくり技術</v>
      </c>
      <c r="O49" s="478"/>
      <c r="P49" s="479"/>
      <c r="T49" s="91"/>
      <c r="U49" s="91"/>
    </row>
    <row r="50" spans="13:21" ht="30" customHeight="1">
      <c r="M50" s="77"/>
      <c r="N50" s="477" t="str">
        <f>VLOOKUP('基本情報入力（使い方）'!J22,'設定'!E:H,2)&amp;VLOOKUP('基本情報入力（使い方）'!J22,'設定'!E:H,3)</f>
        <v>小規模型（試作開発等）</v>
      </c>
      <c r="O50" s="478"/>
      <c r="P50" s="479"/>
      <c r="T50" s="91"/>
      <c r="U50" s="91"/>
    </row>
    <row r="51" spans="13:21" ht="30" customHeight="1">
      <c r="M51" s="77"/>
      <c r="N51" s="477" t="str">
        <f>IF('基本情報入力（使い方）'!J22=1,"",VLOOKUP('基本情報入力（使い方）'!K30,'設定'!M:N,2))</f>
        <v>雇用増（維持）10%の賃上げ</v>
      </c>
      <c r="O51" s="478"/>
      <c r="P51" s="479"/>
      <c r="R51" s="70"/>
      <c r="T51" s="91"/>
      <c r="U51" s="91"/>
    </row>
    <row r="52" spans="13:21" ht="30" customHeight="1">
      <c r="M52" s="77" t="s">
        <v>58</v>
      </c>
      <c r="N52" s="463">
        <f>IF('基本情報入力（使い方）'!K30=1,VLOOKUP('基本情報入力（使い方）'!J22,'設定'!E:J,4),IF('基本情報入力（使い方）'!K30=2,VLOOKUP('基本情報入力（使い方）'!J22,'設定'!E:J,5),VLOOKUP('基本情報入力（使い方）'!J22,'設定'!E:J,6)))</f>
        <v>15000000</v>
      </c>
      <c r="O52" s="464"/>
      <c r="P52" s="339" t="s">
        <v>181</v>
      </c>
      <c r="T52" s="432"/>
      <c r="U52" s="91"/>
    </row>
    <row r="53" spans="13:21" ht="30" customHeight="1" thickBot="1">
      <c r="M53" s="78" t="s">
        <v>152</v>
      </c>
      <c r="N53" s="497">
        <f>VLOOKUP('基本情報入力（使い方）'!J22,'設定'!E:K,7)</f>
        <v>1000000</v>
      </c>
      <c r="O53" s="498"/>
      <c r="P53" s="186" t="s">
        <v>181</v>
      </c>
      <c r="T53" s="432"/>
      <c r="U53" s="91"/>
    </row>
    <row r="54" spans="20:21" ht="30" customHeight="1" thickTop="1">
      <c r="T54" s="432"/>
      <c r="U54" s="91"/>
    </row>
    <row r="55" spans="20:21" ht="30" customHeight="1">
      <c r="T55" s="432"/>
      <c r="U55" s="91"/>
    </row>
    <row r="56" spans="20:21" ht="30" customHeight="1">
      <c r="T56" s="432"/>
      <c r="U56" s="91"/>
    </row>
    <row r="57" spans="20:21" ht="30" customHeight="1">
      <c r="T57" s="432"/>
      <c r="U57" s="91"/>
    </row>
    <row r="58" spans="20:21" ht="30" customHeight="1">
      <c r="T58" s="432"/>
      <c r="U58" s="87"/>
    </row>
    <row r="59" spans="20:21" ht="30" customHeight="1">
      <c r="T59" s="432"/>
      <c r="U59" s="87"/>
    </row>
    <row r="60" spans="20:52" ht="31.5" customHeight="1">
      <c r="T60" s="432"/>
      <c r="U60" s="87"/>
      <c r="AV60" s="87"/>
      <c r="AW60" s="87"/>
      <c r="AX60" s="87"/>
      <c r="AY60" s="87"/>
      <c r="AZ60" s="87"/>
    </row>
    <row r="61" spans="20:52" ht="38.25" customHeight="1">
      <c r="T61" s="432"/>
      <c r="U61" s="87"/>
      <c r="AV61" s="87"/>
      <c r="AW61" s="87"/>
      <c r="AX61" s="87"/>
      <c r="AY61" s="87"/>
      <c r="AZ61" s="87"/>
    </row>
    <row r="62" spans="20:27" ht="38.25" customHeight="1">
      <c r="T62" s="432"/>
      <c r="U62" s="87"/>
      <c r="V62" s="87"/>
      <c r="W62" s="87"/>
      <c r="X62" s="87"/>
      <c r="Y62" s="87"/>
      <c r="Z62" s="87"/>
      <c r="AA62" s="87"/>
    </row>
    <row r="63" spans="20:27" ht="38.25" customHeight="1">
      <c r="T63" s="432"/>
      <c r="U63" s="87"/>
      <c r="V63" s="87"/>
      <c r="W63" s="87"/>
      <c r="X63" s="87"/>
      <c r="Y63" s="87"/>
      <c r="Z63" s="87"/>
      <c r="AA63" s="87"/>
    </row>
    <row r="64" spans="13:27" ht="38.25" customHeight="1">
      <c r="M64" s="97"/>
      <c r="N64" s="182"/>
      <c r="O64" s="182"/>
      <c r="P64" s="182"/>
      <c r="Q64" s="71"/>
      <c r="T64" s="432"/>
      <c r="U64" s="87"/>
      <c r="V64" s="87"/>
      <c r="W64" s="87"/>
      <c r="X64" s="87"/>
      <c r="Y64" s="87"/>
      <c r="Z64" s="87"/>
      <c r="AA64" s="87"/>
    </row>
    <row r="65" spans="20:27" ht="30" customHeight="1">
      <c r="T65" s="432"/>
      <c r="U65" s="87"/>
      <c r="V65" s="87"/>
      <c r="W65" s="87"/>
      <c r="X65" s="87"/>
      <c r="Y65" s="87"/>
      <c r="Z65" s="87"/>
      <c r="AA65" s="87"/>
    </row>
    <row r="66" spans="20:27" ht="30" customHeight="1">
      <c r="T66" s="432"/>
      <c r="U66" s="473"/>
      <c r="V66" s="473"/>
      <c r="W66" s="473"/>
      <c r="X66" s="89"/>
      <c r="Y66" s="89"/>
      <c r="Z66" s="89"/>
      <c r="AA66" s="89"/>
    </row>
    <row r="67" spans="12:27" ht="30" customHeight="1">
      <c r="L67" s="125"/>
      <c r="T67" s="432"/>
      <c r="U67" s="473"/>
      <c r="V67" s="473"/>
      <c r="W67" s="473"/>
      <c r="X67" s="89"/>
      <c r="Y67" s="89"/>
      <c r="Z67" s="89"/>
      <c r="AA67" s="89"/>
    </row>
    <row r="68" spans="20:21" ht="30" customHeight="1">
      <c r="T68" s="91"/>
      <c r="U68" s="91"/>
    </row>
    <row r="69" spans="20:21" ht="20.25" customHeight="1">
      <c r="T69" s="91"/>
      <c r="U69" s="91"/>
    </row>
    <row r="70" spans="20:57" ht="30" customHeight="1">
      <c r="T70" s="91"/>
      <c r="U70" s="91"/>
      <c r="AS70" s="180"/>
      <c r="AT70" s="180"/>
      <c r="AU70" s="73"/>
      <c r="AV70" s="73"/>
      <c r="AW70" s="73"/>
      <c r="AX70" s="73"/>
      <c r="AY70" s="73"/>
      <c r="AZ70" s="73"/>
      <c r="BA70" s="73"/>
      <c r="BB70" s="73"/>
      <c r="BC70" s="73"/>
      <c r="BD70" s="73"/>
      <c r="BE70" s="73"/>
    </row>
    <row r="71" spans="20:57" ht="30" customHeight="1">
      <c r="T71" s="91"/>
      <c r="U71" s="91"/>
      <c r="AS71" s="181"/>
      <c r="AT71" s="72"/>
      <c r="AU71" s="72"/>
      <c r="AV71" s="73"/>
      <c r="AW71" s="72"/>
      <c r="AX71" s="73"/>
      <c r="AY71" s="72"/>
      <c r="AZ71" s="73"/>
      <c r="BA71" s="72"/>
      <c r="BB71" s="73"/>
      <c r="BC71" s="72"/>
      <c r="BD71" s="72"/>
      <c r="BE71" s="72"/>
    </row>
    <row r="72" spans="20:57" ht="30" customHeight="1">
      <c r="T72" s="91"/>
      <c r="U72" s="91"/>
      <c r="AS72" s="181"/>
      <c r="AT72" s="72"/>
      <c r="AU72" s="72"/>
      <c r="AV72" s="73"/>
      <c r="AW72" s="72"/>
      <c r="AX72" s="73"/>
      <c r="AY72" s="72"/>
      <c r="AZ72" s="73"/>
      <c r="BA72" s="72"/>
      <c r="BB72" s="73"/>
      <c r="BC72" s="72"/>
      <c r="BD72" s="72"/>
      <c r="BE72" s="72"/>
    </row>
    <row r="73" spans="20:57" ht="30" customHeight="1">
      <c r="T73" s="91"/>
      <c r="U73" s="91"/>
      <c r="AS73" s="181"/>
      <c r="AT73" s="72"/>
      <c r="AU73" s="72"/>
      <c r="AV73" s="73"/>
      <c r="AW73" s="72"/>
      <c r="AX73" s="73"/>
      <c r="AY73" s="72"/>
      <c r="AZ73" s="73"/>
      <c r="BA73" s="72"/>
      <c r="BB73" s="73"/>
      <c r="BC73" s="72"/>
      <c r="BD73" s="72"/>
      <c r="BE73" s="72"/>
    </row>
    <row r="74" spans="20:57" ht="30" customHeight="1">
      <c r="T74" s="91"/>
      <c r="U74" s="91"/>
      <c r="AS74" s="181"/>
      <c r="AT74" s="73"/>
      <c r="AU74" s="72"/>
      <c r="AV74" s="73"/>
      <c r="AW74" s="72"/>
      <c r="AX74" s="73"/>
      <c r="AY74" s="72"/>
      <c r="AZ74" s="73"/>
      <c r="BA74" s="72"/>
      <c r="BB74" s="73"/>
      <c r="BC74" s="72"/>
      <c r="BD74" s="72"/>
      <c r="BE74" s="72"/>
    </row>
    <row r="75" spans="20:57" ht="30" customHeight="1">
      <c r="T75" s="91"/>
      <c r="U75" s="91"/>
      <c r="AS75" s="120"/>
      <c r="AT75" s="120"/>
      <c r="AU75" s="120"/>
      <c r="AV75" s="120"/>
      <c r="AW75" s="120"/>
      <c r="AX75" s="120"/>
      <c r="AY75" s="120"/>
      <c r="AZ75" s="120"/>
      <c r="BA75" s="120"/>
      <c r="BB75" s="120"/>
      <c r="BC75" s="120"/>
      <c r="BD75" s="120"/>
      <c r="BE75" s="120"/>
    </row>
    <row r="76" spans="20:57" ht="26.25" customHeight="1">
      <c r="T76" s="91"/>
      <c r="U76" s="91"/>
      <c r="AS76" s="180"/>
      <c r="AT76" s="73"/>
      <c r="AU76" s="180"/>
      <c r="AV76" s="73"/>
      <c r="AW76" s="180"/>
      <c r="AX76" s="73"/>
      <c r="AY76" s="180"/>
      <c r="AZ76" s="73"/>
      <c r="BA76" s="180"/>
      <c r="BB76" s="73"/>
      <c r="BC76" s="180"/>
      <c r="BD76" s="180"/>
      <c r="BE76" s="180"/>
    </row>
    <row r="77" spans="20:50" ht="13.5">
      <c r="T77" s="91"/>
      <c r="U77" s="91"/>
      <c r="AS77" s="87"/>
      <c r="AT77" s="87"/>
      <c r="AU77" s="87"/>
      <c r="AV77" s="87"/>
      <c r="AW77" s="87"/>
      <c r="AX77" s="87"/>
    </row>
    <row r="78" spans="20:21" ht="11.25">
      <c r="T78" s="91"/>
      <c r="U78" s="91"/>
    </row>
    <row r="79" spans="20:21" ht="11.25">
      <c r="T79" s="91"/>
      <c r="U79" s="91"/>
    </row>
    <row r="80" spans="20:21" ht="11.25">
      <c r="T80" s="91"/>
      <c r="U80" s="91"/>
    </row>
    <row r="81" spans="20:57" ht="13.5">
      <c r="T81" s="91"/>
      <c r="U81" s="91"/>
      <c r="AS81" s="87"/>
      <c r="AT81" s="87"/>
      <c r="AU81" s="87"/>
      <c r="AV81" s="87"/>
      <c r="AW81" s="87"/>
      <c r="AX81" s="87"/>
      <c r="AY81" s="87"/>
      <c r="AZ81" s="87"/>
      <c r="BA81" s="87"/>
      <c r="BB81" s="87"/>
      <c r="BC81" s="99"/>
      <c r="BD81" s="99"/>
      <c r="BE81" s="99"/>
    </row>
    <row r="82" spans="20:57" ht="13.5">
      <c r="T82" s="91"/>
      <c r="U82" s="91"/>
      <c r="AS82" s="87"/>
      <c r="AT82" s="87"/>
      <c r="AU82" s="87"/>
      <c r="AV82" s="87"/>
      <c r="AW82" s="87"/>
      <c r="AX82" s="87"/>
      <c r="AY82" s="87"/>
      <c r="AZ82" s="87"/>
      <c r="BA82" s="87"/>
      <c r="BB82" s="87"/>
      <c r="BC82" s="99"/>
      <c r="BD82" s="99"/>
      <c r="BE82" s="99"/>
    </row>
    <row r="83" spans="18:57" ht="13.5">
      <c r="R83" s="99"/>
      <c r="S83" s="99"/>
      <c r="T83" s="91"/>
      <c r="U83" s="91"/>
      <c r="AS83" s="87"/>
      <c r="AT83" s="87"/>
      <c r="AU83" s="87"/>
      <c r="AV83" s="87"/>
      <c r="AW83" s="87"/>
      <c r="AX83" s="87"/>
      <c r="AY83" s="87"/>
      <c r="AZ83" s="87"/>
      <c r="BA83" s="87"/>
      <c r="BB83" s="87"/>
      <c r="BC83" s="99"/>
      <c r="BD83" s="99"/>
      <c r="BE83" s="99"/>
    </row>
    <row r="84" spans="20:54" ht="13.5">
      <c r="T84" s="91"/>
      <c r="U84" s="91"/>
      <c r="AS84" s="87"/>
      <c r="AT84" s="87"/>
      <c r="AU84" s="87"/>
      <c r="AV84" s="87"/>
      <c r="AW84" s="87"/>
      <c r="AX84" s="87"/>
      <c r="AY84" s="87"/>
      <c r="AZ84" s="87"/>
      <c r="BA84" s="87"/>
      <c r="BB84" s="87"/>
    </row>
    <row r="85" spans="20:52" ht="13.5">
      <c r="T85" s="91"/>
      <c r="U85" s="91"/>
      <c r="AS85" s="87"/>
      <c r="AT85" s="87"/>
      <c r="AU85" s="87"/>
      <c r="AV85" s="87"/>
      <c r="AW85" s="87"/>
      <c r="AX85" s="87"/>
      <c r="AY85" s="87"/>
      <c r="AZ85" s="87"/>
    </row>
    <row r="86" spans="20:52" ht="13.5">
      <c r="T86" s="91"/>
      <c r="U86" s="91"/>
      <c r="AS86" s="87"/>
      <c r="AT86" s="87"/>
      <c r="AU86" s="87"/>
      <c r="AV86" s="87"/>
      <c r="AW86" s="87"/>
      <c r="AX86" s="87"/>
      <c r="AY86" s="87"/>
      <c r="AZ86" s="87"/>
    </row>
    <row r="87" spans="20:52" ht="13.5">
      <c r="T87" s="91"/>
      <c r="U87" s="91"/>
      <c r="AS87" s="87"/>
      <c r="AT87" s="87"/>
      <c r="AU87" s="87"/>
      <c r="AV87" s="87"/>
      <c r="AW87" s="87"/>
      <c r="AX87" s="87"/>
      <c r="AY87" s="87"/>
      <c r="AZ87" s="87"/>
    </row>
    <row r="88" spans="20:52" ht="13.5">
      <c r="T88" s="91"/>
      <c r="U88" s="91"/>
      <c r="AR88" s="180"/>
      <c r="AS88" s="87"/>
      <c r="AT88" s="87"/>
      <c r="AU88" s="87"/>
      <c r="AV88" s="87"/>
      <c r="AW88" s="87"/>
      <c r="AX88" s="87"/>
      <c r="AY88" s="87"/>
      <c r="AZ88" s="87"/>
    </row>
    <row r="89" spans="20:52" ht="13.5">
      <c r="T89" s="91"/>
      <c r="U89" s="91"/>
      <c r="AJ89" s="180"/>
      <c r="AK89" s="180"/>
      <c r="AL89" s="180"/>
      <c r="AM89" s="180"/>
      <c r="AN89" s="180"/>
      <c r="AO89" s="180"/>
      <c r="AP89" s="180"/>
      <c r="AQ89" s="180"/>
      <c r="AR89" s="73"/>
      <c r="AS89" s="87"/>
      <c r="AT89" s="87"/>
      <c r="AU89" s="87"/>
      <c r="AV89" s="87"/>
      <c r="AW89" s="87"/>
      <c r="AX89" s="87"/>
      <c r="AY89" s="87"/>
      <c r="AZ89" s="87"/>
    </row>
    <row r="90" spans="20:53" ht="13.5">
      <c r="T90" s="183"/>
      <c r="U90" s="87"/>
      <c r="V90" s="87"/>
      <c r="AJ90" s="72"/>
      <c r="AK90" s="72"/>
      <c r="AL90" s="72"/>
      <c r="AM90" s="72"/>
      <c r="AN90" s="72"/>
      <c r="AO90" s="72"/>
      <c r="AP90" s="72"/>
      <c r="AQ90" s="72"/>
      <c r="AR90" s="73"/>
      <c r="AS90" s="87"/>
      <c r="AT90" s="87"/>
      <c r="AU90" s="87"/>
      <c r="AV90" s="87"/>
      <c r="AW90" s="87"/>
      <c r="AX90" s="87"/>
      <c r="AY90" s="87"/>
      <c r="AZ90" s="87"/>
      <c r="BA90" s="87"/>
    </row>
    <row r="91" spans="20:53" ht="13.5">
      <c r="T91" s="184"/>
      <c r="U91" s="87"/>
      <c r="V91" s="87"/>
      <c r="W91" s="185"/>
      <c r="X91" s="87"/>
      <c r="Y91" s="87"/>
      <c r="Z91" s="87"/>
      <c r="AA91" s="87"/>
      <c r="AJ91" s="72"/>
      <c r="AK91" s="72"/>
      <c r="AL91" s="72"/>
      <c r="AM91" s="72"/>
      <c r="AN91" s="72"/>
      <c r="AO91" s="72"/>
      <c r="AP91" s="72"/>
      <c r="AQ91" s="72"/>
      <c r="AR91" s="73"/>
      <c r="AS91" s="87"/>
      <c r="AT91" s="87"/>
      <c r="AU91" s="87"/>
      <c r="AV91" s="87"/>
      <c r="AW91" s="87"/>
      <c r="AX91" s="87"/>
      <c r="AY91" s="87"/>
      <c r="AZ91" s="87"/>
      <c r="BA91" s="87"/>
    </row>
    <row r="92" spans="20:53" ht="13.5">
      <c r="T92" s="183"/>
      <c r="U92" s="87"/>
      <c r="V92" s="87"/>
      <c r="W92" s="74"/>
      <c r="X92" s="87"/>
      <c r="Y92" s="87"/>
      <c r="Z92" s="87"/>
      <c r="AA92" s="87"/>
      <c r="AJ92" s="72"/>
      <c r="AK92" s="72"/>
      <c r="AL92" s="72"/>
      <c r="AM92" s="72"/>
      <c r="AN92" s="72"/>
      <c r="AO92" s="72"/>
      <c r="AP92" s="72"/>
      <c r="AQ92" s="72"/>
      <c r="AR92" s="73"/>
      <c r="AS92" s="87"/>
      <c r="AT92" s="87"/>
      <c r="AU92" s="87"/>
      <c r="AV92" s="87"/>
      <c r="AW92" s="87"/>
      <c r="AX92" s="87"/>
      <c r="AY92" s="87"/>
      <c r="AZ92" s="87"/>
      <c r="BA92" s="87"/>
    </row>
    <row r="93" spans="20:53" ht="13.5">
      <c r="T93" s="91"/>
      <c r="U93" s="87"/>
      <c r="V93" s="87"/>
      <c r="W93" s="74"/>
      <c r="X93" s="87"/>
      <c r="Y93" s="87"/>
      <c r="Z93" s="87"/>
      <c r="AA93" s="87"/>
      <c r="AJ93" s="72"/>
      <c r="AK93" s="72"/>
      <c r="AL93" s="72"/>
      <c r="AM93" s="72"/>
      <c r="AN93" s="72"/>
      <c r="AO93" s="72"/>
      <c r="AP93" s="72"/>
      <c r="AQ93" s="72"/>
      <c r="AR93" s="120"/>
      <c r="AS93" s="87"/>
      <c r="AT93" s="87"/>
      <c r="AU93" s="87"/>
      <c r="AV93" s="87"/>
      <c r="AW93" s="87"/>
      <c r="AX93" s="87"/>
      <c r="AY93" s="87"/>
      <c r="AZ93" s="87"/>
      <c r="BA93" s="87"/>
    </row>
    <row r="94" spans="22:56" ht="17.25">
      <c r="V94" s="149"/>
      <c r="X94" s="87"/>
      <c r="Y94" s="87"/>
      <c r="Z94" s="87"/>
      <c r="AA94" s="87"/>
      <c r="AJ94" s="120"/>
      <c r="AK94" s="120"/>
      <c r="AL94" s="120"/>
      <c r="AM94" s="120"/>
      <c r="AN94" s="120"/>
      <c r="AO94" s="120"/>
      <c r="AP94" s="120"/>
      <c r="AQ94" s="120"/>
      <c r="AR94" s="73"/>
      <c r="AS94" s="87"/>
      <c r="AT94" s="87"/>
      <c r="AU94" s="87"/>
      <c r="AV94" s="87"/>
      <c r="AW94" s="87"/>
      <c r="AX94" s="87"/>
      <c r="AY94" s="87"/>
      <c r="AZ94" s="87"/>
      <c r="BA94" s="87"/>
      <c r="BB94" s="87"/>
      <c r="BC94" s="87"/>
      <c r="BD94" s="87"/>
    </row>
    <row r="95" spans="22:56" ht="17.25">
      <c r="V95" s="149"/>
      <c r="X95" s="87"/>
      <c r="Y95" s="87"/>
      <c r="Z95" s="87"/>
      <c r="AA95" s="87"/>
      <c r="AJ95" s="73"/>
      <c r="AK95" s="73"/>
      <c r="AL95" s="180"/>
      <c r="AM95" s="73"/>
      <c r="AN95" s="73"/>
      <c r="AO95" s="180"/>
      <c r="AP95" s="73"/>
      <c r="AQ95" s="73"/>
      <c r="AR95" s="87"/>
      <c r="AS95" s="87"/>
      <c r="AT95" s="87"/>
      <c r="AU95" s="87"/>
      <c r="AV95" s="87"/>
      <c r="AW95" s="87"/>
      <c r="AX95" s="87"/>
      <c r="AY95" s="87"/>
      <c r="AZ95" s="87"/>
      <c r="BA95" s="87"/>
      <c r="BB95" s="87"/>
      <c r="BC95" s="87"/>
      <c r="BD95" s="87"/>
    </row>
    <row r="96" spans="22:56" ht="17.25">
      <c r="V96" s="149"/>
      <c r="AJ96" s="87"/>
      <c r="AK96" s="87"/>
      <c r="AL96" s="87"/>
      <c r="AM96" s="87"/>
      <c r="AN96" s="87"/>
      <c r="AO96" s="87"/>
      <c r="AP96" s="87"/>
      <c r="AQ96" s="87"/>
      <c r="AS96" s="87"/>
      <c r="AT96" s="87"/>
      <c r="AU96" s="87"/>
      <c r="AV96" s="87"/>
      <c r="AW96" s="87"/>
      <c r="AX96" s="87"/>
      <c r="AY96" s="87"/>
      <c r="AZ96" s="87"/>
      <c r="BA96" s="87"/>
      <c r="BB96" s="87"/>
      <c r="BC96" s="87"/>
      <c r="BD96" s="87"/>
    </row>
    <row r="97" spans="22:59" ht="17.25">
      <c r="V97" s="149"/>
      <c r="AS97" s="87"/>
      <c r="AT97" s="87"/>
      <c r="AU97" s="87"/>
      <c r="AV97" s="87"/>
      <c r="AW97" s="87"/>
      <c r="AX97" s="87"/>
      <c r="AY97" s="87"/>
      <c r="AZ97" s="87"/>
      <c r="BA97" s="87"/>
      <c r="BB97" s="87"/>
      <c r="BC97" s="87"/>
      <c r="BD97" s="87"/>
      <c r="BE97" s="87"/>
      <c r="BF97" s="87"/>
      <c r="BG97" s="87"/>
    </row>
    <row r="98" spans="13:55" ht="17.25">
      <c r="M98" s="87"/>
      <c r="N98" s="71"/>
      <c r="O98" s="71"/>
      <c r="P98" s="171"/>
      <c r="Q98" s="171"/>
      <c r="V98" s="149"/>
      <c r="AS98" s="87"/>
      <c r="AT98" s="87"/>
      <c r="AU98" s="87"/>
      <c r="AV98" s="87"/>
      <c r="AW98" s="87"/>
      <c r="AX98" s="87"/>
      <c r="AY98" s="87"/>
      <c r="AZ98" s="87"/>
      <c r="BA98" s="87"/>
      <c r="BB98" s="87"/>
      <c r="BC98" s="87"/>
    </row>
    <row r="99" spans="22:48" ht="17.25">
      <c r="V99" s="149"/>
      <c r="X99" s="87"/>
      <c r="Y99" s="87"/>
      <c r="Z99" s="87"/>
      <c r="AA99" s="87"/>
      <c r="AR99" s="87"/>
      <c r="AS99" s="87"/>
      <c r="AT99" s="87"/>
      <c r="AU99" s="87"/>
      <c r="AV99" s="87"/>
    </row>
    <row r="100" spans="22:44" ht="13.5">
      <c r="V100" s="87"/>
      <c r="W100" s="87"/>
      <c r="AJ100" s="87"/>
      <c r="AK100" s="87"/>
      <c r="AL100" s="87"/>
      <c r="AM100" s="87"/>
      <c r="AN100" s="87"/>
      <c r="AO100" s="87"/>
      <c r="AP100" s="87"/>
      <c r="AQ100" s="87"/>
      <c r="AR100" s="87"/>
    </row>
    <row r="101" spans="12:44" ht="13.5">
      <c r="L101" s="87"/>
      <c r="V101" s="173"/>
      <c r="W101" s="173"/>
      <c r="AJ101" s="87"/>
      <c r="AK101" s="87"/>
      <c r="AL101" s="87"/>
      <c r="AM101" s="87"/>
      <c r="AN101" s="87"/>
      <c r="AO101" s="87"/>
      <c r="AP101" s="87"/>
      <c r="AQ101" s="87"/>
      <c r="AR101" s="87"/>
    </row>
    <row r="102" spans="36:50" ht="13.5">
      <c r="AJ102" s="87"/>
      <c r="AK102" s="87"/>
      <c r="AL102" s="87"/>
      <c r="AM102" s="87"/>
      <c r="AN102" s="87"/>
      <c r="AO102" s="87"/>
      <c r="AP102" s="87"/>
      <c r="AQ102" s="87"/>
      <c r="AR102" s="87"/>
      <c r="AS102" s="87"/>
      <c r="AT102" s="87"/>
      <c r="AU102" s="87"/>
      <c r="AV102" s="87"/>
      <c r="AW102" s="87"/>
      <c r="AX102" s="87"/>
    </row>
    <row r="103" spans="22:44" ht="13.5">
      <c r="V103" s="87"/>
      <c r="W103" s="87"/>
      <c r="X103" s="87"/>
      <c r="Y103" s="87"/>
      <c r="Z103" s="87"/>
      <c r="AA103" s="87"/>
      <c r="AJ103" s="87"/>
      <c r="AK103" s="87"/>
      <c r="AL103" s="87"/>
      <c r="AM103" s="87"/>
      <c r="AN103" s="87"/>
      <c r="AO103" s="87"/>
      <c r="AP103" s="87"/>
      <c r="AQ103" s="87"/>
      <c r="AR103" s="87"/>
    </row>
    <row r="104" spans="22:44" ht="13.5">
      <c r="V104" s="87"/>
      <c r="W104" s="87"/>
      <c r="X104" s="87"/>
      <c r="Y104" s="87"/>
      <c r="Z104" s="87"/>
      <c r="AA104" s="87"/>
      <c r="AJ104" s="87"/>
      <c r="AK104" s="87"/>
      <c r="AL104" s="87"/>
      <c r="AM104" s="87"/>
      <c r="AN104" s="87"/>
      <c r="AO104" s="87"/>
      <c r="AP104" s="87"/>
      <c r="AQ104" s="87"/>
      <c r="AR104" s="87"/>
    </row>
    <row r="105" spans="22:44" ht="13.5">
      <c r="V105" s="87"/>
      <c r="W105" s="87"/>
      <c r="X105" s="87"/>
      <c r="Y105" s="87"/>
      <c r="Z105" s="87"/>
      <c r="AA105" s="87"/>
      <c r="AJ105" s="87"/>
      <c r="AK105" s="87"/>
      <c r="AL105" s="87"/>
      <c r="AM105" s="87"/>
      <c r="AN105" s="87"/>
      <c r="AO105" s="87"/>
      <c r="AP105" s="87"/>
      <c r="AQ105" s="87"/>
      <c r="AR105" s="87"/>
    </row>
    <row r="106" spans="22:44" ht="13.5">
      <c r="V106" s="87"/>
      <c r="W106" s="87"/>
      <c r="X106" s="87"/>
      <c r="Y106" s="87"/>
      <c r="Z106" s="87"/>
      <c r="AA106" s="87"/>
      <c r="AJ106" s="87"/>
      <c r="AK106" s="87"/>
      <c r="AL106" s="87"/>
      <c r="AM106" s="87"/>
      <c r="AN106" s="87"/>
      <c r="AO106" s="87"/>
      <c r="AP106" s="87"/>
      <c r="AQ106" s="87"/>
      <c r="AR106" s="87"/>
    </row>
    <row r="107" spans="22:44" ht="13.5">
      <c r="V107" s="87"/>
      <c r="W107" s="87"/>
      <c r="X107" s="87"/>
      <c r="Y107" s="87"/>
      <c r="Z107" s="87"/>
      <c r="AA107" s="87"/>
      <c r="AJ107" s="87"/>
      <c r="AK107" s="87"/>
      <c r="AL107" s="87"/>
      <c r="AM107" s="87"/>
      <c r="AN107" s="87"/>
      <c r="AO107" s="87"/>
      <c r="AP107" s="87"/>
      <c r="AQ107" s="87"/>
      <c r="AR107" s="87"/>
    </row>
    <row r="108" spans="22:44" ht="13.5">
      <c r="V108" s="87"/>
      <c r="W108" s="87"/>
      <c r="X108" s="87"/>
      <c r="Y108" s="87"/>
      <c r="Z108" s="87"/>
      <c r="AA108" s="87"/>
      <c r="AJ108" s="87"/>
      <c r="AK108" s="87"/>
      <c r="AL108" s="87"/>
      <c r="AM108" s="87"/>
      <c r="AN108" s="87"/>
      <c r="AO108" s="87"/>
      <c r="AP108" s="87"/>
      <c r="AQ108" s="87"/>
      <c r="AR108" s="87"/>
    </row>
    <row r="109" spans="22:44" ht="13.5">
      <c r="V109" s="87"/>
      <c r="W109" s="87"/>
      <c r="X109" s="87"/>
      <c r="Y109" s="87"/>
      <c r="Z109" s="87"/>
      <c r="AA109" s="87"/>
      <c r="AB109" s="87"/>
      <c r="AC109" s="87"/>
      <c r="AD109" s="87"/>
      <c r="AE109" s="87"/>
      <c r="AF109" s="87"/>
      <c r="AG109" s="87"/>
      <c r="AH109" s="87"/>
      <c r="AI109" s="87"/>
      <c r="AJ109" s="87"/>
      <c r="AK109" s="87"/>
      <c r="AL109" s="87"/>
      <c r="AM109" s="87"/>
      <c r="AN109" s="87"/>
      <c r="AO109" s="87"/>
      <c r="AP109" s="87"/>
      <c r="AQ109" s="87"/>
      <c r="AR109" s="87"/>
    </row>
    <row r="110" spans="28:44" ht="13.5">
      <c r="AB110" s="87"/>
      <c r="AC110" s="87"/>
      <c r="AD110" s="87"/>
      <c r="AE110" s="87"/>
      <c r="AF110" s="87"/>
      <c r="AG110" s="87"/>
      <c r="AH110" s="87"/>
      <c r="AI110" s="87"/>
      <c r="AJ110" s="87"/>
      <c r="AK110" s="87"/>
      <c r="AL110" s="87"/>
      <c r="AM110" s="87"/>
      <c r="AN110" s="87"/>
      <c r="AO110" s="87"/>
      <c r="AP110" s="87"/>
      <c r="AQ110" s="87"/>
      <c r="AR110" s="87"/>
    </row>
    <row r="111" spans="28:44" ht="13.5">
      <c r="AB111" s="87"/>
      <c r="AC111" s="87"/>
      <c r="AD111" s="87"/>
      <c r="AE111" s="87"/>
      <c r="AF111" s="87"/>
      <c r="AG111" s="87"/>
      <c r="AH111" s="87"/>
      <c r="AI111" s="87"/>
      <c r="AJ111" s="87"/>
      <c r="AK111" s="87"/>
      <c r="AL111" s="87"/>
      <c r="AM111" s="87"/>
      <c r="AN111" s="87"/>
      <c r="AO111" s="87"/>
      <c r="AP111" s="87"/>
      <c r="AQ111" s="87"/>
      <c r="AR111" s="87"/>
    </row>
    <row r="112" spans="28:44" ht="13.5">
      <c r="AB112" s="87"/>
      <c r="AC112" s="87"/>
      <c r="AD112" s="87"/>
      <c r="AE112" s="87"/>
      <c r="AF112" s="87"/>
      <c r="AG112" s="87"/>
      <c r="AH112" s="87"/>
      <c r="AI112" s="87"/>
      <c r="AJ112" s="87"/>
      <c r="AK112" s="87"/>
      <c r="AL112" s="87"/>
      <c r="AM112" s="87"/>
      <c r="AN112" s="87"/>
      <c r="AO112" s="87"/>
      <c r="AP112" s="87"/>
      <c r="AQ112" s="87"/>
      <c r="AR112" s="87"/>
    </row>
    <row r="113" spans="28:44" ht="13.5">
      <c r="AB113" s="87"/>
      <c r="AC113" s="87"/>
      <c r="AD113" s="87"/>
      <c r="AE113" s="87"/>
      <c r="AF113" s="87"/>
      <c r="AG113" s="87"/>
      <c r="AH113" s="87"/>
      <c r="AI113" s="87"/>
      <c r="AJ113" s="87"/>
      <c r="AK113" s="87"/>
      <c r="AL113" s="87"/>
      <c r="AM113" s="87"/>
      <c r="AN113" s="87"/>
      <c r="AO113" s="87"/>
      <c r="AP113" s="87"/>
      <c r="AQ113" s="87"/>
      <c r="AR113" s="87"/>
    </row>
    <row r="114" spans="28:44" ht="13.5">
      <c r="AB114" s="87"/>
      <c r="AC114" s="87"/>
      <c r="AD114" s="87"/>
      <c r="AE114" s="87"/>
      <c r="AF114" s="87"/>
      <c r="AG114" s="87"/>
      <c r="AH114" s="87"/>
      <c r="AI114" s="87"/>
      <c r="AJ114" s="87"/>
      <c r="AK114" s="87"/>
      <c r="AL114" s="87"/>
      <c r="AM114" s="87"/>
      <c r="AN114" s="87"/>
      <c r="AO114" s="87"/>
      <c r="AP114" s="87"/>
      <c r="AQ114" s="87"/>
      <c r="AR114" s="87"/>
    </row>
    <row r="115" spans="28:44" ht="13.5">
      <c r="AB115" s="87"/>
      <c r="AC115" s="87"/>
      <c r="AD115" s="87"/>
      <c r="AE115" s="87"/>
      <c r="AF115" s="87"/>
      <c r="AG115" s="87"/>
      <c r="AH115" s="87"/>
      <c r="AI115" s="87"/>
      <c r="AJ115" s="87"/>
      <c r="AK115" s="87"/>
      <c r="AL115" s="87"/>
      <c r="AM115" s="87"/>
      <c r="AN115" s="87"/>
      <c r="AO115" s="87"/>
      <c r="AP115" s="87"/>
      <c r="AQ115" s="87"/>
      <c r="AR115" s="87"/>
    </row>
    <row r="116" spans="28:44" ht="13.5">
      <c r="AB116" s="87"/>
      <c r="AC116" s="87"/>
      <c r="AD116" s="87"/>
      <c r="AE116" s="87"/>
      <c r="AF116" s="87"/>
      <c r="AG116" s="87"/>
      <c r="AH116" s="87"/>
      <c r="AI116" s="87"/>
      <c r="AJ116" s="87"/>
      <c r="AK116" s="87"/>
      <c r="AL116" s="87"/>
      <c r="AM116" s="87"/>
      <c r="AN116" s="87"/>
      <c r="AO116" s="87"/>
      <c r="AP116" s="87"/>
      <c r="AQ116" s="87"/>
      <c r="AR116" s="87"/>
    </row>
    <row r="117" spans="20:44" ht="13.5">
      <c r="T117" s="91"/>
      <c r="V117" s="173"/>
      <c r="AB117" s="87"/>
      <c r="AC117" s="87"/>
      <c r="AD117" s="87"/>
      <c r="AE117" s="87"/>
      <c r="AF117" s="87"/>
      <c r="AG117" s="87"/>
      <c r="AH117" s="87"/>
      <c r="AI117" s="87"/>
      <c r="AJ117" s="87"/>
      <c r="AK117" s="87"/>
      <c r="AL117" s="87"/>
      <c r="AM117" s="87"/>
      <c r="AN117" s="87"/>
      <c r="AO117" s="87"/>
      <c r="AP117" s="87"/>
      <c r="AQ117" s="87"/>
      <c r="AR117" s="87"/>
    </row>
    <row r="118" spans="28:43" ht="13.5">
      <c r="AB118" s="87"/>
      <c r="AC118" s="87"/>
      <c r="AD118" s="87"/>
      <c r="AE118" s="87"/>
      <c r="AF118" s="87"/>
      <c r="AG118" s="87"/>
      <c r="AH118" s="87"/>
      <c r="AI118" s="87"/>
      <c r="AJ118" s="87"/>
      <c r="AK118" s="87"/>
      <c r="AL118" s="87"/>
      <c r="AM118" s="87"/>
      <c r="AN118" s="87"/>
      <c r="AO118" s="87"/>
      <c r="AP118" s="87"/>
      <c r="AQ118" s="87"/>
    </row>
    <row r="119" spans="28:43" ht="13.5">
      <c r="AB119" s="87"/>
      <c r="AC119" s="87"/>
      <c r="AD119" s="87"/>
      <c r="AE119" s="87"/>
      <c r="AF119" s="87"/>
      <c r="AG119" s="87"/>
      <c r="AH119" s="87"/>
      <c r="AI119" s="87"/>
      <c r="AJ119" s="87"/>
      <c r="AK119" s="87"/>
      <c r="AL119" s="87"/>
      <c r="AM119" s="87"/>
      <c r="AN119" s="87"/>
      <c r="AO119" s="87"/>
      <c r="AP119" s="87"/>
      <c r="AQ119" s="87"/>
    </row>
    <row r="120" spans="28:44" ht="13.5">
      <c r="AB120" s="87"/>
      <c r="AC120" s="87"/>
      <c r="AD120" s="87"/>
      <c r="AE120" s="87"/>
      <c r="AF120" s="87"/>
      <c r="AG120" s="87"/>
      <c r="AH120" s="87"/>
      <c r="AI120" s="87"/>
      <c r="AJ120" s="87"/>
      <c r="AK120" s="87"/>
      <c r="AL120" s="87"/>
      <c r="AM120" s="87"/>
      <c r="AN120" s="87"/>
      <c r="AO120" s="87"/>
      <c r="AP120" s="87"/>
      <c r="AQ120" s="87"/>
      <c r="AR120" s="87"/>
    </row>
    <row r="121" spans="28:43" ht="13.5">
      <c r="AB121" s="87"/>
      <c r="AC121" s="87"/>
      <c r="AD121" s="87"/>
      <c r="AE121" s="87"/>
      <c r="AF121" s="87"/>
      <c r="AG121" s="87"/>
      <c r="AH121" s="87"/>
      <c r="AI121" s="87"/>
      <c r="AJ121" s="87"/>
      <c r="AK121" s="87"/>
      <c r="AL121" s="87"/>
      <c r="AM121" s="87"/>
      <c r="AN121" s="87"/>
      <c r="AO121" s="87"/>
      <c r="AP121" s="87"/>
      <c r="AQ121" s="87"/>
    </row>
  </sheetData>
  <sheetProtection sheet="1" objects="1" scenarios="1"/>
  <mergeCells count="70">
    <mergeCell ref="B17:C17"/>
    <mergeCell ref="B19:C19"/>
    <mergeCell ref="E5:F5"/>
    <mergeCell ref="O25:O27"/>
    <mergeCell ref="S5:X5"/>
    <mergeCell ref="T6:X7"/>
    <mergeCell ref="T16:X17"/>
    <mergeCell ref="T10:X11"/>
    <mergeCell ref="T8:X9"/>
    <mergeCell ref="T15:X15"/>
    <mergeCell ref="AJ25:AL25"/>
    <mergeCell ref="N6:N7"/>
    <mergeCell ref="T20:X20"/>
    <mergeCell ref="T19:X19"/>
    <mergeCell ref="Z25:Z27"/>
    <mergeCell ref="Y25:Y27"/>
    <mergeCell ref="T14:X14"/>
    <mergeCell ref="T13:X13"/>
    <mergeCell ref="T12:X12"/>
    <mergeCell ref="X25:X27"/>
    <mergeCell ref="O7:Q7"/>
    <mergeCell ref="S6:S7"/>
    <mergeCell ref="N47:P47"/>
    <mergeCell ref="R25:R27"/>
    <mergeCell ref="N53:O53"/>
    <mergeCell ref="AA28:AA37"/>
    <mergeCell ref="AA25:AA27"/>
    <mergeCell ref="N49:P49"/>
    <mergeCell ref="N50:P50"/>
    <mergeCell ref="W25:W27"/>
    <mergeCell ref="B13:C13"/>
    <mergeCell ref="U38:AA38"/>
    <mergeCell ref="T66:T67"/>
    <mergeCell ref="U66:W67"/>
    <mergeCell ref="N48:P48"/>
    <mergeCell ref="N51:P51"/>
    <mergeCell ref="V25:V27"/>
    <mergeCell ref="U25:U27"/>
    <mergeCell ref="T25:T27"/>
    <mergeCell ref="T18:X18"/>
    <mergeCell ref="T62:T63"/>
    <mergeCell ref="N52:O52"/>
    <mergeCell ref="AP25:AR25"/>
    <mergeCell ref="AM25:AO25"/>
    <mergeCell ref="B12:C12"/>
    <mergeCell ref="B14:C14"/>
    <mergeCell ref="B18:C18"/>
    <mergeCell ref="AC25:AC26"/>
    <mergeCell ref="AG25:AI25"/>
    <mergeCell ref="B16:C16"/>
    <mergeCell ref="B15:C15"/>
    <mergeCell ref="B10:C10"/>
    <mergeCell ref="AD25:AF25"/>
    <mergeCell ref="S25:S27"/>
    <mergeCell ref="T21:X21"/>
    <mergeCell ref="T64:T65"/>
    <mergeCell ref="T52:T53"/>
    <mergeCell ref="T54:T55"/>
    <mergeCell ref="T56:T57"/>
    <mergeCell ref="T58:T59"/>
    <mergeCell ref="F21:H21"/>
    <mergeCell ref="B11:C11"/>
    <mergeCell ref="T60:T61"/>
    <mergeCell ref="B20:C20"/>
    <mergeCell ref="E8:F8"/>
    <mergeCell ref="B6:D6"/>
    <mergeCell ref="D7:D9"/>
    <mergeCell ref="E7:F7"/>
    <mergeCell ref="I7:J9"/>
    <mergeCell ref="I10:J10"/>
  </mergeCells>
  <conditionalFormatting sqref="N8:Q9">
    <cfRule type="expression" priority="71" dxfId="0" stopIfTrue="1">
      <formula>$N$9="×"</formula>
    </cfRule>
  </conditionalFormatting>
  <conditionalFormatting sqref="S8:T8 S9">
    <cfRule type="expression" priority="69" dxfId="0" stopIfTrue="1">
      <formula>$S$9="×"</formula>
    </cfRule>
  </conditionalFormatting>
  <conditionalFormatting sqref="H16">
    <cfRule type="expression" priority="61" dxfId="0" stopIfTrue="1">
      <formula>経費明細表!#REF!="×"</formula>
    </cfRule>
  </conditionalFormatting>
  <conditionalFormatting sqref="H18">
    <cfRule type="expression" priority="59" dxfId="0" stopIfTrue="1">
      <formula>経費明細表!#REF!="×"</formula>
    </cfRule>
  </conditionalFormatting>
  <conditionalFormatting sqref="H14">
    <cfRule type="expression" priority="58" dxfId="0" stopIfTrue="1">
      <formula>経費明細表!#REF!="×"</formula>
    </cfRule>
  </conditionalFormatting>
  <conditionalFormatting sqref="H13">
    <cfRule type="expression" priority="57" dxfId="0" stopIfTrue="1">
      <formula>経費明細表!#REF!="×"</formula>
    </cfRule>
  </conditionalFormatting>
  <conditionalFormatting sqref="H19">
    <cfRule type="expression" priority="55" dxfId="0" stopIfTrue="1">
      <formula>経費明細表!#REF!="×"</formula>
    </cfRule>
  </conditionalFormatting>
  <conditionalFormatting sqref="H10">
    <cfRule type="expression" priority="65" dxfId="0" stopIfTrue="1">
      <formula>経費明細表!#REF!="×"</formula>
    </cfRule>
  </conditionalFormatting>
  <conditionalFormatting sqref="H11">
    <cfRule type="expression" priority="64" dxfId="0" stopIfTrue="1">
      <formula>経費明細表!#REF!="×"</formula>
    </cfRule>
  </conditionalFormatting>
  <conditionalFormatting sqref="H15">
    <cfRule type="expression" priority="63" dxfId="0" stopIfTrue="1">
      <formula>経費明細表!#REF!="×"</formula>
    </cfRule>
  </conditionalFormatting>
  <conditionalFormatting sqref="H12">
    <cfRule type="expression" priority="54" dxfId="0" stopIfTrue="1">
      <formula>経費明細表!#REF!="×"</formula>
    </cfRule>
  </conditionalFormatting>
  <conditionalFormatting sqref="S10:T10 S11">
    <cfRule type="expression" priority="52" dxfId="0" stopIfTrue="1">
      <formula>$S$11="×"</formula>
    </cfRule>
  </conditionalFormatting>
  <conditionalFormatting sqref="S14:T15">
    <cfRule type="expression" priority="47" dxfId="0" stopIfTrue="1">
      <formula>$S$15="×"</formula>
    </cfRule>
  </conditionalFormatting>
  <conditionalFormatting sqref="N10:Q11">
    <cfRule type="expression" priority="46" dxfId="0" stopIfTrue="1">
      <formula>$N$11="×"</formula>
    </cfRule>
  </conditionalFormatting>
  <conditionalFormatting sqref="S16:T16 S17">
    <cfRule type="expression" priority="42" dxfId="0" stopIfTrue="1">
      <formula>$S$17="×"</formula>
    </cfRule>
  </conditionalFormatting>
  <conditionalFormatting sqref="S12:T13">
    <cfRule type="expression" priority="39" dxfId="0" stopIfTrue="1">
      <formula>$S$13="×"</formula>
    </cfRule>
    <cfRule type="expression" priority="70" dxfId="0" stopIfTrue="1">
      <formula>$S$13="×"</formula>
    </cfRule>
  </conditionalFormatting>
  <conditionalFormatting sqref="B10:C10 E10:H10">
    <cfRule type="expression" priority="37" dxfId="0" stopIfTrue="1">
      <formula>$S$28="×"</formula>
    </cfRule>
  </conditionalFormatting>
  <conditionalFormatting sqref="B11:C11 E11:H11">
    <cfRule type="expression" priority="36" dxfId="0" stopIfTrue="1">
      <formula>$S$29="×"</formula>
    </cfRule>
  </conditionalFormatting>
  <conditionalFormatting sqref="B15:C15 E15:H15">
    <cfRule type="expression" priority="35" dxfId="0" stopIfTrue="1">
      <formula>$S$33="×"</formula>
    </cfRule>
  </conditionalFormatting>
  <conditionalFormatting sqref="B12:C12 E12:H12">
    <cfRule type="expression" priority="80" dxfId="0" stopIfTrue="1">
      <formula>$S$30="×"</formula>
    </cfRule>
  </conditionalFormatting>
  <conditionalFormatting sqref="B13:C13 E13:H13">
    <cfRule type="expression" priority="97" dxfId="0" stopIfTrue="1">
      <formula>$S$31="×"</formula>
    </cfRule>
  </conditionalFormatting>
  <conditionalFormatting sqref="B14:C14 E14:H14">
    <cfRule type="expression" priority="108" dxfId="0" stopIfTrue="1">
      <formula>$S$32="×"</formula>
    </cfRule>
  </conditionalFormatting>
  <conditionalFormatting sqref="H17">
    <cfRule type="expression" priority="27" dxfId="0" stopIfTrue="1">
      <formula>経費明細表!#REF!="×"</formula>
    </cfRule>
  </conditionalFormatting>
  <conditionalFormatting sqref="S18:T19">
    <cfRule type="expression" priority="24" dxfId="0" stopIfTrue="1">
      <formula>$S$19="×"</formula>
    </cfRule>
  </conditionalFormatting>
  <conditionalFormatting sqref="S20:T21">
    <cfRule type="expression" priority="23" dxfId="0" stopIfTrue="1">
      <formula>$S$21="×"</formula>
    </cfRule>
  </conditionalFormatting>
  <conditionalFormatting sqref="B18:C18 E18:H18">
    <cfRule type="expression" priority="124" dxfId="0" stopIfTrue="1">
      <formula>$S$36="×"</formula>
    </cfRule>
    <cfRule type="expression" priority="125" dxfId="0" stopIfTrue="1">
      <formula>経費明細表!#REF!="×"</formula>
    </cfRule>
  </conditionalFormatting>
  <conditionalFormatting sqref="B19:C19 E19:H19">
    <cfRule type="expression" priority="132" dxfId="0" stopIfTrue="1">
      <formula>$S$37="×"</formula>
    </cfRule>
    <cfRule type="expression" priority="133" dxfId="0" stopIfTrue="1">
      <formula>経費明細表!#REF!="×"</formula>
    </cfRule>
  </conditionalFormatting>
  <conditionalFormatting sqref="B17:C17 E17:H17">
    <cfRule type="expression" priority="138" dxfId="0" stopIfTrue="1">
      <formula>$S$35="×"</formula>
    </cfRule>
    <cfRule type="expression" priority="139" dxfId="0" stopIfTrue="1">
      <formula>経費明細表!#REF!="×"</formula>
    </cfRule>
  </conditionalFormatting>
  <conditionalFormatting sqref="B16:C16 E16:H16">
    <cfRule type="expression" priority="144" dxfId="0" stopIfTrue="1">
      <formula>$S$34="×"</formula>
    </cfRule>
    <cfRule type="expression" priority="145" dxfId="0" stopIfTrue="1">
      <formula>経費明細表!#REF!="×"</formula>
    </cfRule>
  </conditionalFormatting>
  <conditionalFormatting sqref="D10:D19">
    <cfRule type="expression" priority="2" dxfId="0" stopIfTrue="1">
      <formula>$D$20=0</formula>
    </cfRule>
  </conditionalFormatting>
  <conditionalFormatting sqref="H20">
    <cfRule type="expression" priority="1" dxfId="0" stopIfTrue="1">
      <formula>$H$20&gt;$F$21</formula>
    </cfRule>
  </conditionalFormatting>
  <dataValidations count="3">
    <dataValidation allowBlank="1" showInputMessage="1" showErrorMessage="1" imeMode="halfAlpha" sqref="G20 D20"/>
    <dataValidation type="whole" operator="greaterThanOrEqual" allowBlank="1" showInputMessage="1" showErrorMessage="1" errorTitle="0以上の数字を入力して下さい。" imeMode="halfAlpha" sqref="D10:H19 I11:I19">
      <formula1>0</formula1>
    </dataValidation>
    <dataValidation allowBlank="1" showInputMessage="1" showErrorMessage="1" imeMode="hiragana" sqref="G7 E7"/>
  </dataValidations>
  <printOptions/>
  <pageMargins left="0.708661417322835" right="0.31496062992126" top="0.748031496062992" bottom="0.748031496062992" header="0.31496062992126" footer="0.31496062992126"/>
  <pageSetup fitToHeight="1" fitToWidth="1" horizontalDpi="600" verticalDpi="600" orientation="portrait" paperSize="9" scale="56" r:id="rId4"/>
  <drawing r:id="rId3"/>
  <legacyDrawing r:id="rId2"/>
</worksheet>
</file>

<file path=xl/worksheets/sheet5.xml><?xml version="1.0" encoding="utf-8"?>
<worksheet xmlns="http://schemas.openxmlformats.org/spreadsheetml/2006/main" xmlns:r="http://schemas.openxmlformats.org/officeDocument/2006/relationships">
  <sheetPr codeName="Sheet4">
    <tabColor theme="8" tint="0.7999799847602844"/>
    <pageSetUpPr fitToPage="1"/>
  </sheetPr>
  <dimension ref="A2:T28"/>
  <sheetViews>
    <sheetView showGridLines="0" zoomScaleSheetLayoutView="100"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8.421875" style="209" customWidth="1"/>
    <col min="2" max="4" width="3.7109375" style="211" customWidth="1"/>
    <col min="5" max="5" width="16.421875" style="210" customWidth="1"/>
    <col min="6" max="6" width="16.140625" style="1" customWidth="1"/>
    <col min="7" max="7" width="9.140625" style="211" customWidth="1"/>
    <col min="8" max="8" width="6.421875" style="209" customWidth="1"/>
    <col min="9" max="13" width="15.140625" style="211" customWidth="1"/>
    <col min="14" max="14" width="3.8515625" style="209" customWidth="1"/>
    <col min="15" max="15" width="5.28125" style="209" customWidth="1"/>
    <col min="16" max="16" width="2.140625" style="209" customWidth="1"/>
    <col min="17" max="17" width="15.140625" style="211" customWidth="1"/>
    <col min="18" max="18" width="12.7109375" style="212" bestFit="1" customWidth="1"/>
    <col min="19" max="16384" width="9.00390625" style="211" customWidth="1"/>
  </cols>
  <sheetData>
    <row r="2" spans="2:4" ht="13.5">
      <c r="B2" s="559" t="s">
        <v>216</v>
      </c>
      <c r="C2" s="559"/>
      <c r="D2" s="559"/>
    </row>
    <row r="4" spans="1:6" ht="13.5" customHeight="1">
      <c r="A4" s="560" t="s">
        <v>243</v>
      </c>
      <c r="B4" s="560"/>
      <c r="C4" s="560"/>
      <c r="D4" s="560"/>
      <c r="E4" s="560"/>
      <c r="F4" s="209"/>
    </row>
    <row r="5" spans="1:14" ht="13.5" customHeight="1">
      <c r="A5" s="213"/>
      <c r="B5" s="213"/>
      <c r="C5" s="213"/>
      <c r="D5" s="213"/>
      <c r="E5" s="214"/>
      <c r="F5" s="209"/>
      <c r="N5" s="213"/>
    </row>
    <row r="6" spans="1:14" ht="13.5" customHeight="1">
      <c r="A6" s="213"/>
      <c r="B6" s="215" t="s">
        <v>187</v>
      </c>
      <c r="C6" s="216"/>
      <c r="D6" s="217"/>
      <c r="E6" s="218"/>
      <c r="F6" s="554" t="s">
        <v>16</v>
      </c>
      <c r="G6" s="555"/>
      <c r="H6" s="556"/>
      <c r="N6" s="213"/>
    </row>
    <row r="7" spans="1:14" ht="13.5" customHeight="1">
      <c r="A7" s="213"/>
      <c r="B7" s="213"/>
      <c r="C7" s="213"/>
      <c r="D7" s="213"/>
      <c r="E7" s="214"/>
      <c r="F7" s="563" t="s">
        <v>82</v>
      </c>
      <c r="G7" s="564"/>
      <c r="H7" s="565"/>
      <c r="N7" s="213"/>
    </row>
    <row r="8" spans="1:15" ht="13.5" customHeight="1">
      <c r="A8" s="213"/>
      <c r="B8" s="217"/>
      <c r="C8" s="217"/>
      <c r="D8" s="217"/>
      <c r="E8" s="218"/>
      <c r="F8" s="271"/>
      <c r="N8" s="213"/>
      <c r="O8" s="219"/>
    </row>
    <row r="9" spans="1:14" ht="13.5" customHeight="1">
      <c r="A9" s="213"/>
      <c r="B9" s="268"/>
      <c r="C9" s="268"/>
      <c r="D9" s="268"/>
      <c r="E9" s="272"/>
      <c r="F9" s="271"/>
      <c r="I9" s="220" t="s">
        <v>32</v>
      </c>
      <c r="J9" s="1" t="str">
        <f>IF('基本情報入力（使い方）'!$C$12="","",'基本情報入力（使い方）'!$C$12)</f>
        <v>Ｂ金属株式会社</v>
      </c>
      <c r="K9" s="220"/>
      <c r="L9" s="1"/>
      <c r="N9" s="213"/>
    </row>
    <row r="10" spans="1:15" ht="13.5" customHeight="1" thickBot="1">
      <c r="A10" s="213"/>
      <c r="B10" s="268"/>
      <c r="C10" s="268"/>
      <c r="D10" s="268"/>
      <c r="E10" s="272"/>
      <c r="F10" s="271"/>
      <c r="M10" s="220" t="s">
        <v>20</v>
      </c>
      <c r="N10" s="211"/>
      <c r="O10" s="220"/>
    </row>
    <row r="11" spans="1:17" ht="27" customHeight="1">
      <c r="A11" s="561" t="s">
        <v>1</v>
      </c>
      <c r="B11" s="552" t="s">
        <v>2</v>
      </c>
      <c r="C11" s="552"/>
      <c r="D11" s="553"/>
      <c r="E11" s="221" t="s">
        <v>3</v>
      </c>
      <c r="F11" s="222" t="s">
        <v>4</v>
      </c>
      <c r="G11" s="222" t="s">
        <v>5</v>
      </c>
      <c r="H11" s="223" t="s">
        <v>6</v>
      </c>
      <c r="I11" s="222" t="s">
        <v>0</v>
      </c>
      <c r="J11" s="222" t="s">
        <v>0</v>
      </c>
      <c r="K11" s="552" t="s">
        <v>7</v>
      </c>
      <c r="L11" s="553"/>
      <c r="M11" s="223" t="s">
        <v>76</v>
      </c>
      <c r="N11" s="544" t="s">
        <v>1</v>
      </c>
      <c r="O11" s="557" t="s">
        <v>38</v>
      </c>
      <c r="Q11" s="310" t="s">
        <v>230</v>
      </c>
    </row>
    <row r="12" spans="1:17" ht="42" customHeight="1" thickBot="1">
      <c r="A12" s="562"/>
      <c r="B12" s="224" t="s">
        <v>9</v>
      </c>
      <c r="C12" s="224" t="s">
        <v>10</v>
      </c>
      <c r="D12" s="225" t="s">
        <v>11</v>
      </c>
      <c r="E12" s="226"/>
      <c r="F12" s="227"/>
      <c r="G12" s="228"/>
      <c r="H12" s="229"/>
      <c r="I12" s="228" t="s">
        <v>12</v>
      </c>
      <c r="J12" s="228" t="s">
        <v>25</v>
      </c>
      <c r="K12" s="230" t="s">
        <v>13</v>
      </c>
      <c r="L12" s="229" t="s">
        <v>23</v>
      </c>
      <c r="M12" s="229" t="s">
        <v>14</v>
      </c>
      <c r="N12" s="545"/>
      <c r="O12" s="558"/>
      <c r="Q12" s="311" t="s">
        <v>231</v>
      </c>
    </row>
    <row r="13" spans="1:18" ht="61.5" customHeight="1">
      <c r="A13" s="277">
        <v>1</v>
      </c>
      <c r="B13" s="548">
        <v>43008</v>
      </c>
      <c r="C13" s="549"/>
      <c r="D13" s="549"/>
      <c r="E13" s="280" t="s">
        <v>91</v>
      </c>
      <c r="F13" s="281" t="s">
        <v>92</v>
      </c>
      <c r="G13" s="282">
        <v>2</v>
      </c>
      <c r="H13" s="283" t="s">
        <v>93</v>
      </c>
      <c r="I13" s="31">
        <f>IF(J13="","",ROUNDDOWN(J13*(1+O13/100),0))</f>
        <v>2160000</v>
      </c>
      <c r="J13" s="290">
        <v>2000000</v>
      </c>
      <c r="K13" s="31">
        <f>IF(L13="","",ROUNDDOWN(L13*(1+O13/100),0))</f>
        <v>4320000</v>
      </c>
      <c r="L13" s="31">
        <f>IF(OR(J13="",G13=""),"",ROUNDDOWN(J13*G13,0))</f>
        <v>4000000</v>
      </c>
      <c r="M13" s="192">
        <f>L13</f>
        <v>4000000</v>
      </c>
      <c r="N13" s="196">
        <f>IF(A13="","",A13)</f>
        <v>1</v>
      </c>
      <c r="O13" s="292">
        <v>8</v>
      </c>
      <c r="P13" s="211"/>
      <c r="Q13" s="39">
        <f>IF(M13="","",ROUNDDOWN(M13/G13*2/3,0)*G13)</f>
        <v>2666666</v>
      </c>
      <c r="R13" s="211"/>
    </row>
    <row r="14" spans="1:18" ht="61.5" customHeight="1">
      <c r="A14" s="278">
        <v>2</v>
      </c>
      <c r="B14" s="548">
        <v>43008</v>
      </c>
      <c r="C14" s="549"/>
      <c r="D14" s="549"/>
      <c r="E14" s="281" t="s">
        <v>91</v>
      </c>
      <c r="F14" s="281" t="s">
        <v>92</v>
      </c>
      <c r="G14" s="284">
        <v>2</v>
      </c>
      <c r="H14" s="283" t="s">
        <v>93</v>
      </c>
      <c r="I14" s="31">
        <f aca="true" t="shared" si="0" ref="I14:I22">IF(J14="","",ROUNDDOWN(J14*(1+O14/100),0))</f>
        <v>594000</v>
      </c>
      <c r="J14" s="290">
        <v>550000</v>
      </c>
      <c r="K14" s="31">
        <f aca="true" t="shared" si="1" ref="K14:K22">IF(L14="","",ROUNDDOWN(L14*(1+O14/100),0))</f>
        <v>1188000</v>
      </c>
      <c r="L14" s="31">
        <f aca="true" t="shared" si="2" ref="L14:L22">IF(OR(J14="",G14=""),"",ROUNDDOWN(J14*G14,0))</f>
        <v>1100000</v>
      </c>
      <c r="M14" s="192">
        <f aca="true" t="shared" si="3" ref="M14:M22">L14</f>
        <v>1100000</v>
      </c>
      <c r="N14" s="196">
        <f aca="true" t="shared" si="4" ref="N14:N22">IF(A14="","",A14)</f>
        <v>2</v>
      </c>
      <c r="O14" s="292">
        <v>8</v>
      </c>
      <c r="Q14" s="39">
        <f>IF(M14="","",ROUNDDOWN(M14/G14*2/3,0)*G14)</f>
        <v>733332</v>
      </c>
      <c r="R14" s="231"/>
    </row>
    <row r="15" spans="1:18" ht="61.5" customHeight="1">
      <c r="A15" s="277"/>
      <c r="B15" s="548"/>
      <c r="C15" s="549"/>
      <c r="D15" s="549"/>
      <c r="E15" s="285"/>
      <c r="F15" s="285"/>
      <c r="G15" s="282"/>
      <c r="H15" s="283"/>
      <c r="I15" s="31">
        <f t="shared" si="0"/>
      </c>
      <c r="J15" s="290"/>
      <c r="K15" s="31">
        <f t="shared" si="1"/>
      </c>
      <c r="L15" s="31">
        <f t="shared" si="2"/>
      </c>
      <c r="M15" s="32">
        <f t="shared" si="3"/>
      </c>
      <c r="N15" s="196">
        <f t="shared" si="4"/>
      </c>
      <c r="O15" s="292">
        <v>8</v>
      </c>
      <c r="P15" s="212"/>
      <c r="Q15" s="39">
        <f>IF(M15="","",ROUNDDOWN(M15/G15*2/3,0)*G15)</f>
      </c>
      <c r="R15" s="231"/>
    </row>
    <row r="16" spans="1:18" s="232" customFormat="1" ht="61.5" customHeight="1">
      <c r="A16" s="278"/>
      <c r="B16" s="548"/>
      <c r="C16" s="549"/>
      <c r="D16" s="549"/>
      <c r="E16" s="285"/>
      <c r="F16" s="285"/>
      <c r="G16" s="282"/>
      <c r="H16" s="283"/>
      <c r="I16" s="31">
        <f t="shared" si="0"/>
      </c>
      <c r="J16" s="290"/>
      <c r="K16" s="31">
        <f t="shared" si="1"/>
      </c>
      <c r="L16" s="31">
        <f t="shared" si="2"/>
      </c>
      <c r="M16" s="32">
        <f t="shared" si="3"/>
      </c>
      <c r="N16" s="196">
        <f t="shared" si="4"/>
      </c>
      <c r="O16" s="292">
        <v>8</v>
      </c>
      <c r="P16" s="212"/>
      <c r="Q16" s="39">
        <f>IF(M16="","",ROUNDDOWN(M16/G16*2/3,0)*G16)</f>
      </c>
      <c r="R16" s="231"/>
    </row>
    <row r="17" spans="1:18" ht="61.5" customHeight="1">
      <c r="A17" s="277"/>
      <c r="B17" s="548"/>
      <c r="C17" s="549"/>
      <c r="D17" s="549"/>
      <c r="E17" s="285"/>
      <c r="F17" s="285"/>
      <c r="G17" s="282"/>
      <c r="H17" s="283"/>
      <c r="I17" s="31">
        <f t="shared" si="0"/>
      </c>
      <c r="J17" s="290"/>
      <c r="K17" s="31">
        <f t="shared" si="1"/>
      </c>
      <c r="L17" s="31">
        <f t="shared" si="2"/>
      </c>
      <c r="M17" s="32">
        <f t="shared" si="3"/>
      </c>
      <c r="N17" s="196">
        <f t="shared" si="4"/>
      </c>
      <c r="O17" s="292">
        <v>8</v>
      </c>
      <c r="P17" s="212"/>
      <c r="Q17" s="39">
        <f aca="true" t="shared" si="5" ref="Q17:Q22">IF(M17="","",ROUNDDOWN(M17/G17*2/3,0)*G17)</f>
      </c>
      <c r="R17" s="231"/>
    </row>
    <row r="18" spans="1:17" ht="61.5" customHeight="1">
      <c r="A18" s="278"/>
      <c r="B18" s="548"/>
      <c r="C18" s="549"/>
      <c r="D18" s="549"/>
      <c r="E18" s="285"/>
      <c r="F18" s="285"/>
      <c r="G18" s="282"/>
      <c r="H18" s="283"/>
      <c r="I18" s="31">
        <f t="shared" si="0"/>
      </c>
      <c r="J18" s="290"/>
      <c r="K18" s="31">
        <f t="shared" si="1"/>
      </c>
      <c r="L18" s="31">
        <f t="shared" si="2"/>
      </c>
      <c r="M18" s="32">
        <f t="shared" si="3"/>
      </c>
      <c r="N18" s="196">
        <f t="shared" si="4"/>
      </c>
      <c r="O18" s="292">
        <v>8</v>
      </c>
      <c r="P18" s="212"/>
      <c r="Q18" s="39">
        <f t="shared" si="5"/>
      </c>
    </row>
    <row r="19" spans="1:17" ht="61.5" customHeight="1">
      <c r="A19" s="277"/>
      <c r="B19" s="548"/>
      <c r="C19" s="549"/>
      <c r="D19" s="549"/>
      <c r="E19" s="285"/>
      <c r="F19" s="286"/>
      <c r="G19" s="282"/>
      <c r="H19" s="283"/>
      <c r="I19" s="31">
        <f t="shared" si="0"/>
      </c>
      <c r="J19" s="290"/>
      <c r="K19" s="31">
        <f t="shared" si="1"/>
      </c>
      <c r="L19" s="31">
        <f t="shared" si="2"/>
      </c>
      <c r="M19" s="32">
        <f t="shared" si="3"/>
      </c>
      <c r="N19" s="196">
        <f t="shared" si="4"/>
      </c>
      <c r="O19" s="292">
        <v>8</v>
      </c>
      <c r="P19" s="212"/>
      <c r="Q19" s="39">
        <f t="shared" si="5"/>
      </c>
    </row>
    <row r="20" spans="1:18" s="232" customFormat="1" ht="61.5" customHeight="1">
      <c r="A20" s="278"/>
      <c r="B20" s="548"/>
      <c r="C20" s="549"/>
      <c r="D20" s="549"/>
      <c r="E20" s="285"/>
      <c r="F20" s="285"/>
      <c r="G20" s="282"/>
      <c r="H20" s="283"/>
      <c r="I20" s="31">
        <f t="shared" si="0"/>
      </c>
      <c r="J20" s="290"/>
      <c r="K20" s="31">
        <f t="shared" si="1"/>
      </c>
      <c r="L20" s="31">
        <f t="shared" si="2"/>
      </c>
      <c r="M20" s="32">
        <f t="shared" si="3"/>
      </c>
      <c r="N20" s="197">
        <f t="shared" si="4"/>
      </c>
      <c r="O20" s="292">
        <v>8</v>
      </c>
      <c r="P20" s="233"/>
      <c r="Q20" s="39">
        <f t="shared" si="5"/>
      </c>
      <c r="R20" s="234"/>
    </row>
    <row r="21" spans="1:17" ht="61.5" customHeight="1">
      <c r="A21" s="277"/>
      <c r="B21" s="548"/>
      <c r="C21" s="549"/>
      <c r="D21" s="549"/>
      <c r="E21" s="285"/>
      <c r="F21" s="285"/>
      <c r="G21" s="282"/>
      <c r="H21" s="283"/>
      <c r="I21" s="31">
        <f t="shared" si="0"/>
      </c>
      <c r="J21" s="290"/>
      <c r="K21" s="31">
        <f t="shared" si="1"/>
      </c>
      <c r="L21" s="31">
        <f t="shared" si="2"/>
      </c>
      <c r="M21" s="32">
        <f t="shared" si="3"/>
      </c>
      <c r="N21" s="196">
        <f t="shared" si="4"/>
      </c>
      <c r="O21" s="292">
        <v>8</v>
      </c>
      <c r="Q21" s="39">
        <f t="shared" si="5"/>
      </c>
    </row>
    <row r="22" spans="1:17" ht="61.5" customHeight="1" thickBot="1">
      <c r="A22" s="279"/>
      <c r="B22" s="550"/>
      <c r="C22" s="551"/>
      <c r="D22" s="551"/>
      <c r="E22" s="287"/>
      <c r="F22" s="287"/>
      <c r="G22" s="288"/>
      <c r="H22" s="289"/>
      <c r="I22" s="33">
        <f t="shared" si="0"/>
      </c>
      <c r="J22" s="291"/>
      <c r="K22" s="33">
        <f t="shared" si="1"/>
      </c>
      <c r="L22" s="33">
        <f t="shared" si="2"/>
      </c>
      <c r="M22" s="33">
        <f t="shared" si="3"/>
      </c>
      <c r="N22" s="198">
        <f t="shared" si="4"/>
      </c>
      <c r="O22" s="293">
        <v>8</v>
      </c>
      <c r="Q22" s="39">
        <f t="shared" si="5"/>
      </c>
    </row>
    <row r="23" spans="1:18" ht="21" customHeight="1" thickBot="1">
      <c r="A23" s="546" t="s">
        <v>15</v>
      </c>
      <c r="B23" s="547"/>
      <c r="C23" s="547"/>
      <c r="D23" s="547"/>
      <c r="E23" s="547"/>
      <c r="F23" s="547"/>
      <c r="G23" s="547"/>
      <c r="H23" s="547"/>
      <c r="I23" s="547"/>
      <c r="J23" s="235"/>
      <c r="K23" s="30">
        <f>SUM(K13:K22)</f>
        <v>5508000</v>
      </c>
      <c r="L23" s="30">
        <f>SUM(L13:L22)</f>
        <v>5100000</v>
      </c>
      <c r="M23" s="194">
        <f>SUM(M13:M22)</f>
        <v>5100000</v>
      </c>
      <c r="N23" s="236"/>
      <c r="Q23" s="38">
        <f>SUM(Q13:Q22)</f>
        <v>3399998</v>
      </c>
      <c r="R23" s="237"/>
    </row>
    <row r="24" spans="1:20" ht="13.5" customHeight="1">
      <c r="A24" s="213"/>
      <c r="L24" s="238"/>
      <c r="M24" s="239"/>
      <c r="N24" s="213"/>
      <c r="Q24" s="267"/>
      <c r="R24" s="240"/>
      <c r="S24" s="268"/>
      <c r="T24" s="268"/>
    </row>
    <row r="25" spans="2:20" ht="13.5" customHeight="1">
      <c r="B25" s="211" t="s">
        <v>17</v>
      </c>
      <c r="D25" s="241"/>
      <c r="E25" s="1" t="s">
        <v>33</v>
      </c>
      <c r="H25" s="211"/>
      <c r="M25" s="242"/>
      <c r="N25" s="213"/>
      <c r="Q25" s="242"/>
      <c r="R25" s="240"/>
      <c r="S25" s="268"/>
      <c r="T25" s="268"/>
    </row>
    <row r="26" spans="1:20" s="1" customFormat="1" ht="13.5" customHeight="1">
      <c r="A26" s="209"/>
      <c r="B26" s="211" t="s">
        <v>18</v>
      </c>
      <c r="C26" s="211"/>
      <c r="D26" s="211"/>
      <c r="E26" s="1" t="s">
        <v>34</v>
      </c>
      <c r="G26" s="211"/>
      <c r="H26" s="211"/>
      <c r="I26" s="211"/>
      <c r="J26" s="211"/>
      <c r="K26" s="211"/>
      <c r="L26" s="211"/>
      <c r="M26" s="242"/>
      <c r="N26" s="209"/>
      <c r="O26" s="209"/>
      <c r="P26" s="209"/>
      <c r="Q26" s="242"/>
      <c r="R26" s="269"/>
      <c r="S26" s="270"/>
      <c r="T26" s="270"/>
    </row>
    <row r="27" spans="1:18" s="1" customFormat="1" ht="13.5" customHeight="1">
      <c r="A27" s="209"/>
      <c r="B27" s="211" t="s">
        <v>19</v>
      </c>
      <c r="C27" s="211"/>
      <c r="D27" s="211"/>
      <c r="E27" s="1" t="s">
        <v>35</v>
      </c>
      <c r="G27" s="211"/>
      <c r="H27" s="211"/>
      <c r="I27" s="211"/>
      <c r="J27" s="211"/>
      <c r="K27" s="211"/>
      <c r="L27" s="211"/>
      <c r="M27" s="242"/>
      <c r="N27" s="209"/>
      <c r="O27" s="209"/>
      <c r="P27" s="209"/>
      <c r="Q27" s="242"/>
      <c r="R27" s="243"/>
    </row>
    <row r="28" spans="13:17" ht="13.5">
      <c r="M28" s="244"/>
      <c r="Q28" s="244"/>
    </row>
  </sheetData>
  <sheetProtection sheet="1" objects="1" scenarios="1"/>
  <mergeCells count="20">
    <mergeCell ref="K11:L11"/>
    <mergeCell ref="F6:H6"/>
    <mergeCell ref="B14:D14"/>
    <mergeCell ref="B15:D15"/>
    <mergeCell ref="O11:O12"/>
    <mergeCell ref="B2:D2"/>
    <mergeCell ref="A4:E4"/>
    <mergeCell ref="A11:A12"/>
    <mergeCell ref="B11:D11"/>
    <mergeCell ref="F7:H7"/>
    <mergeCell ref="N11:N12"/>
    <mergeCell ref="A23:I23"/>
    <mergeCell ref="B18:D18"/>
    <mergeCell ref="B19:D19"/>
    <mergeCell ref="B20:D20"/>
    <mergeCell ref="B21:D21"/>
    <mergeCell ref="B13:D13"/>
    <mergeCell ref="B22:D22"/>
    <mergeCell ref="B16:D16"/>
    <mergeCell ref="B17:D17"/>
  </mergeCells>
  <dataValidations count="5">
    <dataValidation allowBlank="1" showInputMessage="1" showErrorMessage="1" imeMode="halfAlpha" sqref="Q13:Q22 M13:M23 I13:I22 K13:L22"/>
    <dataValidation type="list" allowBlank="1" showInputMessage="1" showErrorMessage="1" sqref="P18:P19 P15:P16">
      <formula1>$Q$12:$Q$14</formula1>
    </dataValidation>
    <dataValidation type="list" allowBlank="1" showInputMessage="1" showErrorMessage="1" sqref="P20:P22">
      <formula1>$Q$12:$Q$13</formula1>
    </dataValidation>
    <dataValidation allowBlank="1" showInputMessage="1" showErrorMessage="1" imeMode="hiragana" sqref="L9 J9"/>
    <dataValidation type="whole" operator="greaterThanOrEqual" allowBlank="1" showInputMessage="1" showErrorMessage="1" error="単価には50万円以上の金額を入力してください。" imeMode="halfAlpha" sqref="J13:J22">
      <formula1>500000</formula1>
    </dataValidation>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51" r:id="rId1"/>
</worksheet>
</file>

<file path=xl/worksheets/sheet6.xml><?xml version="1.0" encoding="utf-8"?>
<worksheet xmlns="http://schemas.openxmlformats.org/spreadsheetml/2006/main" xmlns:r="http://schemas.openxmlformats.org/officeDocument/2006/relationships">
  <sheetPr codeName="Sheet29">
    <tabColor theme="8" tint="0.7999799847602844"/>
    <pageSetUpPr fitToPage="1"/>
  </sheetPr>
  <dimension ref="A2:R28"/>
  <sheetViews>
    <sheetView showGridLines="0" zoomScaleSheetLayoutView="100" zoomScalePageLayoutView="0" workbookViewId="0" topLeftCell="A1">
      <pane ySplit="3" topLeftCell="A4" activePane="bottomLeft" state="frozen"/>
      <selection pane="topLeft" activeCell="B13" sqref="B13:D22"/>
      <selection pane="bottomLeft" activeCell="A1" sqref="A1"/>
    </sheetView>
  </sheetViews>
  <sheetFormatPr defaultColWidth="9.140625" defaultRowHeight="15"/>
  <cols>
    <col min="1" max="1" width="8.421875" style="209" customWidth="1"/>
    <col min="2" max="4" width="3.7109375" style="211" customWidth="1"/>
    <col min="5" max="5" width="16.421875" style="210" customWidth="1"/>
    <col min="6" max="6" width="16.140625" style="1" customWidth="1"/>
    <col min="7" max="7" width="9.140625" style="211" customWidth="1"/>
    <col min="8" max="8" width="6.421875" style="209" customWidth="1"/>
    <col min="9" max="13" width="15.140625" style="211" customWidth="1"/>
    <col min="14" max="14" width="3.8515625" style="209" customWidth="1"/>
    <col min="15" max="15" width="5.28125" style="209" customWidth="1"/>
    <col min="16" max="16" width="2.140625" style="209" customWidth="1"/>
    <col min="17" max="17" width="15.140625" style="211" customWidth="1"/>
    <col min="18" max="18" width="12.7109375" style="212" bestFit="1" customWidth="1"/>
    <col min="19" max="16384" width="9.00390625" style="211" customWidth="1"/>
  </cols>
  <sheetData>
    <row r="1" ht="13.5"/>
    <row r="2" spans="2:4" ht="13.5">
      <c r="B2" s="559" t="s">
        <v>216</v>
      </c>
      <c r="C2" s="559"/>
      <c r="D2" s="559"/>
    </row>
    <row r="3" ht="13.5"/>
    <row r="4" spans="1:6" ht="13.5" customHeight="1">
      <c r="A4" s="560" t="s">
        <v>243</v>
      </c>
      <c r="B4" s="560"/>
      <c r="C4" s="560"/>
      <c r="D4" s="560"/>
      <c r="E4" s="560"/>
      <c r="F4" s="209"/>
    </row>
    <row r="5" spans="1:14" ht="13.5" customHeight="1">
      <c r="A5" s="213"/>
      <c r="B5" s="213"/>
      <c r="C5" s="213"/>
      <c r="D5" s="213"/>
      <c r="E5" s="214"/>
      <c r="F5" s="209"/>
      <c r="N5" s="213"/>
    </row>
    <row r="6" spans="1:14" ht="13.5" customHeight="1">
      <c r="A6" s="213"/>
      <c r="B6" s="215" t="s">
        <v>161</v>
      </c>
      <c r="C6" s="216"/>
      <c r="D6" s="217"/>
      <c r="E6" s="218"/>
      <c r="F6" s="554" t="s">
        <v>16</v>
      </c>
      <c r="G6" s="555"/>
      <c r="H6" s="556"/>
      <c r="N6" s="213"/>
    </row>
    <row r="7" spans="1:14" ht="13.5" customHeight="1">
      <c r="A7" s="213"/>
      <c r="B7" s="213"/>
      <c r="C7" s="213"/>
      <c r="D7" s="213"/>
      <c r="E7" s="214"/>
      <c r="F7" s="563" t="s">
        <v>83</v>
      </c>
      <c r="G7" s="564"/>
      <c r="H7" s="565"/>
      <c r="N7" s="213"/>
    </row>
    <row r="8" spans="1:15" ht="13.5" customHeight="1">
      <c r="A8" s="213"/>
      <c r="B8" s="213"/>
      <c r="C8" s="213"/>
      <c r="D8" s="213"/>
      <c r="E8" s="214"/>
      <c r="F8" s="209"/>
      <c r="N8" s="213"/>
      <c r="O8" s="219"/>
    </row>
    <row r="9" spans="1:14" ht="13.5" customHeight="1">
      <c r="A9" s="213"/>
      <c r="F9" s="209"/>
      <c r="I9" s="220" t="s">
        <v>32</v>
      </c>
      <c r="J9" s="1" t="str">
        <f>IF('基本情報入力（使い方）'!$C$12="","",'基本情報入力（使い方）'!$C$12)</f>
        <v>Ｂ金属株式会社</v>
      </c>
      <c r="K9" s="220"/>
      <c r="L9" s="1"/>
      <c r="N9" s="213"/>
    </row>
    <row r="10" spans="1:15" ht="13.5" customHeight="1" thickBot="1">
      <c r="A10" s="213"/>
      <c r="F10" s="209"/>
      <c r="M10" s="220" t="s">
        <v>20</v>
      </c>
      <c r="N10" s="211"/>
      <c r="O10" s="220"/>
    </row>
    <row r="11" spans="1:17" ht="27" customHeight="1">
      <c r="A11" s="544" t="s">
        <v>1</v>
      </c>
      <c r="B11" s="552" t="s">
        <v>2</v>
      </c>
      <c r="C11" s="552"/>
      <c r="D11" s="553"/>
      <c r="E11" s="221" t="s">
        <v>3</v>
      </c>
      <c r="F11" s="222" t="s">
        <v>4</v>
      </c>
      <c r="G11" s="222" t="s">
        <v>5</v>
      </c>
      <c r="H11" s="223" t="s">
        <v>6</v>
      </c>
      <c r="I11" s="222" t="s">
        <v>0</v>
      </c>
      <c r="J11" s="222" t="s">
        <v>0</v>
      </c>
      <c r="K11" s="552" t="s">
        <v>7</v>
      </c>
      <c r="L11" s="553"/>
      <c r="M11" s="223" t="s">
        <v>8</v>
      </c>
      <c r="N11" s="544" t="s">
        <v>1</v>
      </c>
      <c r="O11" s="568" t="s">
        <v>38</v>
      </c>
      <c r="Q11" s="310" t="s">
        <v>230</v>
      </c>
    </row>
    <row r="12" spans="1:17" ht="42" customHeight="1" thickBot="1">
      <c r="A12" s="545"/>
      <c r="B12" s="224" t="s">
        <v>9</v>
      </c>
      <c r="C12" s="224" t="s">
        <v>10</v>
      </c>
      <c r="D12" s="225" t="s">
        <v>11</v>
      </c>
      <c r="E12" s="226"/>
      <c r="F12" s="227"/>
      <c r="G12" s="228"/>
      <c r="H12" s="229"/>
      <c r="I12" s="228" t="s">
        <v>12</v>
      </c>
      <c r="J12" s="228" t="s">
        <v>25</v>
      </c>
      <c r="K12" s="230" t="s">
        <v>13</v>
      </c>
      <c r="L12" s="229" t="s">
        <v>23</v>
      </c>
      <c r="M12" s="229" t="s">
        <v>14</v>
      </c>
      <c r="N12" s="545"/>
      <c r="O12" s="569"/>
      <c r="Q12" s="311" t="s">
        <v>231</v>
      </c>
    </row>
    <row r="13" spans="1:18" ht="61.5" customHeight="1">
      <c r="A13" s="294">
        <v>3</v>
      </c>
      <c r="B13" s="570">
        <v>43023</v>
      </c>
      <c r="C13" s="571"/>
      <c r="D13" s="571"/>
      <c r="E13" s="280" t="s">
        <v>94</v>
      </c>
      <c r="F13" s="280" t="s">
        <v>95</v>
      </c>
      <c r="G13" s="295">
        <v>2</v>
      </c>
      <c r="H13" s="296" t="s">
        <v>93</v>
      </c>
      <c r="I13" s="35">
        <f aca="true" t="shared" si="0" ref="I13:I22">IF(J13="","",ROUNDDOWN(J13*(1+O13/100),0))</f>
        <v>432000</v>
      </c>
      <c r="J13" s="298">
        <v>400000</v>
      </c>
      <c r="K13" s="35">
        <f>IF(L13="","",ROUNDDOWN(L13*(1+O13/100),0))</f>
        <v>864000</v>
      </c>
      <c r="L13" s="35">
        <f>IF(OR(J13="",G13=""),"",ROUNDDOWN(J13*G13,0))</f>
        <v>800000</v>
      </c>
      <c r="M13" s="192">
        <f>L13</f>
        <v>800000</v>
      </c>
      <c r="N13" s="196">
        <f aca="true" t="shared" si="1" ref="N13:N22">IF(A13="","",A13)</f>
        <v>3</v>
      </c>
      <c r="O13" s="300">
        <v>8</v>
      </c>
      <c r="P13" s="211"/>
      <c r="Q13" s="39">
        <f>IF(M13="","",ROUNDDOWN(M13/G13*2/3,0)*G13)</f>
        <v>533332</v>
      </c>
      <c r="R13" s="211"/>
    </row>
    <row r="14" spans="1:18" ht="61.5" customHeight="1">
      <c r="A14" s="278">
        <v>4</v>
      </c>
      <c r="B14" s="566">
        <v>43039</v>
      </c>
      <c r="C14" s="567"/>
      <c r="D14" s="567"/>
      <c r="E14" s="285" t="s">
        <v>96</v>
      </c>
      <c r="F14" s="285" t="s">
        <v>97</v>
      </c>
      <c r="G14" s="284">
        <v>1</v>
      </c>
      <c r="H14" s="297" t="s">
        <v>93</v>
      </c>
      <c r="I14" s="32">
        <f t="shared" si="0"/>
        <v>432000</v>
      </c>
      <c r="J14" s="299">
        <v>400000</v>
      </c>
      <c r="K14" s="32">
        <f aca="true" t="shared" si="2" ref="K14:K22">IF(L14="","",ROUNDDOWN(L14*(1+O14/100),0))</f>
        <v>432000</v>
      </c>
      <c r="L14" s="32">
        <f aca="true" t="shared" si="3" ref="L14:L22">IF(OR(J14="",G14=""),"",ROUNDDOWN(J14*G14,0))</f>
        <v>400000</v>
      </c>
      <c r="M14" s="192">
        <f aca="true" t="shared" si="4" ref="M14:M22">L14</f>
        <v>400000</v>
      </c>
      <c r="N14" s="196">
        <f t="shared" si="1"/>
        <v>4</v>
      </c>
      <c r="O14" s="301">
        <v>8</v>
      </c>
      <c r="Q14" s="39">
        <f>IF(M14="","",ROUNDDOWN(M14/G14*2/3,0)*G14)</f>
        <v>266666</v>
      </c>
      <c r="R14" s="231"/>
    </row>
    <row r="15" spans="1:18" ht="61.5" customHeight="1">
      <c r="A15" s="278">
        <v>5</v>
      </c>
      <c r="B15" s="566">
        <v>43069</v>
      </c>
      <c r="C15" s="567"/>
      <c r="D15" s="567"/>
      <c r="E15" s="285" t="s">
        <v>96</v>
      </c>
      <c r="F15" s="285" t="s">
        <v>98</v>
      </c>
      <c r="G15" s="284">
        <v>1</v>
      </c>
      <c r="H15" s="297" t="s">
        <v>93</v>
      </c>
      <c r="I15" s="32">
        <f t="shared" si="0"/>
        <v>432000</v>
      </c>
      <c r="J15" s="299">
        <v>400000</v>
      </c>
      <c r="K15" s="32">
        <f t="shared" si="2"/>
        <v>432000</v>
      </c>
      <c r="L15" s="32">
        <f t="shared" si="3"/>
        <v>400000</v>
      </c>
      <c r="M15" s="32">
        <f t="shared" si="4"/>
        <v>400000</v>
      </c>
      <c r="N15" s="196">
        <f t="shared" si="1"/>
        <v>5</v>
      </c>
      <c r="O15" s="301">
        <v>8</v>
      </c>
      <c r="P15" s="212"/>
      <c r="Q15" s="39">
        <f>IF(M15="","",ROUNDDOWN(M15/G15*2/3,0)*G15)</f>
        <v>266666</v>
      </c>
      <c r="R15" s="231"/>
    </row>
    <row r="16" spans="1:18" s="232" customFormat="1" ht="61.5" customHeight="1">
      <c r="A16" s="278">
        <v>6</v>
      </c>
      <c r="B16" s="566">
        <v>43008</v>
      </c>
      <c r="C16" s="567"/>
      <c r="D16" s="567"/>
      <c r="E16" s="285" t="s">
        <v>96</v>
      </c>
      <c r="F16" s="285" t="s">
        <v>99</v>
      </c>
      <c r="G16" s="284">
        <v>1</v>
      </c>
      <c r="H16" s="297" t="s">
        <v>93</v>
      </c>
      <c r="I16" s="32">
        <f t="shared" si="0"/>
        <v>432000</v>
      </c>
      <c r="J16" s="299">
        <v>400000</v>
      </c>
      <c r="K16" s="32">
        <f t="shared" si="2"/>
        <v>432000</v>
      </c>
      <c r="L16" s="32">
        <f t="shared" si="3"/>
        <v>400000</v>
      </c>
      <c r="M16" s="32">
        <f t="shared" si="4"/>
        <v>400000</v>
      </c>
      <c r="N16" s="196">
        <f t="shared" si="1"/>
        <v>6</v>
      </c>
      <c r="O16" s="301">
        <v>8</v>
      </c>
      <c r="P16" s="212"/>
      <c r="Q16" s="39">
        <f>IF(M16="","",ROUNDDOWN(M16/G16*2/3,0)*G16)</f>
        <v>266666</v>
      </c>
      <c r="R16" s="231"/>
    </row>
    <row r="17" spans="1:18" ht="61.5" customHeight="1">
      <c r="A17" s="278">
        <v>7</v>
      </c>
      <c r="B17" s="566">
        <v>43023</v>
      </c>
      <c r="C17" s="567"/>
      <c r="D17" s="567"/>
      <c r="E17" s="285" t="s">
        <v>96</v>
      </c>
      <c r="F17" s="285" t="s">
        <v>100</v>
      </c>
      <c r="G17" s="284">
        <v>1</v>
      </c>
      <c r="H17" s="297" t="s">
        <v>93</v>
      </c>
      <c r="I17" s="32">
        <f t="shared" si="0"/>
        <v>432000</v>
      </c>
      <c r="J17" s="299">
        <v>400000</v>
      </c>
      <c r="K17" s="32">
        <f t="shared" si="2"/>
        <v>432000</v>
      </c>
      <c r="L17" s="32">
        <f t="shared" si="3"/>
        <v>400000</v>
      </c>
      <c r="M17" s="32">
        <f t="shared" si="4"/>
        <v>400000</v>
      </c>
      <c r="N17" s="196">
        <f t="shared" si="1"/>
        <v>7</v>
      </c>
      <c r="O17" s="301">
        <v>8</v>
      </c>
      <c r="P17" s="212"/>
      <c r="Q17" s="39">
        <f aca="true" t="shared" si="5" ref="Q17:Q22">IF(M17="","",ROUNDDOWN(M17/G17*2/3,0)*G17)</f>
        <v>266666</v>
      </c>
      <c r="R17" s="231"/>
    </row>
    <row r="18" spans="1:17" ht="61.5" customHeight="1">
      <c r="A18" s="278">
        <v>8</v>
      </c>
      <c r="B18" s="566">
        <v>43008</v>
      </c>
      <c r="C18" s="567"/>
      <c r="D18" s="567"/>
      <c r="E18" s="285" t="s">
        <v>96</v>
      </c>
      <c r="F18" s="285" t="s">
        <v>101</v>
      </c>
      <c r="G18" s="284">
        <v>1</v>
      </c>
      <c r="H18" s="297" t="s">
        <v>93</v>
      </c>
      <c r="I18" s="32">
        <f t="shared" si="0"/>
        <v>432000</v>
      </c>
      <c r="J18" s="299">
        <v>400000</v>
      </c>
      <c r="K18" s="32">
        <f t="shared" si="2"/>
        <v>432000</v>
      </c>
      <c r="L18" s="32">
        <f t="shared" si="3"/>
        <v>400000</v>
      </c>
      <c r="M18" s="32">
        <f t="shared" si="4"/>
        <v>400000</v>
      </c>
      <c r="N18" s="196">
        <f t="shared" si="1"/>
        <v>8</v>
      </c>
      <c r="O18" s="301">
        <v>8</v>
      </c>
      <c r="P18" s="212"/>
      <c r="Q18" s="39">
        <f t="shared" si="5"/>
        <v>266666</v>
      </c>
    </row>
    <row r="19" spans="1:17" ht="61.5" customHeight="1">
      <c r="A19" s="278">
        <v>9</v>
      </c>
      <c r="B19" s="566">
        <v>43039</v>
      </c>
      <c r="C19" s="567"/>
      <c r="D19" s="567"/>
      <c r="E19" s="285" t="s">
        <v>96</v>
      </c>
      <c r="F19" s="285" t="s">
        <v>102</v>
      </c>
      <c r="G19" s="284">
        <v>1</v>
      </c>
      <c r="H19" s="297" t="s">
        <v>93</v>
      </c>
      <c r="I19" s="32">
        <f t="shared" si="0"/>
        <v>432000</v>
      </c>
      <c r="J19" s="299">
        <v>400000</v>
      </c>
      <c r="K19" s="32">
        <f t="shared" si="2"/>
        <v>432000</v>
      </c>
      <c r="L19" s="32">
        <f t="shared" si="3"/>
        <v>400000</v>
      </c>
      <c r="M19" s="32">
        <f t="shared" si="4"/>
        <v>400000</v>
      </c>
      <c r="N19" s="196">
        <f t="shared" si="1"/>
        <v>9</v>
      </c>
      <c r="O19" s="301">
        <v>8</v>
      </c>
      <c r="P19" s="212"/>
      <c r="Q19" s="39">
        <f t="shared" si="5"/>
        <v>266666</v>
      </c>
    </row>
    <row r="20" spans="1:18" s="232" customFormat="1" ht="61.5" customHeight="1">
      <c r="A20" s="278">
        <v>10</v>
      </c>
      <c r="B20" s="566">
        <v>43054</v>
      </c>
      <c r="C20" s="567"/>
      <c r="D20" s="567"/>
      <c r="E20" s="285" t="s">
        <v>96</v>
      </c>
      <c r="F20" s="285" t="s">
        <v>103</v>
      </c>
      <c r="G20" s="284">
        <v>1</v>
      </c>
      <c r="H20" s="297" t="s">
        <v>93</v>
      </c>
      <c r="I20" s="32">
        <f t="shared" si="0"/>
        <v>432000</v>
      </c>
      <c r="J20" s="299">
        <v>400000</v>
      </c>
      <c r="K20" s="32">
        <f t="shared" si="2"/>
        <v>432000</v>
      </c>
      <c r="L20" s="32">
        <f t="shared" si="3"/>
        <v>400000</v>
      </c>
      <c r="M20" s="32">
        <f t="shared" si="4"/>
        <v>400000</v>
      </c>
      <c r="N20" s="196">
        <f t="shared" si="1"/>
        <v>10</v>
      </c>
      <c r="O20" s="301">
        <v>8</v>
      </c>
      <c r="P20" s="233"/>
      <c r="Q20" s="39">
        <f t="shared" si="5"/>
        <v>266666</v>
      </c>
      <c r="R20" s="234"/>
    </row>
    <row r="21" spans="1:17" ht="61.5" customHeight="1">
      <c r="A21" s="278"/>
      <c r="B21" s="566"/>
      <c r="C21" s="567"/>
      <c r="D21" s="567"/>
      <c r="E21" s="285"/>
      <c r="F21" s="285"/>
      <c r="G21" s="284"/>
      <c r="H21" s="297"/>
      <c r="I21" s="32">
        <f t="shared" si="0"/>
      </c>
      <c r="J21" s="299"/>
      <c r="K21" s="32">
        <f t="shared" si="2"/>
      </c>
      <c r="L21" s="32">
        <f t="shared" si="3"/>
      </c>
      <c r="M21" s="32">
        <f t="shared" si="4"/>
      </c>
      <c r="N21" s="196">
        <f t="shared" si="1"/>
      </c>
      <c r="O21" s="301">
        <v>8</v>
      </c>
      <c r="Q21" s="39">
        <f t="shared" si="5"/>
      </c>
    </row>
    <row r="22" spans="1:17" ht="61.5" customHeight="1" thickBot="1">
      <c r="A22" s="279"/>
      <c r="B22" s="550"/>
      <c r="C22" s="551"/>
      <c r="D22" s="551"/>
      <c r="E22" s="287"/>
      <c r="F22" s="287"/>
      <c r="G22" s="288"/>
      <c r="H22" s="289"/>
      <c r="I22" s="33">
        <f t="shared" si="0"/>
      </c>
      <c r="J22" s="291"/>
      <c r="K22" s="33">
        <f t="shared" si="2"/>
      </c>
      <c r="L22" s="33">
        <f t="shared" si="3"/>
      </c>
      <c r="M22" s="33">
        <f t="shared" si="4"/>
      </c>
      <c r="N22" s="198">
        <f t="shared" si="1"/>
      </c>
      <c r="O22" s="293">
        <v>8</v>
      </c>
      <c r="Q22" s="39">
        <f t="shared" si="5"/>
      </c>
    </row>
    <row r="23" spans="1:18" ht="21" customHeight="1" thickBot="1">
      <c r="A23" s="546" t="s">
        <v>15</v>
      </c>
      <c r="B23" s="547"/>
      <c r="C23" s="547"/>
      <c r="D23" s="547"/>
      <c r="E23" s="547"/>
      <c r="F23" s="547"/>
      <c r="G23" s="547"/>
      <c r="H23" s="547"/>
      <c r="I23" s="547"/>
      <c r="J23" s="235"/>
      <c r="K23" s="30">
        <f>SUM(K13:K22)</f>
        <v>3888000</v>
      </c>
      <c r="L23" s="30">
        <f>SUM(L13:L22)</f>
        <v>3600000</v>
      </c>
      <c r="M23" s="36">
        <f>SUM(M13:M22)</f>
        <v>3600000</v>
      </c>
      <c r="N23" s="236"/>
      <c r="Q23" s="38">
        <f>SUM(Q13:Q22)</f>
        <v>2399994</v>
      </c>
      <c r="R23" s="237"/>
    </row>
    <row r="24" spans="1:18" ht="13.5" customHeight="1">
      <c r="A24" s="213"/>
      <c r="L24" s="238"/>
      <c r="M24" s="239"/>
      <c r="N24" s="213"/>
      <c r="R24" s="240"/>
    </row>
    <row r="25" spans="2:18" ht="13.5" customHeight="1">
      <c r="B25" s="211" t="s">
        <v>17</v>
      </c>
      <c r="D25" s="241"/>
      <c r="E25" s="1" t="s">
        <v>33</v>
      </c>
      <c r="H25" s="211"/>
      <c r="M25" s="242"/>
      <c r="N25" s="213"/>
      <c r="Q25" s="242"/>
      <c r="R25" s="240"/>
    </row>
    <row r="26" spans="1:18" s="1" customFormat="1" ht="13.5" customHeight="1">
      <c r="A26" s="209"/>
      <c r="B26" s="211" t="s">
        <v>18</v>
      </c>
      <c r="C26" s="211"/>
      <c r="D26" s="211"/>
      <c r="E26" s="1" t="s">
        <v>34</v>
      </c>
      <c r="G26" s="211"/>
      <c r="H26" s="211"/>
      <c r="I26" s="211"/>
      <c r="J26" s="211"/>
      <c r="K26" s="211"/>
      <c r="L26" s="211"/>
      <c r="M26" s="242"/>
      <c r="N26" s="209"/>
      <c r="O26" s="209"/>
      <c r="P26" s="209"/>
      <c r="Q26" s="242"/>
      <c r="R26" s="243"/>
    </row>
    <row r="27" spans="1:18" s="1" customFormat="1" ht="13.5" customHeight="1">
      <c r="A27" s="209"/>
      <c r="B27" s="211" t="s">
        <v>19</v>
      </c>
      <c r="C27" s="211"/>
      <c r="D27" s="211"/>
      <c r="E27" s="1" t="s">
        <v>35</v>
      </c>
      <c r="G27" s="211"/>
      <c r="H27" s="211"/>
      <c r="I27" s="211"/>
      <c r="J27" s="211"/>
      <c r="K27" s="211"/>
      <c r="L27" s="211"/>
      <c r="M27" s="242"/>
      <c r="N27" s="209"/>
      <c r="O27" s="209"/>
      <c r="P27" s="209"/>
      <c r="Q27" s="242"/>
      <c r="R27" s="243"/>
    </row>
    <row r="28" spans="13:17" ht="13.5">
      <c r="M28" s="244"/>
      <c r="Q28" s="244"/>
    </row>
  </sheetData>
  <sheetProtection sheet="1" objects="1" scenarios="1"/>
  <mergeCells count="20">
    <mergeCell ref="B17:D17"/>
    <mergeCell ref="B14:D14"/>
    <mergeCell ref="O11:O12"/>
    <mergeCell ref="K11:L11"/>
    <mergeCell ref="N11:N12"/>
    <mergeCell ref="B2:D2"/>
    <mergeCell ref="B15:D15"/>
    <mergeCell ref="B13:D13"/>
    <mergeCell ref="B16:D16"/>
    <mergeCell ref="F6:H6"/>
    <mergeCell ref="A4:E4"/>
    <mergeCell ref="A11:A12"/>
    <mergeCell ref="B11:D11"/>
    <mergeCell ref="F7:H7"/>
    <mergeCell ref="A23:I23"/>
    <mergeCell ref="B19:D19"/>
    <mergeCell ref="B20:D20"/>
    <mergeCell ref="B21:D21"/>
    <mergeCell ref="B22:D22"/>
    <mergeCell ref="B18:D18"/>
  </mergeCells>
  <dataValidations count="5">
    <dataValidation allowBlank="1" showInputMessage="1" showErrorMessage="1" imeMode="hiragana" sqref="L9 J9"/>
    <dataValidation type="list" allowBlank="1" showInputMessage="1" showErrorMessage="1" sqref="P20:P22">
      <formula1>$Q$12:$Q$13</formula1>
    </dataValidation>
    <dataValidation type="list" allowBlank="1" showInputMessage="1" showErrorMessage="1" sqref="P18:P19 P15:P16">
      <formula1>$Q$12:$Q$14</formula1>
    </dataValidation>
    <dataValidation allowBlank="1" showInputMessage="1" showErrorMessage="1" imeMode="halfAlpha" sqref="Q13:Q22 I13:I22 K13:M22"/>
    <dataValidation type="whole" operator="lessThan" allowBlank="1" showInputMessage="1" showErrorMessage="1" error="単価には50万円未満の金額を入力してください。" imeMode="halfAlpha" sqref="J13:J22">
      <formula1>500000</formula1>
    </dataValidation>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57" r:id="rId3"/>
  <legacyDrawing r:id="rId2"/>
</worksheet>
</file>

<file path=xl/worksheets/sheet7.xml><?xml version="1.0" encoding="utf-8"?>
<worksheet xmlns="http://schemas.openxmlformats.org/spreadsheetml/2006/main" xmlns:r="http://schemas.openxmlformats.org/officeDocument/2006/relationships">
  <sheetPr codeName="Sheet5">
    <tabColor theme="8" tint="0.7999799847602844"/>
    <pageSetUpPr fitToPage="1"/>
  </sheetPr>
  <dimension ref="A1:R27"/>
  <sheetViews>
    <sheetView showGridLines="0" zoomScaleSheetLayoutView="100" zoomScalePageLayoutView="0" workbookViewId="0" topLeftCell="A1">
      <pane ySplit="3" topLeftCell="A4" activePane="bottomLeft" state="frozen"/>
      <selection pane="topLeft" activeCell="B13" sqref="B13:D22"/>
      <selection pane="bottomLeft" activeCell="A1" sqref="A1"/>
    </sheetView>
  </sheetViews>
  <sheetFormatPr defaultColWidth="9.140625" defaultRowHeight="15"/>
  <cols>
    <col min="1" max="1" width="8.421875" style="211" customWidth="1"/>
    <col min="2" max="4" width="3.7109375" style="211" customWidth="1"/>
    <col min="5" max="5" width="16.421875" style="210" customWidth="1"/>
    <col min="6" max="6" width="16.140625" style="1" customWidth="1"/>
    <col min="7" max="7" width="9.140625" style="211" customWidth="1"/>
    <col min="8" max="8" width="6.421875" style="211" customWidth="1"/>
    <col min="9" max="13" width="15.140625" style="211" customWidth="1"/>
    <col min="14" max="14" width="3.8515625" style="209" customWidth="1"/>
    <col min="15" max="15" width="5.28125" style="209" customWidth="1"/>
    <col min="16" max="16" width="3.57421875" style="209" customWidth="1"/>
    <col min="17" max="16384" width="9.00390625" style="211" customWidth="1"/>
  </cols>
  <sheetData>
    <row r="1" spans="1:18" ht="13.5">
      <c r="A1" s="209"/>
      <c r="H1" s="209"/>
      <c r="Q1" s="212"/>
      <c r="R1" s="212"/>
    </row>
    <row r="2" spans="1:18" ht="13.5">
      <c r="A2" s="209"/>
      <c r="B2" s="559" t="s">
        <v>216</v>
      </c>
      <c r="C2" s="559"/>
      <c r="D2" s="559"/>
      <c r="H2" s="209"/>
      <c r="Q2" s="212"/>
      <c r="R2" s="212"/>
    </row>
    <row r="3" spans="1:18" ht="13.5">
      <c r="A3" s="209"/>
      <c r="H3" s="209"/>
      <c r="Q3" s="212"/>
      <c r="R3" s="212"/>
    </row>
    <row r="4" spans="1:6" ht="13.5" customHeight="1">
      <c r="A4" s="560" t="s">
        <v>243</v>
      </c>
      <c r="B4" s="560"/>
      <c r="C4" s="560"/>
      <c r="D4" s="560"/>
      <c r="E4" s="560"/>
      <c r="F4" s="209"/>
    </row>
    <row r="5" spans="1:16" ht="13.5" customHeight="1">
      <c r="A5" s="213"/>
      <c r="B5" s="213"/>
      <c r="C5" s="213"/>
      <c r="D5" s="213"/>
      <c r="E5" s="214"/>
      <c r="F5" s="209"/>
      <c r="N5" s="213"/>
      <c r="P5" s="213"/>
    </row>
    <row r="6" spans="1:16" ht="13.5" customHeight="1">
      <c r="A6" s="213"/>
      <c r="B6" s="215" t="s">
        <v>161</v>
      </c>
      <c r="C6" s="216"/>
      <c r="D6" s="217"/>
      <c r="E6" s="218"/>
      <c r="F6" s="554" t="s">
        <v>16</v>
      </c>
      <c r="G6" s="555"/>
      <c r="H6" s="556"/>
      <c r="N6" s="213"/>
      <c r="P6" s="213"/>
    </row>
    <row r="7" spans="1:16" ht="13.5" customHeight="1">
      <c r="A7" s="213"/>
      <c r="B7" s="213"/>
      <c r="C7" s="213"/>
      <c r="D7" s="213"/>
      <c r="E7" s="214"/>
      <c r="F7" s="563" t="s">
        <v>27</v>
      </c>
      <c r="G7" s="564"/>
      <c r="H7" s="565"/>
      <c r="N7" s="213"/>
      <c r="P7" s="213"/>
    </row>
    <row r="8" spans="1:16" ht="13.5" customHeight="1">
      <c r="A8" s="213"/>
      <c r="B8" s="213"/>
      <c r="C8" s="213"/>
      <c r="D8" s="213"/>
      <c r="E8" s="214"/>
      <c r="F8" s="209"/>
      <c r="N8" s="213"/>
      <c r="O8" s="219"/>
      <c r="P8" s="213"/>
    </row>
    <row r="9" spans="1:16" ht="13.5" customHeight="1">
      <c r="A9" s="241"/>
      <c r="F9" s="209"/>
      <c r="I9" s="220" t="s">
        <v>32</v>
      </c>
      <c r="J9" s="1" t="str">
        <f>IF('基本情報入力（使い方）'!$C$12="","",'基本情報入力（使い方）'!$C$12)</f>
        <v>Ｂ金属株式会社</v>
      </c>
      <c r="K9" s="220"/>
      <c r="L9" s="1"/>
      <c r="N9" s="213"/>
      <c r="P9" s="213"/>
    </row>
    <row r="10" spans="1:16" ht="13.5" customHeight="1" thickBot="1">
      <c r="A10" s="241"/>
      <c r="F10" s="209"/>
      <c r="M10" s="220" t="s">
        <v>20</v>
      </c>
      <c r="N10" s="211"/>
      <c r="O10" s="220"/>
      <c r="P10" s="213"/>
    </row>
    <row r="11" spans="1:16" ht="27" customHeight="1">
      <c r="A11" s="561" t="s">
        <v>1</v>
      </c>
      <c r="B11" s="552" t="s">
        <v>2</v>
      </c>
      <c r="C11" s="552"/>
      <c r="D11" s="553"/>
      <c r="E11" s="221" t="s">
        <v>3</v>
      </c>
      <c r="F11" s="222" t="s">
        <v>4</v>
      </c>
      <c r="G11" s="222" t="s">
        <v>5</v>
      </c>
      <c r="H11" s="222" t="s">
        <v>6</v>
      </c>
      <c r="I11" s="222" t="s">
        <v>0</v>
      </c>
      <c r="J11" s="222" t="s">
        <v>0</v>
      </c>
      <c r="K11" s="572" t="s">
        <v>7</v>
      </c>
      <c r="L11" s="553"/>
      <c r="M11" s="223" t="s">
        <v>8</v>
      </c>
      <c r="N11" s="544" t="s">
        <v>1</v>
      </c>
      <c r="O11" s="568" t="s">
        <v>38</v>
      </c>
      <c r="P11" s="245"/>
    </row>
    <row r="12" spans="1:16" ht="42" customHeight="1" thickBot="1">
      <c r="A12" s="562"/>
      <c r="B12" s="224" t="s">
        <v>9</v>
      </c>
      <c r="C12" s="224" t="s">
        <v>10</v>
      </c>
      <c r="D12" s="225" t="s">
        <v>11</v>
      </c>
      <c r="E12" s="226"/>
      <c r="F12" s="227"/>
      <c r="G12" s="228"/>
      <c r="H12" s="228"/>
      <c r="I12" s="228" t="s">
        <v>12</v>
      </c>
      <c r="J12" s="228" t="s">
        <v>25</v>
      </c>
      <c r="K12" s="228" t="s">
        <v>13</v>
      </c>
      <c r="L12" s="229" t="s">
        <v>23</v>
      </c>
      <c r="M12" s="229" t="s">
        <v>14</v>
      </c>
      <c r="N12" s="545"/>
      <c r="O12" s="569"/>
      <c r="P12" s="245"/>
    </row>
    <row r="13" spans="1:16" ht="61.5" customHeight="1">
      <c r="A13" s="246">
        <v>1</v>
      </c>
      <c r="B13" s="570">
        <v>43054</v>
      </c>
      <c r="C13" s="571"/>
      <c r="D13" s="571"/>
      <c r="E13" s="280" t="s">
        <v>113</v>
      </c>
      <c r="F13" s="281" t="s">
        <v>114</v>
      </c>
      <c r="G13" s="282">
        <v>100</v>
      </c>
      <c r="H13" s="283" t="s">
        <v>84</v>
      </c>
      <c r="I13" s="31">
        <f>IF(J13="","",ROUNDDOWN(J13*(1+O13/100),0))</f>
        <v>58320</v>
      </c>
      <c r="J13" s="290">
        <v>54000</v>
      </c>
      <c r="K13" s="31">
        <f>IF(L13="","",ROUNDDOWN(L13*(1+O13/100),0))</f>
        <v>5832000</v>
      </c>
      <c r="L13" s="31">
        <f>IF(OR(J13="",G13=""),"",ROUNDDOWN(J13*G13,0))</f>
        <v>5400000</v>
      </c>
      <c r="M13" s="192">
        <f>L13</f>
        <v>5400000</v>
      </c>
      <c r="N13" s="247">
        <v>1</v>
      </c>
      <c r="O13" s="304">
        <v>8</v>
      </c>
      <c r="P13" s="211"/>
    </row>
    <row r="14" spans="1:16" ht="61.5" customHeight="1">
      <c r="A14" s="248">
        <v>2</v>
      </c>
      <c r="B14" s="548"/>
      <c r="C14" s="549"/>
      <c r="D14" s="549"/>
      <c r="E14" s="302"/>
      <c r="F14" s="285"/>
      <c r="G14" s="282"/>
      <c r="H14" s="283"/>
      <c r="I14" s="31">
        <f aca="true" t="shared" si="0" ref="I14:I22">IF(J14="","",ROUNDDOWN(J14*(1+O14/100),0))</f>
      </c>
      <c r="J14" s="290"/>
      <c r="K14" s="31">
        <f aca="true" t="shared" si="1" ref="K14:K22">IF(L14="","",ROUNDDOWN(L14*(1+O14/100),0))</f>
      </c>
      <c r="L14" s="31">
        <f aca="true" t="shared" si="2" ref="L14:L22">IF(OR(J14="",G14=""),"",ROUNDDOWN(J14*G14,0))</f>
      </c>
      <c r="M14" s="192">
        <f aca="true" t="shared" si="3" ref="M14:M22">L14</f>
      </c>
      <c r="N14" s="249">
        <v>2</v>
      </c>
      <c r="O14" s="304">
        <v>8</v>
      </c>
      <c r="P14" s="245"/>
    </row>
    <row r="15" spans="1:16" ht="61.5" customHeight="1">
      <c r="A15" s="246">
        <v>3</v>
      </c>
      <c r="B15" s="548"/>
      <c r="C15" s="549"/>
      <c r="D15" s="549"/>
      <c r="E15" s="302"/>
      <c r="F15" s="285"/>
      <c r="G15" s="282"/>
      <c r="H15" s="283"/>
      <c r="I15" s="31">
        <f t="shared" si="0"/>
      </c>
      <c r="J15" s="290"/>
      <c r="K15" s="31">
        <f t="shared" si="1"/>
      </c>
      <c r="L15" s="31">
        <f t="shared" si="2"/>
      </c>
      <c r="M15" s="32">
        <f t="shared" si="3"/>
      </c>
      <c r="N15" s="247">
        <v>3</v>
      </c>
      <c r="O15" s="304">
        <v>8</v>
      </c>
      <c r="P15" s="245"/>
    </row>
    <row r="16" spans="1:16" s="232" customFormat="1" ht="61.5" customHeight="1">
      <c r="A16" s="250">
        <v>4</v>
      </c>
      <c r="B16" s="548"/>
      <c r="C16" s="549"/>
      <c r="D16" s="549"/>
      <c r="E16" s="302"/>
      <c r="F16" s="285"/>
      <c r="G16" s="282"/>
      <c r="H16" s="283"/>
      <c r="I16" s="31">
        <f t="shared" si="0"/>
      </c>
      <c r="J16" s="290"/>
      <c r="K16" s="31">
        <f t="shared" si="1"/>
      </c>
      <c r="L16" s="31">
        <f t="shared" si="2"/>
      </c>
      <c r="M16" s="32">
        <f t="shared" si="3"/>
      </c>
      <c r="N16" s="251">
        <v>4</v>
      </c>
      <c r="O16" s="304">
        <v>8</v>
      </c>
      <c r="P16" s="252"/>
    </row>
    <row r="17" spans="1:16" s="232" customFormat="1" ht="61.5" customHeight="1">
      <c r="A17" s="253">
        <v>5</v>
      </c>
      <c r="B17" s="548"/>
      <c r="C17" s="549"/>
      <c r="D17" s="549"/>
      <c r="E17" s="302"/>
      <c r="F17" s="285"/>
      <c r="G17" s="282"/>
      <c r="H17" s="283"/>
      <c r="I17" s="31">
        <f t="shared" si="0"/>
      </c>
      <c r="J17" s="290"/>
      <c r="K17" s="31">
        <f t="shared" si="1"/>
      </c>
      <c r="L17" s="31">
        <f t="shared" si="2"/>
      </c>
      <c r="M17" s="32">
        <f t="shared" si="3"/>
      </c>
      <c r="N17" s="254">
        <v>5</v>
      </c>
      <c r="O17" s="304">
        <v>8</v>
      </c>
      <c r="P17" s="252"/>
    </row>
    <row r="18" spans="1:16" ht="61.5" customHeight="1">
      <c r="A18" s="248">
        <v>6</v>
      </c>
      <c r="B18" s="548"/>
      <c r="C18" s="549"/>
      <c r="D18" s="549"/>
      <c r="E18" s="302"/>
      <c r="F18" s="285"/>
      <c r="G18" s="282"/>
      <c r="H18" s="283"/>
      <c r="I18" s="31">
        <f t="shared" si="0"/>
      </c>
      <c r="J18" s="290"/>
      <c r="K18" s="31">
        <f t="shared" si="1"/>
      </c>
      <c r="L18" s="31">
        <f t="shared" si="2"/>
      </c>
      <c r="M18" s="32">
        <f t="shared" si="3"/>
      </c>
      <c r="N18" s="249">
        <v>6</v>
      </c>
      <c r="O18" s="304">
        <v>8</v>
      </c>
      <c r="P18" s="245"/>
    </row>
    <row r="19" spans="1:16" ht="61.5" customHeight="1">
      <c r="A19" s="246">
        <v>7</v>
      </c>
      <c r="B19" s="548"/>
      <c r="C19" s="549"/>
      <c r="D19" s="549"/>
      <c r="E19" s="302"/>
      <c r="F19" s="286"/>
      <c r="G19" s="282"/>
      <c r="H19" s="283"/>
      <c r="I19" s="31">
        <f t="shared" si="0"/>
      </c>
      <c r="J19" s="290"/>
      <c r="K19" s="31">
        <f t="shared" si="1"/>
      </c>
      <c r="L19" s="31">
        <f t="shared" si="2"/>
      </c>
      <c r="M19" s="32">
        <f t="shared" si="3"/>
      </c>
      <c r="N19" s="247">
        <v>7</v>
      </c>
      <c r="O19" s="304">
        <v>8</v>
      </c>
      <c r="P19" s="245"/>
    </row>
    <row r="20" spans="1:16" ht="61.5" customHeight="1">
      <c r="A20" s="248">
        <v>8</v>
      </c>
      <c r="B20" s="548"/>
      <c r="C20" s="549"/>
      <c r="D20" s="549"/>
      <c r="E20" s="302"/>
      <c r="F20" s="285"/>
      <c r="G20" s="282"/>
      <c r="H20" s="283"/>
      <c r="I20" s="31">
        <f t="shared" si="0"/>
      </c>
      <c r="J20" s="290"/>
      <c r="K20" s="31">
        <f t="shared" si="1"/>
      </c>
      <c r="L20" s="31">
        <f t="shared" si="2"/>
      </c>
      <c r="M20" s="32">
        <f t="shared" si="3"/>
      </c>
      <c r="N20" s="249">
        <v>8</v>
      </c>
      <c r="O20" s="304">
        <v>8</v>
      </c>
      <c r="P20" s="245"/>
    </row>
    <row r="21" spans="1:16" ht="61.5" customHeight="1">
      <c r="A21" s="246">
        <v>9</v>
      </c>
      <c r="B21" s="548"/>
      <c r="C21" s="549"/>
      <c r="D21" s="549"/>
      <c r="E21" s="302"/>
      <c r="F21" s="285"/>
      <c r="G21" s="282"/>
      <c r="H21" s="283"/>
      <c r="I21" s="31">
        <f t="shared" si="0"/>
      </c>
      <c r="J21" s="290"/>
      <c r="K21" s="31">
        <f t="shared" si="1"/>
      </c>
      <c r="L21" s="31">
        <f t="shared" si="2"/>
      </c>
      <c r="M21" s="32">
        <f t="shared" si="3"/>
      </c>
      <c r="N21" s="247">
        <v>9</v>
      </c>
      <c r="O21" s="304">
        <v>8</v>
      </c>
      <c r="P21" s="245"/>
    </row>
    <row r="22" spans="1:16" ht="61.5" customHeight="1" thickBot="1">
      <c r="A22" s="255">
        <v>10</v>
      </c>
      <c r="B22" s="550"/>
      <c r="C22" s="551"/>
      <c r="D22" s="551"/>
      <c r="E22" s="303"/>
      <c r="F22" s="287"/>
      <c r="G22" s="288"/>
      <c r="H22" s="289"/>
      <c r="I22" s="33">
        <f t="shared" si="0"/>
      </c>
      <c r="J22" s="291"/>
      <c r="K22" s="33">
        <f t="shared" si="1"/>
      </c>
      <c r="L22" s="33">
        <f t="shared" si="2"/>
      </c>
      <c r="M22" s="33">
        <f t="shared" si="3"/>
      </c>
      <c r="N22" s="256">
        <v>10</v>
      </c>
      <c r="O22" s="305">
        <v>8</v>
      </c>
      <c r="P22" s="245"/>
    </row>
    <row r="23" spans="1:16" ht="21" customHeight="1" thickBot="1">
      <c r="A23" s="546" t="s">
        <v>15</v>
      </c>
      <c r="B23" s="547"/>
      <c r="C23" s="547"/>
      <c r="D23" s="547"/>
      <c r="E23" s="547"/>
      <c r="F23" s="547"/>
      <c r="G23" s="547"/>
      <c r="H23" s="547"/>
      <c r="I23" s="547"/>
      <c r="J23" s="235"/>
      <c r="K23" s="30">
        <f>SUM(K13:K22)</f>
        <v>5832000</v>
      </c>
      <c r="L23" s="30">
        <f>SUM(L13:L22)</f>
        <v>5400000</v>
      </c>
      <c r="M23" s="36">
        <f>SUM(M13:M22)</f>
        <v>5400000</v>
      </c>
      <c r="N23" s="236"/>
      <c r="P23" s="236"/>
    </row>
    <row r="24" spans="1:16" ht="13.5" customHeight="1">
      <c r="A24" s="241"/>
      <c r="L24" s="238"/>
      <c r="M24" s="239"/>
      <c r="N24" s="213"/>
      <c r="P24" s="213"/>
    </row>
    <row r="25" spans="2:16" ht="13.5" customHeight="1">
      <c r="B25" s="211" t="s">
        <v>17</v>
      </c>
      <c r="D25" s="241"/>
      <c r="E25" s="1" t="s">
        <v>33</v>
      </c>
      <c r="N25" s="213"/>
      <c r="P25" s="213"/>
    </row>
    <row r="26" spans="1:16" s="1" customFormat="1" ht="13.5" customHeight="1">
      <c r="A26" s="211"/>
      <c r="B26" s="211" t="s">
        <v>18</v>
      </c>
      <c r="C26" s="211"/>
      <c r="D26" s="211"/>
      <c r="E26" s="1" t="s">
        <v>34</v>
      </c>
      <c r="G26" s="211"/>
      <c r="H26" s="211"/>
      <c r="I26" s="211"/>
      <c r="J26" s="211"/>
      <c r="K26" s="211"/>
      <c r="L26" s="211"/>
      <c r="M26" s="211"/>
      <c r="N26" s="209"/>
      <c r="O26" s="209"/>
      <c r="P26" s="209"/>
    </row>
    <row r="27" spans="1:16" s="1" customFormat="1" ht="13.5" customHeight="1">
      <c r="A27" s="211"/>
      <c r="B27" s="211" t="s">
        <v>19</v>
      </c>
      <c r="C27" s="211"/>
      <c r="D27" s="211"/>
      <c r="E27" s="1" t="s">
        <v>35</v>
      </c>
      <c r="G27" s="211"/>
      <c r="H27" s="211"/>
      <c r="I27" s="211"/>
      <c r="J27" s="211"/>
      <c r="K27" s="211"/>
      <c r="L27" s="211"/>
      <c r="M27" s="211"/>
      <c r="N27" s="209"/>
      <c r="O27" s="209"/>
      <c r="P27" s="209"/>
    </row>
  </sheetData>
  <sheetProtection sheet="1" objects="1" scenarios="1"/>
  <mergeCells count="20">
    <mergeCell ref="B2:D2"/>
    <mergeCell ref="O11:O12"/>
    <mergeCell ref="B18:D18"/>
    <mergeCell ref="A4:E4"/>
    <mergeCell ref="A11:A12"/>
    <mergeCell ref="B11:D11"/>
    <mergeCell ref="K11:L11"/>
    <mergeCell ref="N11:N12"/>
    <mergeCell ref="F7:H7"/>
    <mergeCell ref="F6:H6"/>
    <mergeCell ref="B19:D19"/>
    <mergeCell ref="B20:D20"/>
    <mergeCell ref="B21:D21"/>
    <mergeCell ref="B22:D22"/>
    <mergeCell ref="A23:I23"/>
    <mergeCell ref="B13:D13"/>
    <mergeCell ref="B14:D14"/>
    <mergeCell ref="B15:D15"/>
    <mergeCell ref="B16:D16"/>
    <mergeCell ref="B17:D17"/>
  </mergeCells>
  <dataValidations count="2">
    <dataValidation allowBlank="1" showInputMessage="1" showErrorMessage="1" imeMode="halfAlpha" sqref="I13:M22"/>
    <dataValidation allowBlank="1" showInputMessage="1" showErrorMessage="1" imeMode="hiragana" sqref="L9 J9"/>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57" r:id="rId1"/>
</worksheet>
</file>

<file path=xl/worksheets/sheet8.xml><?xml version="1.0" encoding="utf-8"?>
<worksheet xmlns="http://schemas.openxmlformats.org/spreadsheetml/2006/main" xmlns:r="http://schemas.openxmlformats.org/officeDocument/2006/relationships">
  <sheetPr codeName="Sheet11">
    <tabColor theme="8" tint="0.7999799847602844"/>
    <pageSetUpPr fitToPage="1"/>
  </sheetPr>
  <dimension ref="A1:R27"/>
  <sheetViews>
    <sheetView showGridLines="0" zoomScaleSheetLayoutView="100" zoomScalePageLayoutView="0" workbookViewId="0" topLeftCell="A1">
      <pane ySplit="3" topLeftCell="A4" activePane="bottomLeft" state="frozen"/>
      <selection pane="topLeft" activeCell="B13" sqref="B13:D22"/>
      <selection pane="bottomLeft" activeCell="A1" sqref="A1"/>
    </sheetView>
  </sheetViews>
  <sheetFormatPr defaultColWidth="9.140625" defaultRowHeight="15"/>
  <cols>
    <col min="1" max="1" width="8.421875" style="211" customWidth="1"/>
    <col min="2" max="4" width="3.7109375" style="211" customWidth="1"/>
    <col min="5" max="5" width="16.421875" style="1" customWidth="1"/>
    <col min="6" max="6" width="16.140625" style="1" customWidth="1"/>
    <col min="7" max="7" width="9.140625" style="211" customWidth="1"/>
    <col min="8" max="8" width="6.421875" style="211" customWidth="1"/>
    <col min="9" max="13" width="15.140625" style="211" customWidth="1"/>
    <col min="14" max="14" width="3.8515625" style="209" customWidth="1"/>
    <col min="15" max="15" width="5.28125" style="209" customWidth="1"/>
    <col min="16" max="16384" width="9.00390625" style="211" customWidth="1"/>
  </cols>
  <sheetData>
    <row r="1" spans="1:18" ht="13.5">
      <c r="A1" s="209"/>
      <c r="E1" s="210"/>
      <c r="H1" s="209"/>
      <c r="P1" s="209"/>
      <c r="Q1" s="212"/>
      <c r="R1" s="212"/>
    </row>
    <row r="2" spans="1:18" ht="13.5">
      <c r="A2" s="209"/>
      <c r="B2" s="559" t="s">
        <v>216</v>
      </c>
      <c r="C2" s="559"/>
      <c r="D2" s="559"/>
      <c r="E2" s="210"/>
      <c r="H2" s="209"/>
      <c r="P2" s="209"/>
      <c r="Q2" s="212"/>
      <c r="R2" s="212"/>
    </row>
    <row r="3" spans="1:18" ht="13.5">
      <c r="A3" s="209"/>
      <c r="E3" s="210"/>
      <c r="H3" s="209"/>
      <c r="P3" s="209"/>
      <c r="Q3" s="212"/>
      <c r="R3" s="212"/>
    </row>
    <row r="4" spans="1:6" ht="13.5" customHeight="1">
      <c r="A4" s="560" t="s">
        <v>243</v>
      </c>
      <c r="B4" s="560"/>
      <c r="C4" s="560"/>
      <c r="D4" s="560"/>
      <c r="E4" s="560"/>
      <c r="F4" s="209"/>
    </row>
    <row r="5" spans="1:14" ht="13.5" customHeight="1">
      <c r="A5" s="213"/>
      <c r="B5" s="213"/>
      <c r="C5" s="213"/>
      <c r="D5" s="213"/>
      <c r="E5" s="257"/>
      <c r="F5" s="209"/>
      <c r="N5" s="213"/>
    </row>
    <row r="6" spans="1:14" ht="13.5" customHeight="1">
      <c r="A6" s="213"/>
      <c r="B6" s="215" t="s">
        <v>161</v>
      </c>
      <c r="C6" s="216"/>
      <c r="D6" s="217"/>
      <c r="E6" s="218"/>
      <c r="F6" s="554" t="s">
        <v>16</v>
      </c>
      <c r="G6" s="555"/>
      <c r="H6" s="556"/>
      <c r="N6" s="213"/>
    </row>
    <row r="7" spans="1:14" ht="13.5" customHeight="1">
      <c r="A7" s="213"/>
      <c r="B7" s="213"/>
      <c r="C7" s="213"/>
      <c r="D7" s="213"/>
      <c r="E7" s="257"/>
      <c r="F7" s="563" t="s">
        <v>72</v>
      </c>
      <c r="G7" s="564"/>
      <c r="H7" s="565"/>
      <c r="N7" s="213"/>
    </row>
    <row r="8" spans="1:15" ht="13.5" customHeight="1">
      <c r="A8" s="213"/>
      <c r="B8" s="213"/>
      <c r="C8" s="213"/>
      <c r="D8" s="213"/>
      <c r="E8" s="257"/>
      <c r="F8" s="209"/>
      <c r="N8" s="213"/>
      <c r="O8" s="219"/>
    </row>
    <row r="9" spans="1:14" ht="13.5" customHeight="1">
      <c r="A9" s="241"/>
      <c r="F9" s="209"/>
      <c r="I9" s="220" t="s">
        <v>32</v>
      </c>
      <c r="J9" s="1" t="str">
        <f>IF('基本情報入力（使い方）'!$C$12="","",'基本情報入力（使い方）'!$C$12)</f>
        <v>Ｂ金属株式会社</v>
      </c>
      <c r="K9" s="220"/>
      <c r="L9" s="1"/>
      <c r="N9" s="213"/>
    </row>
    <row r="10" spans="1:15" ht="13.5" customHeight="1" thickBot="1">
      <c r="A10" s="241"/>
      <c r="F10" s="209"/>
      <c r="M10" s="220" t="s">
        <v>20</v>
      </c>
      <c r="N10" s="211"/>
      <c r="O10" s="220"/>
    </row>
    <row r="11" spans="1:15" ht="27" customHeight="1">
      <c r="A11" s="561" t="s">
        <v>1</v>
      </c>
      <c r="B11" s="552" t="s">
        <v>2</v>
      </c>
      <c r="C11" s="552"/>
      <c r="D11" s="553"/>
      <c r="E11" s="222" t="s">
        <v>3</v>
      </c>
      <c r="F11" s="222" t="s">
        <v>4</v>
      </c>
      <c r="G11" s="222" t="s">
        <v>5</v>
      </c>
      <c r="H11" s="222" t="s">
        <v>6</v>
      </c>
      <c r="I11" s="222" t="s">
        <v>0</v>
      </c>
      <c r="J11" s="222" t="s">
        <v>0</v>
      </c>
      <c r="K11" s="572" t="s">
        <v>7</v>
      </c>
      <c r="L11" s="553"/>
      <c r="M11" s="222" t="s">
        <v>8</v>
      </c>
      <c r="N11" s="544" t="s">
        <v>1</v>
      </c>
      <c r="O11" s="568" t="s">
        <v>38</v>
      </c>
    </row>
    <row r="12" spans="1:15" ht="42" customHeight="1" thickBot="1">
      <c r="A12" s="562"/>
      <c r="B12" s="224" t="s">
        <v>9</v>
      </c>
      <c r="C12" s="224" t="s">
        <v>10</v>
      </c>
      <c r="D12" s="225" t="s">
        <v>11</v>
      </c>
      <c r="E12" s="258"/>
      <c r="F12" s="227"/>
      <c r="G12" s="228"/>
      <c r="H12" s="228"/>
      <c r="I12" s="228" t="s">
        <v>12</v>
      </c>
      <c r="J12" s="228" t="s">
        <v>25</v>
      </c>
      <c r="K12" s="228" t="s">
        <v>13</v>
      </c>
      <c r="L12" s="229" t="s">
        <v>23</v>
      </c>
      <c r="M12" s="228" t="s">
        <v>14</v>
      </c>
      <c r="N12" s="545"/>
      <c r="O12" s="569"/>
    </row>
    <row r="13" spans="1:15" ht="61.5" customHeight="1">
      <c r="A13" s="246">
        <v>1</v>
      </c>
      <c r="B13" s="570">
        <v>43054</v>
      </c>
      <c r="C13" s="571"/>
      <c r="D13" s="571"/>
      <c r="E13" s="306" t="s">
        <v>125</v>
      </c>
      <c r="F13" s="280" t="s">
        <v>127</v>
      </c>
      <c r="G13" s="282">
        <v>20</v>
      </c>
      <c r="H13" s="283" t="s">
        <v>128</v>
      </c>
      <c r="I13" s="31">
        <f>IF(J13="","",ROUNDDOWN(J13*(1+O13/100),0))</f>
        <v>54000</v>
      </c>
      <c r="J13" s="307">
        <v>50000</v>
      </c>
      <c r="K13" s="31">
        <f>IF(L13="","",ROUNDDOWN(L13*(1+O13/100),0))</f>
        <v>1080000</v>
      </c>
      <c r="L13" s="31">
        <f>IF(OR(J13="",G13=""),"",ROUNDDOWN(J13*G13,0))</f>
        <v>1000000</v>
      </c>
      <c r="M13" s="192">
        <f>L13</f>
        <v>1000000</v>
      </c>
      <c r="N13" s="259">
        <v>1</v>
      </c>
      <c r="O13" s="292">
        <v>8</v>
      </c>
    </row>
    <row r="14" spans="1:15" ht="61.5" customHeight="1">
      <c r="A14" s="248">
        <v>2</v>
      </c>
      <c r="B14" s="548"/>
      <c r="C14" s="549"/>
      <c r="D14" s="549"/>
      <c r="E14" s="302"/>
      <c r="F14" s="285"/>
      <c r="G14" s="282"/>
      <c r="H14" s="283"/>
      <c r="I14" s="31">
        <f aca="true" t="shared" si="0" ref="I14:I22">IF(J14="","",ROUNDDOWN(J14*(1+O14/100),0))</f>
      </c>
      <c r="J14" s="290"/>
      <c r="K14" s="31">
        <f aca="true" t="shared" si="1" ref="K14:K22">IF(L14="","",ROUNDDOWN(L14*(1+O14/100),0))</f>
      </c>
      <c r="L14" s="31">
        <f aca="true" t="shared" si="2" ref="L14:L22">IF(OR(J14="",G14=""),"",ROUNDDOWN(J14*G14,0))</f>
      </c>
      <c r="M14" s="192">
        <f aca="true" t="shared" si="3" ref="M14:M22">L14</f>
      </c>
      <c r="N14" s="260">
        <v>2</v>
      </c>
      <c r="O14" s="292">
        <v>8</v>
      </c>
    </row>
    <row r="15" spans="1:15" ht="61.5" customHeight="1">
      <c r="A15" s="248">
        <v>3</v>
      </c>
      <c r="B15" s="548"/>
      <c r="C15" s="549"/>
      <c r="D15" s="549"/>
      <c r="E15" s="302"/>
      <c r="F15" s="285"/>
      <c r="G15" s="282"/>
      <c r="H15" s="283"/>
      <c r="I15" s="31">
        <f t="shared" si="0"/>
      </c>
      <c r="J15" s="290"/>
      <c r="K15" s="31">
        <f t="shared" si="1"/>
      </c>
      <c r="L15" s="31">
        <f t="shared" si="2"/>
      </c>
      <c r="M15" s="32">
        <f t="shared" si="3"/>
      </c>
      <c r="N15" s="259">
        <v>3</v>
      </c>
      <c r="O15" s="292">
        <v>8</v>
      </c>
    </row>
    <row r="16" spans="1:15" ht="61.5" customHeight="1">
      <c r="A16" s="248">
        <v>4</v>
      </c>
      <c r="B16" s="548"/>
      <c r="C16" s="549"/>
      <c r="D16" s="549"/>
      <c r="E16" s="302"/>
      <c r="F16" s="285"/>
      <c r="G16" s="282"/>
      <c r="H16" s="283"/>
      <c r="I16" s="31">
        <f t="shared" si="0"/>
      </c>
      <c r="J16" s="290"/>
      <c r="K16" s="31">
        <f t="shared" si="1"/>
      </c>
      <c r="L16" s="31">
        <f t="shared" si="2"/>
      </c>
      <c r="M16" s="32">
        <f t="shared" si="3"/>
      </c>
      <c r="N16" s="260">
        <v>4</v>
      </c>
      <c r="O16" s="292">
        <v>8</v>
      </c>
    </row>
    <row r="17" spans="1:15" ht="61.5" customHeight="1">
      <c r="A17" s="248">
        <v>5</v>
      </c>
      <c r="B17" s="548"/>
      <c r="C17" s="549"/>
      <c r="D17" s="549"/>
      <c r="E17" s="302"/>
      <c r="F17" s="285"/>
      <c r="G17" s="282"/>
      <c r="H17" s="283"/>
      <c r="I17" s="31">
        <f t="shared" si="0"/>
      </c>
      <c r="J17" s="290"/>
      <c r="K17" s="31">
        <f t="shared" si="1"/>
      </c>
      <c r="L17" s="31">
        <f t="shared" si="2"/>
      </c>
      <c r="M17" s="32">
        <f t="shared" si="3"/>
      </c>
      <c r="N17" s="259">
        <v>5</v>
      </c>
      <c r="O17" s="292">
        <v>8</v>
      </c>
    </row>
    <row r="18" spans="1:15" ht="61.5" customHeight="1">
      <c r="A18" s="248">
        <v>6</v>
      </c>
      <c r="B18" s="548"/>
      <c r="C18" s="549"/>
      <c r="D18" s="549"/>
      <c r="E18" s="302"/>
      <c r="F18" s="285"/>
      <c r="G18" s="282"/>
      <c r="H18" s="283"/>
      <c r="I18" s="31">
        <f t="shared" si="0"/>
      </c>
      <c r="J18" s="290"/>
      <c r="K18" s="31">
        <f t="shared" si="1"/>
      </c>
      <c r="L18" s="31">
        <f t="shared" si="2"/>
      </c>
      <c r="M18" s="32">
        <f t="shared" si="3"/>
      </c>
      <c r="N18" s="260">
        <v>6</v>
      </c>
      <c r="O18" s="292">
        <v>8</v>
      </c>
    </row>
    <row r="19" spans="1:15" ht="61.5" customHeight="1">
      <c r="A19" s="248">
        <v>7</v>
      </c>
      <c r="B19" s="548"/>
      <c r="C19" s="549"/>
      <c r="D19" s="549"/>
      <c r="E19" s="302"/>
      <c r="F19" s="286"/>
      <c r="G19" s="282"/>
      <c r="H19" s="283"/>
      <c r="I19" s="31">
        <f t="shared" si="0"/>
      </c>
      <c r="J19" s="290"/>
      <c r="K19" s="31">
        <f t="shared" si="1"/>
      </c>
      <c r="L19" s="31">
        <f t="shared" si="2"/>
      </c>
      <c r="M19" s="32">
        <f t="shared" si="3"/>
      </c>
      <c r="N19" s="259">
        <v>7</v>
      </c>
      <c r="O19" s="292">
        <v>8</v>
      </c>
    </row>
    <row r="20" spans="1:15" ht="61.5" customHeight="1">
      <c r="A20" s="248">
        <v>8</v>
      </c>
      <c r="B20" s="548"/>
      <c r="C20" s="549"/>
      <c r="D20" s="549"/>
      <c r="E20" s="302"/>
      <c r="F20" s="285"/>
      <c r="G20" s="282"/>
      <c r="H20" s="283"/>
      <c r="I20" s="31">
        <f t="shared" si="0"/>
      </c>
      <c r="J20" s="290"/>
      <c r="K20" s="31">
        <f t="shared" si="1"/>
      </c>
      <c r="L20" s="31">
        <f t="shared" si="2"/>
      </c>
      <c r="M20" s="32">
        <f t="shared" si="3"/>
      </c>
      <c r="N20" s="260">
        <v>8</v>
      </c>
      <c r="O20" s="292">
        <v>8</v>
      </c>
    </row>
    <row r="21" spans="1:15" ht="61.5" customHeight="1">
      <c r="A21" s="248">
        <v>9</v>
      </c>
      <c r="B21" s="548"/>
      <c r="C21" s="549"/>
      <c r="D21" s="549"/>
      <c r="E21" s="302"/>
      <c r="F21" s="285"/>
      <c r="G21" s="282"/>
      <c r="H21" s="283"/>
      <c r="I21" s="31">
        <f t="shared" si="0"/>
      </c>
      <c r="J21" s="290"/>
      <c r="K21" s="31">
        <f t="shared" si="1"/>
      </c>
      <c r="L21" s="31">
        <f t="shared" si="2"/>
      </c>
      <c r="M21" s="32">
        <f t="shared" si="3"/>
      </c>
      <c r="N21" s="259">
        <v>9</v>
      </c>
      <c r="O21" s="292">
        <v>8</v>
      </c>
    </row>
    <row r="22" spans="1:15" ht="61.5" customHeight="1" thickBot="1">
      <c r="A22" s="255">
        <v>10</v>
      </c>
      <c r="B22" s="550"/>
      <c r="C22" s="551"/>
      <c r="D22" s="551"/>
      <c r="E22" s="303"/>
      <c r="F22" s="287"/>
      <c r="G22" s="288"/>
      <c r="H22" s="289"/>
      <c r="I22" s="33">
        <f t="shared" si="0"/>
      </c>
      <c r="J22" s="291"/>
      <c r="K22" s="33">
        <f t="shared" si="1"/>
      </c>
      <c r="L22" s="33">
        <f t="shared" si="2"/>
      </c>
      <c r="M22" s="33">
        <f t="shared" si="3"/>
      </c>
      <c r="N22" s="261">
        <v>10</v>
      </c>
      <c r="O22" s="293">
        <v>8</v>
      </c>
    </row>
    <row r="23" spans="1:14" ht="21" customHeight="1" thickBot="1">
      <c r="A23" s="546" t="s">
        <v>15</v>
      </c>
      <c r="B23" s="547"/>
      <c r="C23" s="547"/>
      <c r="D23" s="547"/>
      <c r="E23" s="547"/>
      <c r="F23" s="547"/>
      <c r="G23" s="547"/>
      <c r="H23" s="547"/>
      <c r="I23" s="547"/>
      <c r="J23" s="235"/>
      <c r="K23" s="30">
        <f>SUM(K13:K22)</f>
        <v>1080000</v>
      </c>
      <c r="L23" s="30">
        <f>SUM(L13:L22)</f>
        <v>1000000</v>
      </c>
      <c r="M23" s="29">
        <f>SUM(M13:M22)</f>
        <v>1000000</v>
      </c>
      <c r="N23" s="236"/>
    </row>
    <row r="24" spans="1:14" ht="13.5" customHeight="1">
      <c r="A24" s="241"/>
      <c r="L24" s="238"/>
      <c r="M24" s="239"/>
      <c r="N24" s="213"/>
    </row>
    <row r="25" spans="1:14" ht="13.5" customHeight="1">
      <c r="A25" s="241"/>
      <c r="B25" s="211" t="s">
        <v>17</v>
      </c>
      <c r="D25" s="241"/>
      <c r="E25" s="1" t="s">
        <v>33</v>
      </c>
      <c r="N25" s="213"/>
    </row>
    <row r="26" spans="2:5" ht="13.5" customHeight="1">
      <c r="B26" s="211" t="s">
        <v>18</v>
      </c>
      <c r="E26" s="1" t="s">
        <v>34</v>
      </c>
    </row>
    <row r="27" spans="2:5" ht="13.5" customHeight="1">
      <c r="B27" s="211" t="s">
        <v>19</v>
      </c>
      <c r="E27" s="1" t="s">
        <v>35</v>
      </c>
    </row>
  </sheetData>
  <sheetProtection sheet="1" objects="1" scenarios="1"/>
  <mergeCells count="20">
    <mergeCell ref="B2:D2"/>
    <mergeCell ref="O11:O12"/>
    <mergeCell ref="B18:D18"/>
    <mergeCell ref="A4:E4"/>
    <mergeCell ref="A11:A12"/>
    <mergeCell ref="B11:D11"/>
    <mergeCell ref="K11:L11"/>
    <mergeCell ref="N11:N12"/>
    <mergeCell ref="F7:H7"/>
    <mergeCell ref="F6:H6"/>
    <mergeCell ref="B19:D19"/>
    <mergeCell ref="B20:D20"/>
    <mergeCell ref="B21:D21"/>
    <mergeCell ref="B22:D22"/>
    <mergeCell ref="A23:I23"/>
    <mergeCell ref="B13:D13"/>
    <mergeCell ref="B14:D14"/>
    <mergeCell ref="B15:D15"/>
    <mergeCell ref="B16:D16"/>
    <mergeCell ref="B17:D17"/>
  </mergeCells>
  <dataValidations count="2">
    <dataValidation allowBlank="1" showInputMessage="1" showErrorMessage="1" imeMode="halfAlpha" sqref="I13:M22"/>
    <dataValidation allowBlank="1" showInputMessage="1" showErrorMessage="1" imeMode="hiragana" sqref="L9 J9"/>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57" r:id="rId1"/>
</worksheet>
</file>

<file path=xl/worksheets/sheet9.xml><?xml version="1.0" encoding="utf-8"?>
<worksheet xmlns="http://schemas.openxmlformats.org/spreadsheetml/2006/main" xmlns:r="http://schemas.openxmlformats.org/officeDocument/2006/relationships">
  <sheetPr codeName="Sheet9">
    <tabColor theme="8" tint="0.7999799847602844"/>
    <pageSetUpPr fitToPage="1"/>
  </sheetPr>
  <dimension ref="A1:R27"/>
  <sheetViews>
    <sheetView showGridLines="0" zoomScaleSheetLayoutView="100" zoomScalePageLayoutView="0" workbookViewId="0" topLeftCell="A1">
      <pane ySplit="3" topLeftCell="A4" activePane="bottomLeft" state="frozen"/>
      <selection pane="topLeft" activeCell="B13" sqref="B13:D22"/>
      <selection pane="bottomLeft" activeCell="A1" sqref="A1"/>
    </sheetView>
  </sheetViews>
  <sheetFormatPr defaultColWidth="9.140625" defaultRowHeight="15"/>
  <cols>
    <col min="1" max="1" width="8.421875" style="211" customWidth="1"/>
    <col min="2" max="4" width="3.7109375" style="211" customWidth="1"/>
    <col min="5" max="5" width="16.421875" style="1" customWidth="1"/>
    <col min="6" max="6" width="16.140625" style="1" customWidth="1"/>
    <col min="7" max="7" width="9.140625" style="211" customWidth="1"/>
    <col min="8" max="8" width="6.421875" style="211" customWidth="1"/>
    <col min="9" max="13" width="15.140625" style="211" customWidth="1"/>
    <col min="14" max="14" width="3.8515625" style="209" customWidth="1"/>
    <col min="15" max="15" width="5.28125" style="209" customWidth="1"/>
    <col min="16" max="16384" width="9.00390625" style="211" customWidth="1"/>
  </cols>
  <sheetData>
    <row r="1" spans="1:18" ht="13.5">
      <c r="A1" s="209"/>
      <c r="E1" s="210"/>
      <c r="H1" s="209"/>
      <c r="P1" s="209"/>
      <c r="Q1" s="212"/>
      <c r="R1" s="212"/>
    </row>
    <row r="2" spans="1:18" ht="13.5">
      <c r="A2" s="209"/>
      <c r="B2" s="559" t="s">
        <v>216</v>
      </c>
      <c r="C2" s="559"/>
      <c r="D2" s="559"/>
      <c r="E2" s="210"/>
      <c r="H2" s="209"/>
      <c r="P2" s="209"/>
      <c r="Q2" s="212"/>
      <c r="R2" s="212"/>
    </row>
    <row r="3" spans="1:18" ht="13.5">
      <c r="A3" s="209"/>
      <c r="E3" s="210"/>
      <c r="H3" s="209"/>
      <c r="P3" s="209"/>
      <c r="Q3" s="212"/>
      <c r="R3" s="212"/>
    </row>
    <row r="4" spans="1:6" ht="13.5" customHeight="1">
      <c r="A4" s="560" t="s">
        <v>243</v>
      </c>
      <c r="B4" s="560"/>
      <c r="C4" s="560"/>
      <c r="D4" s="560"/>
      <c r="E4" s="560"/>
      <c r="F4" s="209"/>
    </row>
    <row r="5" spans="1:14" ht="13.5" customHeight="1">
      <c r="A5" s="213"/>
      <c r="B5" s="213"/>
      <c r="C5" s="213"/>
      <c r="D5" s="213"/>
      <c r="E5" s="257"/>
      <c r="F5" s="209"/>
      <c r="N5" s="213"/>
    </row>
    <row r="6" spans="1:14" ht="13.5" customHeight="1">
      <c r="A6" s="213"/>
      <c r="B6" s="215" t="s">
        <v>161</v>
      </c>
      <c r="C6" s="216"/>
      <c r="D6" s="217"/>
      <c r="E6" s="218"/>
      <c r="F6" s="554" t="s">
        <v>16</v>
      </c>
      <c r="G6" s="555"/>
      <c r="H6" s="556"/>
      <c r="N6" s="213"/>
    </row>
    <row r="7" spans="1:14" ht="13.5" customHeight="1">
      <c r="A7" s="213"/>
      <c r="B7" s="213"/>
      <c r="C7" s="213"/>
      <c r="D7" s="213"/>
      <c r="E7" s="257"/>
      <c r="F7" s="563" t="s">
        <v>30</v>
      </c>
      <c r="G7" s="564"/>
      <c r="H7" s="565"/>
      <c r="N7" s="213"/>
    </row>
    <row r="8" spans="1:15" ht="13.5" customHeight="1">
      <c r="A8" s="213"/>
      <c r="B8" s="213"/>
      <c r="C8" s="213"/>
      <c r="D8" s="213"/>
      <c r="E8" s="257"/>
      <c r="F8" s="209"/>
      <c r="N8" s="213"/>
      <c r="O8" s="219"/>
    </row>
    <row r="9" spans="1:14" ht="13.5" customHeight="1">
      <c r="A9" s="241"/>
      <c r="F9" s="209"/>
      <c r="I9" s="220" t="s">
        <v>32</v>
      </c>
      <c r="J9" s="1" t="str">
        <f>IF('基本情報入力（使い方）'!$C$12="","",'基本情報入力（使い方）'!$C$12)</f>
        <v>Ｂ金属株式会社</v>
      </c>
      <c r="K9" s="220"/>
      <c r="L9" s="1"/>
      <c r="N9" s="213"/>
    </row>
    <row r="10" spans="1:15" ht="13.5" customHeight="1" thickBot="1">
      <c r="A10" s="241"/>
      <c r="F10" s="209"/>
      <c r="M10" s="220" t="s">
        <v>20</v>
      </c>
      <c r="N10" s="211"/>
      <c r="O10" s="220"/>
    </row>
    <row r="11" spans="1:15" ht="27" customHeight="1">
      <c r="A11" s="561" t="s">
        <v>1</v>
      </c>
      <c r="B11" s="552" t="s">
        <v>2</v>
      </c>
      <c r="C11" s="552"/>
      <c r="D11" s="553"/>
      <c r="E11" s="222" t="s">
        <v>3</v>
      </c>
      <c r="F11" s="222" t="s">
        <v>4</v>
      </c>
      <c r="G11" s="222" t="s">
        <v>5</v>
      </c>
      <c r="H11" s="222" t="s">
        <v>6</v>
      </c>
      <c r="I11" s="222" t="s">
        <v>0</v>
      </c>
      <c r="J11" s="222" t="s">
        <v>0</v>
      </c>
      <c r="K11" s="572" t="s">
        <v>7</v>
      </c>
      <c r="L11" s="553"/>
      <c r="M11" s="222" t="s">
        <v>8</v>
      </c>
      <c r="N11" s="544" t="s">
        <v>1</v>
      </c>
      <c r="O11" s="568" t="s">
        <v>38</v>
      </c>
    </row>
    <row r="12" spans="1:15" ht="42" customHeight="1" thickBot="1">
      <c r="A12" s="562"/>
      <c r="B12" s="224" t="s">
        <v>9</v>
      </c>
      <c r="C12" s="224" t="s">
        <v>10</v>
      </c>
      <c r="D12" s="225" t="s">
        <v>11</v>
      </c>
      <c r="E12" s="258"/>
      <c r="F12" s="227"/>
      <c r="G12" s="228"/>
      <c r="H12" s="228"/>
      <c r="I12" s="228" t="s">
        <v>12</v>
      </c>
      <c r="J12" s="228" t="s">
        <v>25</v>
      </c>
      <c r="K12" s="228" t="s">
        <v>13</v>
      </c>
      <c r="L12" s="229" t="s">
        <v>23</v>
      </c>
      <c r="M12" s="228" t="s">
        <v>14</v>
      </c>
      <c r="N12" s="545"/>
      <c r="O12" s="569"/>
    </row>
    <row r="13" spans="1:15" ht="61.5" customHeight="1">
      <c r="A13" s="246">
        <v>1</v>
      </c>
      <c r="B13" s="570">
        <v>43039</v>
      </c>
      <c r="C13" s="571"/>
      <c r="D13" s="571"/>
      <c r="E13" s="306" t="s">
        <v>122</v>
      </c>
      <c r="F13" s="281" t="s">
        <v>123</v>
      </c>
      <c r="G13" s="282">
        <v>150</v>
      </c>
      <c r="H13" s="283" t="s">
        <v>124</v>
      </c>
      <c r="I13" s="31">
        <f>IF(J13="","",ROUNDDOWN(J13*(1+O13/100),0))</f>
        <v>6372</v>
      </c>
      <c r="J13" s="307">
        <v>5900</v>
      </c>
      <c r="K13" s="31">
        <f>IF(L13="","",ROUNDDOWN(L13*(1+O13/100),0))</f>
        <v>955800</v>
      </c>
      <c r="L13" s="31">
        <f>IF(OR(J13="",G13=""),"",ROUNDDOWN(J13*G13,0))</f>
        <v>885000</v>
      </c>
      <c r="M13" s="192">
        <f>L13</f>
        <v>885000</v>
      </c>
      <c r="N13" s="259">
        <v>1</v>
      </c>
      <c r="O13" s="292">
        <v>8</v>
      </c>
    </row>
    <row r="14" spans="1:15" ht="61.5" customHeight="1">
      <c r="A14" s="248">
        <v>2</v>
      </c>
      <c r="B14" s="548"/>
      <c r="C14" s="549"/>
      <c r="D14" s="549"/>
      <c r="E14" s="302"/>
      <c r="F14" s="285"/>
      <c r="G14" s="282"/>
      <c r="H14" s="283"/>
      <c r="I14" s="31">
        <f aca="true" t="shared" si="0" ref="I14:I22">IF(J14="","",ROUNDDOWN(J14*(1+O14/100),0))</f>
      </c>
      <c r="J14" s="290"/>
      <c r="K14" s="31">
        <f aca="true" t="shared" si="1" ref="K14:K22">IF(L14="","",ROUNDDOWN(L14*(1+O14/100),0))</f>
      </c>
      <c r="L14" s="31">
        <f aca="true" t="shared" si="2" ref="L14:L22">IF(OR(J14="",G14=""),"",ROUNDDOWN(J14*G14,0))</f>
      </c>
      <c r="M14" s="192">
        <f aca="true" t="shared" si="3" ref="M14:M22">L14</f>
      </c>
      <c r="N14" s="260">
        <v>2</v>
      </c>
      <c r="O14" s="292">
        <v>8</v>
      </c>
    </row>
    <row r="15" spans="1:15" ht="61.5" customHeight="1">
      <c r="A15" s="248">
        <v>3</v>
      </c>
      <c r="B15" s="548"/>
      <c r="C15" s="549"/>
      <c r="D15" s="549"/>
      <c r="E15" s="302"/>
      <c r="F15" s="285"/>
      <c r="G15" s="282"/>
      <c r="H15" s="283"/>
      <c r="I15" s="31">
        <f t="shared" si="0"/>
      </c>
      <c r="J15" s="290"/>
      <c r="K15" s="31">
        <f t="shared" si="1"/>
      </c>
      <c r="L15" s="31">
        <f t="shared" si="2"/>
      </c>
      <c r="M15" s="32">
        <f t="shared" si="3"/>
      </c>
      <c r="N15" s="259">
        <v>3</v>
      </c>
      <c r="O15" s="292">
        <v>8</v>
      </c>
    </row>
    <row r="16" spans="1:15" ht="61.5" customHeight="1">
      <c r="A16" s="248">
        <v>4</v>
      </c>
      <c r="B16" s="548"/>
      <c r="C16" s="549"/>
      <c r="D16" s="549"/>
      <c r="E16" s="302"/>
      <c r="F16" s="285"/>
      <c r="G16" s="282"/>
      <c r="H16" s="283"/>
      <c r="I16" s="31">
        <f t="shared" si="0"/>
      </c>
      <c r="J16" s="290"/>
      <c r="K16" s="31">
        <f t="shared" si="1"/>
      </c>
      <c r="L16" s="31">
        <f t="shared" si="2"/>
      </c>
      <c r="M16" s="32">
        <f t="shared" si="3"/>
      </c>
      <c r="N16" s="260">
        <v>4</v>
      </c>
      <c r="O16" s="292">
        <v>8</v>
      </c>
    </row>
    <row r="17" spans="1:15" ht="61.5" customHeight="1">
      <c r="A17" s="248">
        <v>5</v>
      </c>
      <c r="B17" s="548"/>
      <c r="C17" s="549"/>
      <c r="D17" s="549"/>
      <c r="E17" s="302"/>
      <c r="F17" s="285"/>
      <c r="G17" s="282"/>
      <c r="H17" s="283"/>
      <c r="I17" s="31">
        <f t="shared" si="0"/>
      </c>
      <c r="J17" s="290"/>
      <c r="K17" s="31">
        <f t="shared" si="1"/>
      </c>
      <c r="L17" s="31">
        <f t="shared" si="2"/>
      </c>
      <c r="M17" s="32">
        <f t="shared" si="3"/>
      </c>
      <c r="N17" s="259">
        <v>5</v>
      </c>
      <c r="O17" s="292">
        <v>8</v>
      </c>
    </row>
    <row r="18" spans="1:15" ht="61.5" customHeight="1">
      <c r="A18" s="248">
        <v>6</v>
      </c>
      <c r="B18" s="548"/>
      <c r="C18" s="549"/>
      <c r="D18" s="549"/>
      <c r="E18" s="302"/>
      <c r="F18" s="285"/>
      <c r="G18" s="282"/>
      <c r="H18" s="283"/>
      <c r="I18" s="31">
        <f t="shared" si="0"/>
      </c>
      <c r="J18" s="290"/>
      <c r="K18" s="31">
        <f t="shared" si="1"/>
      </c>
      <c r="L18" s="31">
        <f t="shared" si="2"/>
      </c>
      <c r="M18" s="32">
        <f t="shared" si="3"/>
      </c>
      <c r="N18" s="260">
        <v>6</v>
      </c>
      <c r="O18" s="292">
        <v>8</v>
      </c>
    </row>
    <row r="19" spans="1:15" ht="61.5" customHeight="1">
      <c r="A19" s="248">
        <v>7</v>
      </c>
      <c r="B19" s="548"/>
      <c r="C19" s="549"/>
      <c r="D19" s="549"/>
      <c r="E19" s="302"/>
      <c r="F19" s="286"/>
      <c r="G19" s="282"/>
      <c r="H19" s="283"/>
      <c r="I19" s="31">
        <f t="shared" si="0"/>
      </c>
      <c r="J19" s="290"/>
      <c r="K19" s="31">
        <f t="shared" si="1"/>
      </c>
      <c r="L19" s="31">
        <f t="shared" si="2"/>
      </c>
      <c r="M19" s="32">
        <f t="shared" si="3"/>
      </c>
      <c r="N19" s="259">
        <v>7</v>
      </c>
      <c r="O19" s="292">
        <v>8</v>
      </c>
    </row>
    <row r="20" spans="1:15" ht="61.5" customHeight="1">
      <c r="A20" s="248">
        <v>8</v>
      </c>
      <c r="B20" s="548"/>
      <c r="C20" s="549"/>
      <c r="D20" s="549"/>
      <c r="E20" s="302"/>
      <c r="F20" s="285"/>
      <c r="G20" s="282"/>
      <c r="H20" s="283"/>
      <c r="I20" s="31">
        <f t="shared" si="0"/>
      </c>
      <c r="J20" s="290"/>
      <c r="K20" s="31">
        <f t="shared" si="1"/>
      </c>
      <c r="L20" s="31">
        <f t="shared" si="2"/>
      </c>
      <c r="M20" s="32">
        <f t="shared" si="3"/>
      </c>
      <c r="N20" s="260">
        <v>8</v>
      </c>
      <c r="O20" s="292">
        <v>8</v>
      </c>
    </row>
    <row r="21" spans="1:15" ht="61.5" customHeight="1">
      <c r="A21" s="248">
        <v>9</v>
      </c>
      <c r="B21" s="548"/>
      <c r="C21" s="549"/>
      <c r="D21" s="549"/>
      <c r="E21" s="302"/>
      <c r="F21" s="285"/>
      <c r="G21" s="282"/>
      <c r="H21" s="283"/>
      <c r="I21" s="31">
        <f t="shared" si="0"/>
      </c>
      <c r="J21" s="290"/>
      <c r="K21" s="31">
        <f t="shared" si="1"/>
      </c>
      <c r="L21" s="31">
        <f t="shared" si="2"/>
      </c>
      <c r="M21" s="32">
        <f t="shared" si="3"/>
      </c>
      <c r="N21" s="259">
        <v>9</v>
      </c>
      <c r="O21" s="292">
        <v>8</v>
      </c>
    </row>
    <row r="22" spans="1:15" ht="61.5" customHeight="1" thickBot="1">
      <c r="A22" s="255">
        <v>10</v>
      </c>
      <c r="B22" s="550"/>
      <c r="C22" s="551"/>
      <c r="D22" s="551"/>
      <c r="E22" s="303"/>
      <c r="F22" s="287"/>
      <c r="G22" s="288"/>
      <c r="H22" s="289"/>
      <c r="I22" s="33">
        <f t="shared" si="0"/>
      </c>
      <c r="J22" s="291"/>
      <c r="K22" s="33">
        <f t="shared" si="1"/>
      </c>
      <c r="L22" s="33">
        <f t="shared" si="2"/>
      </c>
      <c r="M22" s="33">
        <f t="shared" si="3"/>
      </c>
      <c r="N22" s="261">
        <v>10</v>
      </c>
      <c r="O22" s="293">
        <v>8</v>
      </c>
    </row>
    <row r="23" spans="1:14" ht="21" customHeight="1" thickBot="1">
      <c r="A23" s="546" t="s">
        <v>15</v>
      </c>
      <c r="B23" s="547"/>
      <c r="C23" s="547"/>
      <c r="D23" s="547"/>
      <c r="E23" s="547"/>
      <c r="F23" s="547"/>
      <c r="G23" s="547"/>
      <c r="H23" s="547"/>
      <c r="I23" s="547"/>
      <c r="J23" s="235"/>
      <c r="K23" s="30">
        <f>SUM(K13:K22)</f>
        <v>955800</v>
      </c>
      <c r="L23" s="30">
        <f>SUM(L13:L22)</f>
        <v>885000</v>
      </c>
      <c r="M23" s="29">
        <f>SUM(M13:M22)</f>
        <v>885000</v>
      </c>
      <c r="N23" s="236"/>
    </row>
    <row r="24" spans="1:14" ht="13.5" customHeight="1">
      <c r="A24" s="241"/>
      <c r="L24" s="238"/>
      <c r="M24" s="239"/>
      <c r="N24" s="213"/>
    </row>
    <row r="25" spans="1:14" ht="13.5" customHeight="1">
      <c r="A25" s="241"/>
      <c r="B25" s="211" t="s">
        <v>17</v>
      </c>
      <c r="D25" s="241"/>
      <c r="E25" s="1" t="s">
        <v>33</v>
      </c>
      <c r="N25" s="213"/>
    </row>
    <row r="26" spans="2:5" ht="13.5" customHeight="1">
      <c r="B26" s="211" t="s">
        <v>18</v>
      </c>
      <c r="E26" s="1" t="s">
        <v>34</v>
      </c>
    </row>
    <row r="27" spans="2:5" ht="13.5" customHeight="1">
      <c r="B27" s="211" t="s">
        <v>19</v>
      </c>
      <c r="E27" s="1" t="s">
        <v>35</v>
      </c>
    </row>
  </sheetData>
  <sheetProtection sheet="1" objects="1" scenarios="1"/>
  <mergeCells count="20">
    <mergeCell ref="B2:D2"/>
    <mergeCell ref="O11:O12"/>
    <mergeCell ref="B18:D18"/>
    <mergeCell ref="A4:E4"/>
    <mergeCell ref="A11:A12"/>
    <mergeCell ref="B11:D11"/>
    <mergeCell ref="K11:L11"/>
    <mergeCell ref="N11:N12"/>
    <mergeCell ref="F7:H7"/>
    <mergeCell ref="F6:H6"/>
    <mergeCell ref="B19:D19"/>
    <mergeCell ref="B20:D20"/>
    <mergeCell ref="B21:D21"/>
    <mergeCell ref="B22:D22"/>
    <mergeCell ref="A23:I23"/>
    <mergeCell ref="B13:D13"/>
    <mergeCell ref="B14:D14"/>
    <mergeCell ref="B15:D15"/>
    <mergeCell ref="B16:D16"/>
    <mergeCell ref="B17:D17"/>
  </mergeCells>
  <dataValidations count="2">
    <dataValidation allowBlank="1" showInputMessage="1" showErrorMessage="1" imeMode="halfAlpha" sqref="I13:M22"/>
    <dataValidation allowBlank="1" showInputMessage="1" showErrorMessage="1" imeMode="hiragana" sqref="L9 J9"/>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5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bara</dc:creator>
  <cp:keywords/>
  <dc:description/>
  <cp:lastModifiedBy>高村 育子</cp:lastModifiedBy>
  <cp:lastPrinted>2017-05-11T04:30:51Z</cp:lastPrinted>
  <dcterms:created xsi:type="dcterms:W3CDTF">2013-05-03T10:01:41Z</dcterms:created>
  <dcterms:modified xsi:type="dcterms:W3CDTF">2017-08-18T02:31:29Z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