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3425" tabRatio="726" activeTab="0"/>
  </bookViews>
  <sheets>
    <sheet name="目次" sheetId="1" r:id="rId1"/>
    <sheet name="基本情報入力（使い方）" sheetId="2" r:id="rId2"/>
    <sheet name="設定" sheetId="3" state="hidden" r:id="rId3"/>
    <sheet name="経費明細表" sheetId="4" r:id="rId4"/>
    <sheet name="日本標準産業分類" sheetId="5" r:id="rId5"/>
    <sheet name="機械装置費（50万円以上）" sheetId="6" r:id="rId6"/>
    <sheet name="機械装置費（50万円未満）" sheetId="7" r:id="rId7"/>
    <sheet name="原材料費" sheetId="8" r:id="rId8"/>
    <sheet name="技術導入費" sheetId="9" r:id="rId9"/>
    <sheet name="外注加工費" sheetId="10" r:id="rId10"/>
    <sheet name="委託費" sheetId="11" r:id="rId11"/>
    <sheet name="知的財産権等関連経費" sheetId="12" r:id="rId12"/>
    <sheet name="運搬費" sheetId="13" r:id="rId13"/>
    <sheet name="専門家経費" sheetId="14" r:id="rId14"/>
    <sheet name="クラウド利用費" sheetId="15" r:id="rId15"/>
  </sheets>
  <definedNames>
    <definedName name="_xlfn.IFERROR" hidden="1">#NAME?</definedName>
    <definedName name="_xlfn.SHEETS" hidden="1">#NAME?</definedName>
    <definedName name="_xlfn.SUMIFS" hidden="1">#NAME?</definedName>
    <definedName name="_xlnm.Print_Area" localSheetId="14">'クラウド利用費'!$A$4:$P$38</definedName>
    <definedName name="_xlnm.Print_Area" localSheetId="10">'委託費'!$A$4:$P$38</definedName>
    <definedName name="_xlnm.Print_Area" localSheetId="12">'運搬費'!$A$4:$P$38</definedName>
    <definedName name="_xlnm.Print_Area" localSheetId="9">'外注加工費'!$A$4:$P$38</definedName>
    <definedName name="_xlnm.Print_Area" localSheetId="5">'機械装置費（50万円以上）'!$A$4:$O$38</definedName>
    <definedName name="_xlnm.Print_Area" localSheetId="6">'機械装置費（50万円未満）'!$A$4:$O$38</definedName>
    <definedName name="_xlnm.Print_Area" localSheetId="8">'技術導入費'!$A$4:$P$38</definedName>
    <definedName name="_xlnm.Print_Area" localSheetId="3">'経費明細表'!$W$4:$AI$61</definedName>
    <definedName name="_xlnm.Print_Area" localSheetId="7">'原材料費'!$A$4:$P$38</definedName>
    <definedName name="_xlnm.Print_Area" localSheetId="13">'専門家経費'!$A$4:$P$38</definedName>
    <definedName name="_xlnm.Print_Area" localSheetId="11">'知的財産権等関連経費'!$A$4:$P$38</definedName>
    <definedName name="事業類型" localSheetId="3">'経費明細表'!$Y$17</definedName>
    <definedName name="消費税率" localSheetId="3">'経費明細表'!$Y$16</definedName>
    <definedName name="補助下限額">'経費明細表'!$Y$20</definedName>
    <definedName name="補助上限額" localSheetId="3">'経費明細表'!$Y$19</definedName>
  </definedNames>
  <calcPr fullCalcOnLoad="1"/>
</workbook>
</file>

<file path=xl/comments10.xml><?xml version="1.0" encoding="utf-8"?>
<comments xmlns="http://schemas.openxmlformats.org/spreadsheetml/2006/main">
  <authors>
    <author>mono133</author>
  </authors>
  <commentList>
    <comment ref="N12" authorId="0">
      <text>
        <r>
          <rPr>
            <sz val="9"/>
            <rFont val="ＭＳ Ｐゴシック"/>
            <family val="3"/>
          </rPr>
          <t>「経費明細表」にて上限調整した額になるように経費内訳を調整してください。
　・変更申請額と同額の場合も入力
　　が必要です。
　・上限調整後の合計(ｾﾙN33）は
　　自動計算されますので「経費明
　　細表」と照合して下さい。</t>
        </r>
      </text>
    </comment>
  </commentList>
</comments>
</file>

<file path=xl/comments11.xml><?xml version="1.0" encoding="utf-8"?>
<comments xmlns="http://schemas.openxmlformats.org/spreadsheetml/2006/main">
  <authors>
    <author>mono133</author>
  </authors>
  <commentList>
    <comment ref="N12" authorId="0">
      <text>
        <r>
          <rPr>
            <sz val="9"/>
            <rFont val="ＭＳ Ｐゴシック"/>
            <family val="3"/>
          </rPr>
          <t>「経費明細表」にて上限調整した額になるように経費内訳を調整してください。
　・変更申請額と同額の場合も入力
　　が必要です。
　・上限調整後の合計(ｾﾙN33）は
　　自動計算されますので「経費明
　　細表」と照合して下さい。</t>
        </r>
      </text>
    </comment>
  </commentList>
</comments>
</file>

<file path=xl/comments12.xml><?xml version="1.0" encoding="utf-8"?>
<comments xmlns="http://schemas.openxmlformats.org/spreadsheetml/2006/main">
  <authors>
    <author>mono133</author>
  </authors>
  <commentList>
    <comment ref="N12" authorId="0">
      <text>
        <r>
          <rPr>
            <sz val="9"/>
            <rFont val="ＭＳ Ｐゴシック"/>
            <family val="3"/>
          </rPr>
          <t>「経費明細表」にて上限調整した額になるように経費内訳を調整してください。
　・変更申請額と同額の場合も入力
　　が必要です。
　・上限調整後の合計(ｾﾙN33）は
　　自動計算されますので「経費明
　　細表」と照合して下さい。</t>
        </r>
      </text>
    </comment>
  </commentList>
</comments>
</file>

<file path=xl/comments13.xml><?xml version="1.0" encoding="utf-8"?>
<comments xmlns="http://schemas.openxmlformats.org/spreadsheetml/2006/main">
  <authors>
    <author>mono133</author>
  </authors>
  <commentList>
    <comment ref="N12" authorId="0">
      <text>
        <r>
          <rPr>
            <sz val="9"/>
            <rFont val="ＭＳ Ｐゴシック"/>
            <family val="3"/>
          </rPr>
          <t>「経費明細表」にて上限調整した額になるように経費内訳を調整してください。
　・変更申請額と同額の場合も入力
　　が必要です。
　・上限調整後の合計(ｾﾙN33）は
　　自動計算されますので「経費明
　　細表」と照合して下さい。</t>
        </r>
      </text>
    </comment>
  </commentList>
</comments>
</file>

<file path=xl/comments14.xml><?xml version="1.0" encoding="utf-8"?>
<comments xmlns="http://schemas.openxmlformats.org/spreadsheetml/2006/main">
  <authors>
    <author>mono133</author>
  </authors>
  <commentList>
    <comment ref="N12" authorId="0">
      <text>
        <r>
          <rPr>
            <sz val="9"/>
            <rFont val="ＭＳ Ｐゴシック"/>
            <family val="3"/>
          </rPr>
          <t>「経費明細表」にて上限調整した額になるように経費内訳を調整してください。
　・変更申請額と同額の場合も入力
　　が必要です。
　・上限調整後の合計(ｾﾙN33）は
　　自動計算されますので「経費明
　　細表」と照合して下さい。</t>
        </r>
      </text>
    </comment>
  </commentList>
</comments>
</file>

<file path=xl/comments15.xml><?xml version="1.0" encoding="utf-8"?>
<comments xmlns="http://schemas.openxmlformats.org/spreadsheetml/2006/main">
  <authors>
    <author>mono133</author>
  </authors>
  <commentList>
    <comment ref="N12" authorId="0">
      <text>
        <r>
          <rPr>
            <sz val="9"/>
            <rFont val="ＭＳ Ｐゴシック"/>
            <family val="3"/>
          </rPr>
          <t>「経費明細表」にて上限調整した額になるように経費内訳を調整してください。
　・変更申請額と同額の場合も入力
　　が必要です。
　・上限調整後の合計(ｾﾙN33）は
　　自動計算されますので「経費明
　　細表」と照合して下さい。</t>
        </r>
      </text>
    </comment>
  </commentList>
</comments>
</file>

<file path=xl/comments4.xml><?xml version="1.0" encoding="utf-8"?>
<comments xmlns="http://schemas.openxmlformats.org/spreadsheetml/2006/main">
  <authors>
    <author>PCUser</author>
    <author>bara</author>
    <author>EH</author>
    <author>高村 育子</author>
    <author>NR1504-720</author>
    <author>mono31 飛永　美和</author>
  </authors>
  <commentList>
    <comment ref="AC25" authorId="0">
      <text>
        <r>
          <rPr>
            <sz val="11"/>
            <rFont val="ＭＳ Ｐゴシック"/>
            <family val="3"/>
          </rPr>
          <t xml:space="preserve">各経費区分ごとに判定。
判定１～判定３に「×」が１つでもあると、「×」と判定。
</t>
        </r>
      </text>
    </comment>
    <comment ref="AD25" authorId="1">
      <text>
        <r>
          <rPr>
            <sz val="11"/>
            <rFont val="ＭＳ Ｐゴシック"/>
            <family val="3"/>
          </rPr>
          <t xml:space="preserve">外注加工費、委託費、知的財産関連経費については、補助対象経費総額の1/2、1/2、1/3を超えてはならない。外注加工費＋委託費についても補助対象経費総額の1/2を超えないこと。
</t>
        </r>
      </text>
    </comment>
    <comment ref="AE25" authorId="0">
      <text>
        <r>
          <rPr>
            <sz val="11"/>
            <rFont val="ＭＳ Ｐゴシック"/>
            <family val="3"/>
          </rPr>
          <t xml:space="preserve">直接人件費・雑役務費については、給与は消費税課税対象外のため、
</t>
        </r>
        <r>
          <rPr>
            <b/>
            <sz val="12"/>
            <rFont val="ＭＳ Ｐゴシック"/>
            <family val="3"/>
          </rPr>
          <t xml:space="preserve">「補助事業に要した経費（税込）
＝補助事業に要した経費（税抜）」
</t>
        </r>
        <r>
          <rPr>
            <b/>
            <sz val="11"/>
            <rFont val="ＭＳ Ｐゴシック"/>
            <family val="3"/>
          </rPr>
          <t xml:space="preserve">（「≧」ではなく「＝」）
</t>
        </r>
        <r>
          <rPr>
            <sz val="11"/>
            <rFont val="ＭＳ Ｐゴシック"/>
            <family val="3"/>
          </rPr>
          <t>で判定している</t>
        </r>
      </text>
    </comment>
    <comment ref="AI25" authorId="0">
      <text>
        <r>
          <rPr>
            <sz val="11"/>
            <rFont val="ＭＳ Ｐゴシック"/>
            <family val="3"/>
          </rPr>
          <t>判定１～７、「実績額の総額についての判定」がすべて「○」のとき、総合判定は「○」</t>
        </r>
      </text>
    </comment>
    <comment ref="AD32" authorId="2">
      <text>
        <r>
          <rPr>
            <b/>
            <sz val="11"/>
            <rFont val="ＭＳ Ｐゴシック"/>
            <family val="3"/>
          </rPr>
          <t>補助対象経費について</t>
        </r>
        <r>
          <rPr>
            <sz val="11"/>
            <rFont val="ＭＳ Ｐゴシック"/>
            <family val="3"/>
          </rPr>
          <t>、「外注加工費≦1/2×総額」と「委託費＋外注加工費≦1/2×総額」の制約がある。（いくつかある制約のうち、委託費に関わる部分のみ抜粋）
ここでは外注加工費に修正が必要な場合に「×」と判定、外注加工費の修正は必要ない場合に「○」と判定している。
①</t>
        </r>
        <r>
          <rPr>
            <b/>
            <sz val="11"/>
            <rFont val="ＭＳ Ｐゴシック"/>
            <family val="3"/>
          </rPr>
          <t>「委託費＋外注加工費≦1/2×総額」のとき</t>
        </r>
        <r>
          <rPr>
            <sz val="11"/>
            <rFont val="ＭＳ Ｐゴシック"/>
            <family val="3"/>
          </rPr>
          <t xml:space="preserve">
（「外注加工費≦1/2×総額」と「委託費＋外注加工費≦1/2×総額」の両方を満たすので、外注加工費の修正は必要ない→外注加工費として「○」と判定）
</t>
        </r>
        <r>
          <rPr>
            <b/>
            <sz val="11"/>
            <rFont val="ＭＳ Ｐゴシック"/>
            <family val="3"/>
          </rPr>
          <t>または</t>
        </r>
        <r>
          <rPr>
            <sz val="11"/>
            <rFont val="ＭＳ Ｐゴシック"/>
            <family val="3"/>
          </rPr>
          <t xml:space="preserve">
②</t>
        </r>
        <r>
          <rPr>
            <b/>
            <sz val="11"/>
            <rFont val="ＭＳ Ｐゴシック"/>
            <family val="3"/>
          </rPr>
          <t>「委託費＞1/2×総額」のとき</t>
        </r>
        <r>
          <rPr>
            <sz val="11"/>
            <rFont val="ＭＳ Ｐゴシック"/>
            <family val="3"/>
          </rPr>
          <t xml:space="preserve">
（「委託費＋外注加工費≦1/2×総額」にならないが、原因は委託費にあり、外注加工費には原因がない。外注加工費の修正は必要ない→外注加工費として「○」と判定）</t>
        </r>
        <r>
          <rPr>
            <sz val="16"/>
            <rFont val="ＭＳ Ｐゴシック"/>
            <family val="3"/>
          </rPr>
          <t xml:space="preserve">
</t>
        </r>
      </text>
    </comment>
    <comment ref="AD33" authorId="2">
      <text>
        <r>
          <rPr>
            <b/>
            <sz val="11"/>
            <rFont val="ＭＳ Ｐゴシック"/>
            <family val="3"/>
          </rPr>
          <t>補助対象経費について</t>
        </r>
        <r>
          <rPr>
            <sz val="11"/>
            <rFont val="ＭＳ Ｐゴシック"/>
            <family val="3"/>
          </rPr>
          <t>、「委託費≦1/2×総額」と「委託費＋外注加工費≦1/2×総額」の制約がある。（いくつかある制約のうち、委託費に関わる部分のみ抜粋）
ここでは委託費に修正が必要な場合に「×」と判定、委託費の修正は必要ない場合に「○」と判定している。
①</t>
        </r>
        <r>
          <rPr>
            <b/>
            <sz val="11"/>
            <rFont val="ＭＳ Ｐゴシック"/>
            <family val="3"/>
          </rPr>
          <t xml:space="preserve">「委託費＋外注加工費≦1/2×総額」のとき
</t>
        </r>
        <r>
          <rPr>
            <sz val="11"/>
            <rFont val="ＭＳ Ｐゴシック"/>
            <family val="3"/>
          </rPr>
          <t xml:space="preserve">（「委託費≦1/2×総額」と「委託費＋外注加工費≦1/2×総額」の両方を満たすので、委託費の修正は必要ない→委託費として「○」と判定）
</t>
        </r>
        <r>
          <rPr>
            <b/>
            <sz val="11"/>
            <rFont val="ＭＳ Ｐゴシック"/>
            <family val="3"/>
          </rPr>
          <t>または</t>
        </r>
        <r>
          <rPr>
            <sz val="11"/>
            <rFont val="ＭＳ Ｐゴシック"/>
            <family val="3"/>
          </rPr>
          <t xml:space="preserve">
②</t>
        </r>
        <r>
          <rPr>
            <b/>
            <sz val="11"/>
            <rFont val="ＭＳ Ｐゴシック"/>
            <family val="3"/>
          </rPr>
          <t>「外注加工費＞1/2×総額」のとき</t>
        </r>
        <r>
          <rPr>
            <sz val="11"/>
            <rFont val="ＭＳ Ｐゴシック"/>
            <family val="3"/>
          </rPr>
          <t xml:space="preserve">
（「委託費＋外注加工費≦1/2×総額」にならないが、原因は外注加工費にあり、委託費には原因がない。委託費の修正は必要ない→委託費として「○」と判定）</t>
        </r>
        <r>
          <rPr>
            <sz val="18"/>
            <rFont val="ＭＳ Ｐゴシック"/>
            <family val="3"/>
          </rPr>
          <t xml:space="preserve">
</t>
        </r>
      </text>
    </comment>
    <comment ref="T10" authorId="3">
      <text>
        <r>
          <rPr>
            <sz val="14"/>
            <rFont val="ＭＳ Ｐゴシック"/>
            <family val="3"/>
          </rPr>
          <t>補助対象経費の各種要件を加味し自動計算されるため、変更前の交付決定額より減額になる場合があります。</t>
        </r>
      </text>
    </comment>
    <comment ref="N11" authorId="1">
      <text>
        <r>
          <rPr>
            <sz val="9"/>
            <rFont val="ＭＳ Ｐゴシック"/>
            <family val="3"/>
          </rPr>
          <t xml:space="preserve">積み上げで一円は違う時があります。
</t>
        </r>
      </text>
    </comment>
    <comment ref="S22" authorId="4">
      <text>
        <r>
          <rPr>
            <b/>
            <sz val="14"/>
            <color indexed="10"/>
            <rFont val="ＭＳ Ｐゴシック"/>
            <family val="3"/>
          </rPr>
          <t xml:space="preserve">補助対象経費（上限調整後）の合計が
変更前（ア）の合計を超えないよう
各費目にて調整が必要となります。
</t>
        </r>
      </text>
    </comment>
    <comment ref="D8" authorId="5">
      <text>
        <r>
          <rPr>
            <sz val="14"/>
            <color indexed="47"/>
            <rFont val="ＭＳ Ｐゴシック"/>
            <family val="3"/>
          </rPr>
          <t>■</t>
        </r>
        <r>
          <rPr>
            <sz val="14"/>
            <color indexed="10"/>
            <rFont val="ＭＳ Ｐゴシック"/>
            <family val="3"/>
          </rPr>
          <t>←この塗りつぶしのあるセルは入力必須となります。</t>
        </r>
        <r>
          <rPr>
            <sz val="14"/>
            <color indexed="47"/>
            <rFont val="ＭＳ Ｐゴシック"/>
            <family val="3"/>
          </rPr>
          <t xml:space="preserve">
　　　　　　　</t>
        </r>
        <r>
          <rPr>
            <sz val="14"/>
            <rFont val="ＭＳ Ｐゴシック"/>
            <family val="3"/>
          </rPr>
          <t>交付申請（決定）時の金額を</t>
        </r>
        <r>
          <rPr>
            <sz val="14"/>
            <rFont val="ＭＳ Ｐゴシック"/>
            <family val="3"/>
          </rPr>
          <t>入力してください。</t>
        </r>
      </text>
    </comment>
    <comment ref="R11" authorId="4">
      <text>
        <r>
          <rPr>
            <sz val="12"/>
            <color indexed="47"/>
            <rFont val="ＭＳ Ｐゴシック"/>
            <family val="3"/>
          </rPr>
          <t>■</t>
        </r>
        <r>
          <rPr>
            <b/>
            <sz val="12"/>
            <color indexed="10"/>
            <rFont val="ＭＳ Ｐゴシック"/>
            <family val="3"/>
          </rPr>
          <t>←この塗りつぶしのあるセルは入力
　　　必須となります。</t>
        </r>
        <r>
          <rPr>
            <sz val="12"/>
            <rFont val="ＭＳ Ｐゴシック"/>
            <family val="3"/>
          </rPr>
          <t xml:space="preserve">
①各経費に入力してください。
　　【変更前(ア）＝（イ）の場合】
　　　　変更申請額の同額を入力してください。
　　【変更前(ア)＞（イ）の場合】
　　　　変更申請額の同額を入力してください。
　　【変更前(ア)＜（イ）の場合】
　　　　変更前（ア)の額を上限として、各経費を
         調整して入力してください。
　　    基本的に調整は、機械装置費以外で
         行ってください。
②</t>
        </r>
        <r>
          <rPr>
            <sz val="12"/>
            <color indexed="10"/>
            <rFont val="ＭＳ Ｐゴシック"/>
            <family val="3"/>
          </rPr>
          <t>「費目別経費支出明細書」</t>
        </r>
        <r>
          <rPr>
            <sz val="12"/>
            <rFont val="ＭＳ Ｐゴシック"/>
            <family val="3"/>
          </rPr>
          <t>の「補助対象
　　経費（税抜き）：上限調整後」（セルＮ欄）
　　へ①の金額になるように</t>
        </r>
        <r>
          <rPr>
            <sz val="12"/>
            <color indexed="10"/>
            <rFont val="ＭＳ Ｐゴシック"/>
            <family val="3"/>
          </rPr>
          <t>経費内訳</t>
        </r>
        <r>
          <rPr>
            <sz val="12"/>
            <rFont val="ＭＳ Ｐゴシック"/>
            <family val="3"/>
          </rPr>
          <t xml:space="preserve">を
　　入力してください。
</t>
        </r>
      </text>
    </comment>
  </commentList>
</comments>
</file>

<file path=xl/comments6.xml><?xml version="1.0" encoding="utf-8"?>
<comments xmlns="http://schemas.openxmlformats.org/spreadsheetml/2006/main">
  <authors>
    <author>mono133</author>
  </authors>
  <commentList>
    <comment ref="N12" authorId="0">
      <text>
        <r>
          <rPr>
            <sz val="9"/>
            <rFont val="ＭＳ Ｐゴシック"/>
            <family val="3"/>
          </rPr>
          <t>「経費明細表」にて上限調整した額になるように経費内訳を調整してください。
　・変更申請額と同額の場合も入力
　　が必要です。
　・上限調整後の合計(ｾﾙN33）は
　　自動計算されますので「経費明
　　細表」と照合して下さい。</t>
        </r>
      </text>
    </comment>
  </commentList>
</comments>
</file>

<file path=xl/comments7.xml><?xml version="1.0" encoding="utf-8"?>
<comments xmlns="http://schemas.openxmlformats.org/spreadsheetml/2006/main">
  <authors>
    <author>高村 育子</author>
    <author>mono133</author>
  </authors>
  <commentList>
    <comment ref="A11" authorId="0">
      <text>
        <r>
          <rPr>
            <sz val="11"/>
            <rFont val="ＭＳ Ｐゴシック"/>
            <family val="3"/>
          </rPr>
          <t>機械装置費（50万円未満）の管理№は、機械装置費（50万円以上）の管理№からの通番としてください。</t>
        </r>
      </text>
    </comment>
    <comment ref="N12" authorId="1">
      <text>
        <r>
          <rPr>
            <sz val="9"/>
            <rFont val="ＭＳ Ｐゴシック"/>
            <family val="3"/>
          </rPr>
          <t>「経費明細表」にて上限調整した額になるように経費内訳を調整してください。
　・変更申請額と同額の場合も入力
　　が必要です。
　・上限調整後の合計(ｾﾙN33）は
　　自動計算されますので「経費明
　　細表」と照合して下さい。</t>
        </r>
      </text>
    </comment>
  </commentList>
</comments>
</file>

<file path=xl/comments8.xml><?xml version="1.0" encoding="utf-8"?>
<comments xmlns="http://schemas.openxmlformats.org/spreadsheetml/2006/main">
  <authors>
    <author>mono133</author>
  </authors>
  <commentList>
    <comment ref="N12" authorId="0">
      <text>
        <r>
          <rPr>
            <sz val="9"/>
            <rFont val="ＭＳ Ｐゴシック"/>
            <family val="3"/>
          </rPr>
          <t>「経費明細表」にて上限調整した額になるように経費内訳を調整してください。
　・変更申請額と同額の場合も入力
　　が必要です。
　・上限調整後の合計(ｾﾙN33）は
　　自動計算されますので「経費明
　　細表」と照合して下さい。</t>
        </r>
      </text>
    </comment>
  </commentList>
</comments>
</file>

<file path=xl/comments9.xml><?xml version="1.0" encoding="utf-8"?>
<comments xmlns="http://schemas.openxmlformats.org/spreadsheetml/2006/main">
  <authors>
    <author>mono133</author>
  </authors>
  <commentList>
    <comment ref="N12" authorId="0">
      <text>
        <r>
          <rPr>
            <sz val="9"/>
            <rFont val="ＭＳ Ｐゴシック"/>
            <family val="3"/>
          </rPr>
          <t>「経費明細表」にて上限調整した額になるように経費内訳を調整してください。
　・変更申請額と同額の場合も入力
　　が必要です。
　・上限調整後の合計(ｾﾙN33）は
　　自動計算されますので「経費明
　　細表」と照合して下さい。</t>
        </r>
      </text>
    </comment>
  </commentList>
</comments>
</file>

<file path=xl/sharedStrings.xml><?xml version="1.0" encoding="utf-8"?>
<sst xmlns="http://schemas.openxmlformats.org/spreadsheetml/2006/main" count="1504" uniqueCount="766">
  <si>
    <t>単価</t>
  </si>
  <si>
    <t>管理No.</t>
  </si>
  <si>
    <t>支払</t>
  </si>
  <si>
    <t>支払先</t>
  </si>
  <si>
    <t>内容および仕様等詳細</t>
  </si>
  <si>
    <t>数量</t>
  </si>
  <si>
    <t>単位</t>
  </si>
  <si>
    <t>補助事業に要した経費
＜支払額＞</t>
  </si>
  <si>
    <t>補助対象経費</t>
  </si>
  <si>
    <t>年</t>
  </si>
  <si>
    <t>月</t>
  </si>
  <si>
    <t>日</t>
  </si>
  <si>
    <t>(税込み)</t>
  </si>
  <si>
    <t>（税込み）</t>
  </si>
  <si>
    <t>合　　　　計</t>
  </si>
  <si>
    <t>経費区分</t>
  </si>
  <si>
    <t>(注1)</t>
  </si>
  <si>
    <t>(注2)</t>
  </si>
  <si>
    <t>(注3)</t>
  </si>
  <si>
    <t>(単位:円)</t>
  </si>
  <si>
    <t>B×2/3以内</t>
  </si>
  <si>
    <t>補助金交付申請額</t>
  </si>
  <si>
    <t>（税抜き）</t>
  </si>
  <si>
    <t>原材料費</t>
  </si>
  <si>
    <t>(税抜き)</t>
  </si>
  <si>
    <t>合計</t>
  </si>
  <si>
    <t>技術導入費</t>
  </si>
  <si>
    <t>委託費</t>
  </si>
  <si>
    <t>外注加工費</t>
  </si>
  <si>
    <t>運搬費</t>
  </si>
  <si>
    <t>№</t>
  </si>
  <si>
    <t>事業者名：</t>
  </si>
  <si>
    <t>支出明細は原材料費、機械装置費など「経費区分」別に記入してください。</t>
  </si>
  <si>
    <t>ただし、直接人件費のみ別様式で記入してください。</t>
  </si>
  <si>
    <t>管理№ごとに、証拠書類を整備してください。</t>
  </si>
  <si>
    <t>本様式は日本工業規格Ａ４判としてください。</t>
  </si>
  <si>
    <t>順位</t>
  </si>
  <si>
    <t>判定</t>
  </si>
  <si>
    <t>加算する金額</t>
  </si>
  <si>
    <t>消費税率(%)</t>
  </si>
  <si>
    <t>補助上限額</t>
  </si>
  <si>
    <t>設備投資の制限</t>
  </si>
  <si>
    <t>その他の経費の制限</t>
  </si>
  <si>
    <t>外注加工費+委託費</t>
  </si>
  <si>
    <t>これで準備は終了しました。</t>
  </si>
  <si>
    <t>なお、このＥＸＣＥＬのフォーマットは計算式に保護をかけています。</t>
  </si>
  <si>
    <t>消費税は切り捨てにしてありますので微調整は必要です。</t>
  </si>
  <si>
    <t>本ワークシートの使い方について</t>
  </si>
  <si>
    <t>知的財産権等関連経費</t>
  </si>
  <si>
    <t>中分類　コード</t>
  </si>
  <si>
    <t>内容</t>
  </si>
  <si>
    <t>全中分類コード</t>
  </si>
  <si>
    <t>小分類コード</t>
  </si>
  <si>
    <t>小分類</t>
  </si>
  <si>
    <t>01</t>
  </si>
  <si>
    <t>　農業</t>
  </si>
  <si>
    <t>010000</t>
  </si>
  <si>
    <t>　　　　010　</t>
  </si>
  <si>
    <t xml:space="preserve">管理，補助的経済活動を行う事業所（01農業） </t>
  </si>
  <si>
    <t>02</t>
  </si>
  <si>
    <t>　林業</t>
  </si>
  <si>
    <t>020000</t>
  </si>
  <si>
    <t>　　　　020　</t>
  </si>
  <si>
    <t xml:space="preserve">管理，補助的経済活動を行う事業所（02林業） </t>
  </si>
  <si>
    <t>03</t>
  </si>
  <si>
    <t>　漁業（水産養殖業を除く）</t>
  </si>
  <si>
    <t>030000</t>
  </si>
  <si>
    <t>　　　　030　</t>
  </si>
  <si>
    <t xml:space="preserve">管理，補助的経済活動を行う事業所（03漁業） </t>
  </si>
  <si>
    <t>04</t>
  </si>
  <si>
    <t>　水産養殖業</t>
  </si>
  <si>
    <t>　　　　040　</t>
  </si>
  <si>
    <t xml:space="preserve">管理，補助的経済活動を行う事業所（04水産養殖業） </t>
  </si>
  <si>
    <t>05</t>
  </si>
  <si>
    <r>
      <t>　鉱業</t>
    </r>
    <r>
      <rPr>
        <sz val="11"/>
        <rFont val="ＭＳ Ｐゴシック"/>
        <family val="3"/>
      </rPr>
      <t>，採石業，砂利採取業</t>
    </r>
  </si>
  <si>
    <t>040000</t>
  </si>
  <si>
    <t>　鉱業</t>
  </si>
  <si>
    <t>　　　　050　</t>
  </si>
  <si>
    <t xml:space="preserve">管理，補助的経済活動を行う事業所（05鉱業，採石業，砂利採取業） </t>
  </si>
  <si>
    <t>06</t>
  </si>
  <si>
    <t>　総合工事業</t>
  </si>
  <si>
    <t>050100</t>
  </si>
  <si>
    <t>　　　　060　</t>
  </si>
  <si>
    <t xml:space="preserve">管理，補助的経済活動を行う事業所（06総合工事業） </t>
  </si>
  <si>
    <t>07</t>
  </si>
  <si>
    <t>　職別工事業(設備工事業を除く)</t>
  </si>
  <si>
    <t>050300</t>
  </si>
  <si>
    <t>　　　　070　</t>
  </si>
  <si>
    <t xml:space="preserve">管理，補助的経済活動を行う事業所（07職別工事業） </t>
  </si>
  <si>
    <t>08</t>
  </si>
  <si>
    <t>　設備工事業</t>
  </si>
  <si>
    <t>050500</t>
  </si>
  <si>
    <t>　　　　080　</t>
  </si>
  <si>
    <t xml:space="preserve">管理，補助的経済活動を行う事業所（08設備工事業） </t>
  </si>
  <si>
    <t>09</t>
  </si>
  <si>
    <t>　食料品製造業</t>
  </si>
  <si>
    <t>060100</t>
  </si>
  <si>
    <t>　　　　090　</t>
  </si>
  <si>
    <t xml:space="preserve">管理，補助的経済活動を行う事業所（09食料品製造業） </t>
  </si>
  <si>
    <t>10</t>
  </si>
  <si>
    <t>　飲料・たばこ・飼料製造業</t>
  </si>
  <si>
    <t>060300</t>
  </si>
  <si>
    <t>　　　　100　</t>
  </si>
  <si>
    <t xml:space="preserve">管理，補助的経済活動を行う事業所（10飲料・たばこ・飼料製造業） </t>
  </si>
  <si>
    <t>11</t>
  </si>
  <si>
    <t>　繊維工業</t>
  </si>
  <si>
    <t>060500</t>
  </si>
  <si>
    <t>繊維工業（衣服、その他の繊維製品を除く）</t>
  </si>
  <si>
    <t>　　　　110　</t>
  </si>
  <si>
    <t xml:space="preserve">管理，補助的経済活動を行う事業所（11繊維工業） </t>
  </si>
  <si>
    <t>12</t>
  </si>
  <si>
    <t>　木材・木製品製造業（家具を除く）</t>
  </si>
  <si>
    <t>060900</t>
  </si>
  <si>
    <t>　　　　120　</t>
  </si>
  <si>
    <t xml:space="preserve">管理，補助的経済活動を行う事業所（12木材・木製品製造業） </t>
  </si>
  <si>
    <t>13</t>
  </si>
  <si>
    <t>　家具・装備品製造業</t>
  </si>
  <si>
    <t>061100</t>
  </si>
  <si>
    <t>　　　　130　</t>
  </si>
  <si>
    <t xml:space="preserve">管理，補助的経済活動を行う事業所（13家具・装備品製造業） </t>
  </si>
  <si>
    <t>14</t>
  </si>
  <si>
    <t>　パルプ・紙・紙加工品製造業</t>
  </si>
  <si>
    <t>061300</t>
  </si>
  <si>
    <t>　　　　140　</t>
  </si>
  <si>
    <t xml:space="preserve">管理，補助的経済活動を行う事業所（14パルプ・紙・紙加工品製造業） </t>
  </si>
  <si>
    <t>15</t>
  </si>
  <si>
    <t>　印刷・同関連業</t>
  </si>
  <si>
    <t>061500</t>
  </si>
  <si>
    <t>　　　　150　</t>
  </si>
  <si>
    <t xml:space="preserve">管理，補助的経済活動を行う事業所（15印刷・同関連業） </t>
  </si>
  <si>
    <t>16</t>
  </si>
  <si>
    <t>　化学工業</t>
  </si>
  <si>
    <t>061700</t>
  </si>
  <si>
    <t>　　　　160　</t>
  </si>
  <si>
    <t xml:space="preserve">管理，補助的経済活動を行う事業所（16化学工業） </t>
  </si>
  <si>
    <t>17</t>
  </si>
  <si>
    <t>　石油製品・石炭製品製造業</t>
  </si>
  <si>
    <t>061900</t>
  </si>
  <si>
    <t>　　　　170　</t>
  </si>
  <si>
    <t xml:space="preserve">管理，補助的経済活動を行う事業所（17石油製品・石炭製品製造業） </t>
  </si>
  <si>
    <t>18</t>
  </si>
  <si>
    <t>　プラスチック製品製造業（別掲を除く）</t>
  </si>
  <si>
    <t>062100</t>
  </si>
  <si>
    <t>　　　　180　</t>
  </si>
  <si>
    <t xml:space="preserve">管理，補助的経済活動を行う事業所（18プラスチック製品製造業） </t>
  </si>
  <si>
    <t>19</t>
  </si>
  <si>
    <t>　ゴム製品製造業</t>
  </si>
  <si>
    <t>062300</t>
  </si>
  <si>
    <t>　　　　190　</t>
  </si>
  <si>
    <t xml:space="preserve">管理，補助的経済活動を行う事業所（19ゴム製品製造業） </t>
  </si>
  <si>
    <t>20</t>
  </si>
  <si>
    <t>　なめし革・同製品・毛皮製造業</t>
  </si>
  <si>
    <t>062500</t>
  </si>
  <si>
    <t>　　　　200　</t>
  </si>
  <si>
    <t xml:space="preserve">管理，補助的経済活動を行う事業所（20なめし革・同製品・毛皮製造業） </t>
  </si>
  <si>
    <t>21</t>
  </si>
  <si>
    <t>　窯業・土石製品製造業</t>
  </si>
  <si>
    <t>062700</t>
  </si>
  <si>
    <t>　　　　210　</t>
  </si>
  <si>
    <t xml:space="preserve">管理，補助的経済活動を行う事業所（21窯業・土石製品製造業） </t>
  </si>
  <si>
    <t>22</t>
  </si>
  <si>
    <t>　鉄鋼業</t>
  </si>
  <si>
    <t>062900</t>
  </si>
  <si>
    <t>　　　　220　</t>
  </si>
  <si>
    <t xml:space="preserve">管理，補助的経済活動を行う事業所（22鉄鋼業） </t>
  </si>
  <si>
    <t>23</t>
  </si>
  <si>
    <t>　非鉄金属製造業</t>
  </si>
  <si>
    <t>063100</t>
  </si>
  <si>
    <t>　　　　230　</t>
  </si>
  <si>
    <t xml:space="preserve">管理，補助的経済活動を行う事業所（23非鉄金属製造業） </t>
  </si>
  <si>
    <t>24</t>
  </si>
  <si>
    <t>　金属製品製造業</t>
  </si>
  <si>
    <t>063300</t>
  </si>
  <si>
    <t>　　　　240　</t>
  </si>
  <si>
    <t xml:space="preserve">管理，補助的経済活動を行う事業所（24金属製品製造業） </t>
  </si>
  <si>
    <t>25</t>
  </si>
  <si>
    <t>　はん用機械器具製造業</t>
  </si>
  <si>
    <t>063500</t>
  </si>
  <si>
    <t xml:space="preserve">一般機械器具製造業　 </t>
  </si>
  <si>
    <t>　　　　250　</t>
  </si>
  <si>
    <t xml:space="preserve">管理，補助的経済活動を行う事業所（25はん用機械器具製造業） </t>
  </si>
  <si>
    <t>26</t>
  </si>
  <si>
    <t>　生産用機械器具製造業</t>
  </si>
  <si>
    <t>　　　　260　</t>
  </si>
  <si>
    <t xml:space="preserve">管理，補助的経済活動を行う事業所（26生産用機械器具製造業） </t>
  </si>
  <si>
    <t>27</t>
  </si>
  <si>
    <t>　業務用機械器具製造業</t>
  </si>
  <si>
    <t>064500</t>
  </si>
  <si>
    <t>精密機械器具製造業   　</t>
  </si>
  <si>
    <t>　　　　270　</t>
  </si>
  <si>
    <t xml:space="preserve">管理，補助的経済活動を行う事業所（27業務用機械器具製造業） </t>
  </si>
  <si>
    <t>28</t>
  </si>
  <si>
    <t>　電子部品・デバイス製造業</t>
  </si>
  <si>
    <t>064100</t>
  </si>
  <si>
    <r>
      <t>　電子部品・デバイス</t>
    </r>
    <r>
      <rPr>
        <sz val="11"/>
        <rFont val="ＭＳ Ｐゴシック"/>
        <family val="3"/>
      </rPr>
      <t>・電子回</t>
    </r>
    <r>
      <rPr>
        <sz val="11"/>
        <rFont val="ＭＳ Ｐゴシック"/>
        <family val="3"/>
      </rPr>
      <t>路製造業</t>
    </r>
  </si>
  <si>
    <t>　　　　280　</t>
  </si>
  <si>
    <t xml:space="preserve">管理，補助的経済活動を行う事業所（28電子部品・デバイス・電子回路製造業） </t>
  </si>
  <si>
    <t>29</t>
  </si>
  <si>
    <t>　電気機械器具製造業</t>
  </si>
  <si>
    <t>063700</t>
  </si>
  <si>
    <t>　　　　290　</t>
  </si>
  <si>
    <t xml:space="preserve">管理，補助的経済活動を行う事業所（29電気機械器具製造業） </t>
  </si>
  <si>
    <t>30</t>
  </si>
  <si>
    <t>　情報通信機械器具製造業</t>
  </si>
  <si>
    <t>063900</t>
  </si>
  <si>
    <t>　　　　300　</t>
  </si>
  <si>
    <t xml:space="preserve">管理，補助的経済活動を行う事業所（30情報通信機械器具製造業） </t>
  </si>
  <si>
    <t>31</t>
  </si>
  <si>
    <t>　輸送用機械器具製造業</t>
  </si>
  <si>
    <t>064300</t>
  </si>
  <si>
    <t>　　　　310　</t>
  </si>
  <si>
    <t xml:space="preserve">管理，補助的経済活動を行う事業所（31輸送用機械器具製造業） </t>
  </si>
  <si>
    <t>32</t>
  </si>
  <si>
    <t>　その他の製造業</t>
  </si>
  <si>
    <t>064700</t>
  </si>
  <si>
    <t>　　　　320　</t>
  </si>
  <si>
    <t xml:space="preserve">管理，補助的経済活動を行う事業所（32その他の製造業） </t>
  </si>
  <si>
    <t>　　　　327　</t>
  </si>
  <si>
    <t xml:space="preserve">漆器製造業 </t>
  </si>
  <si>
    <t>33</t>
  </si>
  <si>
    <t>　電気業</t>
  </si>
  <si>
    <t>070000</t>
  </si>
  <si>
    <t>　　　　330　</t>
  </si>
  <si>
    <t xml:space="preserve">管理，補助的経済活動を行う事業所（33電気業） </t>
  </si>
  <si>
    <t>34</t>
  </si>
  <si>
    <t>　ガス業</t>
  </si>
  <si>
    <t>　　　　340　</t>
  </si>
  <si>
    <t xml:space="preserve">管理，補助的経済活動を行う事業所（34ガス業） </t>
  </si>
  <si>
    <t>35</t>
  </si>
  <si>
    <t>　熱供給業</t>
  </si>
  <si>
    <t>　　　　350　</t>
  </si>
  <si>
    <t xml:space="preserve">管理，補助的経済活動を行う事業所（35熱供給業） </t>
  </si>
  <si>
    <t>36</t>
  </si>
  <si>
    <t>　水道業</t>
  </si>
  <si>
    <t>　　　　360　</t>
  </si>
  <si>
    <t xml:space="preserve">管理，補助的経済活動を行う事業所（36水道業） </t>
  </si>
  <si>
    <t>37</t>
  </si>
  <si>
    <t>　通信業</t>
  </si>
  <si>
    <t>080100</t>
  </si>
  <si>
    <t>　　　　370　</t>
  </si>
  <si>
    <t xml:space="preserve">管理，補助的経済活動を行う事業所（37通信業） </t>
  </si>
  <si>
    <t>38</t>
  </si>
  <si>
    <t>　放送業</t>
  </si>
  <si>
    <t>080300</t>
  </si>
  <si>
    <t>　　　　380　</t>
  </si>
  <si>
    <t xml:space="preserve">管理，補助的経済活動を行う事業所（38放送業） </t>
  </si>
  <si>
    <t>39</t>
  </si>
  <si>
    <t>　情報サービス業</t>
  </si>
  <si>
    <t>080500</t>
  </si>
  <si>
    <t>　　　　390　</t>
  </si>
  <si>
    <t xml:space="preserve">管理，補助的経済活動を行う事業所（39情報サービス業） </t>
  </si>
  <si>
    <t>40</t>
  </si>
  <si>
    <t>　インターネット附随サービス業</t>
  </si>
  <si>
    <t>080700</t>
  </si>
  <si>
    <t>　　　　400　</t>
  </si>
  <si>
    <t xml:space="preserve">管理，補助的経済活動を行う事業所（40インターネット附随サービス業） </t>
  </si>
  <si>
    <t>41</t>
  </si>
  <si>
    <t>　映像・音声・文字情報制作業</t>
  </si>
  <si>
    <t>080900</t>
  </si>
  <si>
    <t>　　　　410　</t>
  </si>
  <si>
    <t xml:space="preserve">管理，補助的経済活動を行う事業所（41映像・音声・文字情報制作業） </t>
  </si>
  <si>
    <t>42</t>
  </si>
  <si>
    <t>　鉄道業</t>
  </si>
  <si>
    <t>090000</t>
  </si>
  <si>
    <t>　　　　420　</t>
  </si>
  <si>
    <t xml:space="preserve">管理，補助的経済活動を行う事業所（42鉄道業） </t>
  </si>
  <si>
    <t>　　　　421　</t>
  </si>
  <si>
    <t xml:space="preserve">鉄道業 </t>
  </si>
  <si>
    <t>43</t>
  </si>
  <si>
    <t>　道路旅客運送業</t>
  </si>
  <si>
    <t>　　　　430　</t>
  </si>
  <si>
    <t xml:space="preserve">管理，補助的経済活動を行う事業所（43道路旅客運送業） </t>
  </si>
  <si>
    <t>44</t>
  </si>
  <si>
    <t>　道路貨物運送業</t>
  </si>
  <si>
    <t>　　　　440　</t>
  </si>
  <si>
    <t xml:space="preserve">管理，補助的経済活動を行う事業所（44道路貨物運送業） </t>
  </si>
  <si>
    <t>45</t>
  </si>
  <si>
    <t>　水運業</t>
  </si>
  <si>
    <t>　　　　450　</t>
  </si>
  <si>
    <t xml:space="preserve">管理，補助的経済活動を行う事業所（45水運業） </t>
  </si>
  <si>
    <t>46</t>
  </si>
  <si>
    <t>　航空運輸業</t>
  </si>
  <si>
    <t>　　　　460　</t>
  </si>
  <si>
    <t xml:space="preserve">管理，補助的経済活動を行う事業所（46航空運輸業） </t>
  </si>
  <si>
    <t>47</t>
  </si>
  <si>
    <t>　倉庫業</t>
  </si>
  <si>
    <t>　　　　470　</t>
  </si>
  <si>
    <t xml:space="preserve">管理，補助的経済活動を行う事業所（47倉庫業） </t>
  </si>
  <si>
    <t>48</t>
  </si>
  <si>
    <t>　運輸に附帯するサービス業</t>
  </si>
  <si>
    <t>　　　　480　</t>
  </si>
  <si>
    <t xml:space="preserve">管理，補助的経済活動を行う事業所（48運輸に附帯するサービス業） </t>
  </si>
  <si>
    <t>49</t>
  </si>
  <si>
    <t>　郵便業（信書便事業を含む）</t>
  </si>
  <si>
    <t>　　　　490　</t>
  </si>
  <si>
    <t xml:space="preserve">管理，補助的経済活動を行う事業所（49郵便業） </t>
  </si>
  <si>
    <t>50</t>
  </si>
  <si>
    <t>　各種商品卸売業</t>
  </si>
  <si>
    <t>100100</t>
  </si>
  <si>
    <t>　　　　500　</t>
  </si>
  <si>
    <t xml:space="preserve">管理，補助的経済活動を行う事業所（50各種商品卸売業） </t>
  </si>
  <si>
    <t>51</t>
  </si>
  <si>
    <t>　繊維・衣服等卸売業</t>
  </si>
  <si>
    <t>100300</t>
  </si>
  <si>
    <t>　　　　510　</t>
  </si>
  <si>
    <t xml:space="preserve">管理，補助的経済活動を行う事業所（51繊維・衣服等卸売業） </t>
  </si>
  <si>
    <t>52</t>
  </si>
  <si>
    <t>　飲食料品卸売業</t>
  </si>
  <si>
    <t>100500</t>
  </si>
  <si>
    <t>　　　　520　</t>
  </si>
  <si>
    <t xml:space="preserve">管理，補助的経済活動を行う事業所（52飲食料品卸売業） </t>
  </si>
  <si>
    <t>53</t>
  </si>
  <si>
    <t>　建築材料，鉱物・金属材料等卸売業</t>
  </si>
  <si>
    <t>100700</t>
  </si>
  <si>
    <t>　　　　530　</t>
  </si>
  <si>
    <t xml:space="preserve">管理，補助的経済活動を行う事業所（53建築材料，鉱物・金属材料等卸売業） </t>
  </si>
  <si>
    <t>54</t>
  </si>
  <si>
    <t>　機械器具卸売業</t>
  </si>
  <si>
    <t>100900</t>
  </si>
  <si>
    <t>　　　　540　</t>
  </si>
  <si>
    <t xml:space="preserve">管理，補助的経済活動を行う事業所（54機械器具卸売業） </t>
  </si>
  <si>
    <t>55</t>
  </si>
  <si>
    <t>　その他の卸売業</t>
  </si>
  <si>
    <t>101100</t>
  </si>
  <si>
    <t>　　　　550　</t>
  </si>
  <si>
    <t xml:space="preserve">管理，補助的経済活動を行う事業所（55その他の卸売業） </t>
  </si>
  <si>
    <t>56</t>
  </si>
  <si>
    <t>　各種商品小売業</t>
  </si>
  <si>
    <t>105100</t>
  </si>
  <si>
    <t>　　　　560　</t>
  </si>
  <si>
    <t xml:space="preserve">管理，補助的経済活動を行う事業所（56各種商品小売業） </t>
  </si>
  <si>
    <t>57</t>
  </si>
  <si>
    <t>　織物・衣服・身の回り品小売業</t>
  </si>
  <si>
    <t>105300</t>
  </si>
  <si>
    <t>　　　　570　</t>
  </si>
  <si>
    <t xml:space="preserve">管理，補助的経済活動を行う事業所（57織物・衣服・身の回り品小売業） </t>
  </si>
  <si>
    <t>58</t>
  </si>
  <si>
    <t>　飲食料品小売業</t>
  </si>
  <si>
    <t>105500</t>
  </si>
  <si>
    <t>　　　　580　</t>
  </si>
  <si>
    <t xml:space="preserve">管理，補助的経済活動を行う事業所（58飲食料品小売業） </t>
  </si>
  <si>
    <t>59</t>
  </si>
  <si>
    <t>　機械器具小売業</t>
  </si>
  <si>
    <t>105700</t>
  </si>
  <si>
    <t>自動車・自転車小売業   　　　　</t>
  </si>
  <si>
    <t>　　　　590　</t>
  </si>
  <si>
    <t xml:space="preserve">管理，補助的経済活動を行う事業所（59機械器具小売業） </t>
  </si>
  <si>
    <t>60</t>
  </si>
  <si>
    <t>　その他の小売業</t>
  </si>
  <si>
    <t>105900</t>
  </si>
  <si>
    <t>家具・じゅう器・機械器具小売業</t>
  </si>
  <si>
    <t>　　　　600　</t>
  </si>
  <si>
    <t xml:space="preserve">管理，補助的経済活動を行う事業所（60その他の小売業） </t>
  </si>
  <si>
    <t>61</t>
  </si>
  <si>
    <t>　無店舗小売業</t>
  </si>
  <si>
    <t>106100</t>
  </si>
  <si>
    <t>　　　　610　</t>
  </si>
  <si>
    <t xml:space="preserve">管理，補助的経済活動を行う事業所（61無店舗小売業） </t>
  </si>
  <si>
    <t>62</t>
  </si>
  <si>
    <t>　銀行業</t>
  </si>
  <si>
    <t>110000</t>
  </si>
  <si>
    <t>　　　　620　</t>
  </si>
  <si>
    <t xml:space="preserve">管理，補助的経済活動を行う事業所（62銀行業） </t>
  </si>
  <si>
    <t>63</t>
  </si>
  <si>
    <t>　協同組織金融業</t>
  </si>
  <si>
    <t>　　　　630　</t>
  </si>
  <si>
    <t xml:space="preserve">管理，補助的経済活動を行う事業所（63協同組織金融業） </t>
  </si>
  <si>
    <t>　貸金業，クレジットカード業等非預金信用機関</t>
  </si>
  <si>
    <t>　　　　640　</t>
  </si>
  <si>
    <t xml:space="preserve">管理，補助的経済活動を行う事業所（64貸金業，クレジットカード業等非預金信用機関） </t>
  </si>
  <si>
    <t>65</t>
  </si>
  <si>
    <t>　金融商品取引業，商品先物取引業</t>
  </si>
  <si>
    <t>　　　　650　</t>
  </si>
  <si>
    <t xml:space="preserve">管理，補助的経済活動を行う事業所（65金融商品取引業，商品先物取引業） </t>
  </si>
  <si>
    <t>66</t>
  </si>
  <si>
    <t>　補助的金融業等</t>
  </si>
  <si>
    <t>　　　　660　</t>
  </si>
  <si>
    <t xml:space="preserve">管理，補助的経済活動を行う事業所（66補助的金融業等） </t>
  </si>
  <si>
    <t>67</t>
  </si>
  <si>
    <t>　保険業（保険媒介代理業，保険サービス業を含む）</t>
  </si>
  <si>
    <t>　　　　670　</t>
  </si>
  <si>
    <t xml:space="preserve">管理，補助的経済活動を行う事業所（67保険業） </t>
  </si>
  <si>
    <t>68</t>
  </si>
  <si>
    <t>　不動産取引業</t>
  </si>
  <si>
    <t>120000</t>
  </si>
  <si>
    <t>　　　　680　</t>
  </si>
  <si>
    <t xml:space="preserve">管理，補助的経済活動を行う事業所（68不動産取引業） </t>
  </si>
  <si>
    <t>69</t>
  </si>
  <si>
    <t>　不動産賃貸業・管理業</t>
  </si>
  <si>
    <t>　　　　690　</t>
  </si>
  <si>
    <t xml:space="preserve">管理，補助的経済活動を行う事業所（69不動産賃貸業・管理業） </t>
  </si>
  <si>
    <t>70</t>
  </si>
  <si>
    <t>　物品賃貸業</t>
  </si>
  <si>
    <t>171700</t>
  </si>
  <si>
    <t>　　　　700　</t>
  </si>
  <si>
    <t xml:space="preserve">管理，補助的経済活動を行う事業所（70物品賃貸業） </t>
  </si>
  <si>
    <t>71</t>
  </si>
  <si>
    <t>　学術・開発研究機関</t>
  </si>
  <si>
    <t>170300</t>
  </si>
  <si>
    <t>　　　　710　</t>
  </si>
  <si>
    <t xml:space="preserve">管理，補助的経済活動を行う事業所（71学術・開発研究機関） </t>
  </si>
  <si>
    <t>専門サービス業</t>
  </si>
  <si>
    <t>170100</t>
  </si>
  <si>
    <t>　　　　720　</t>
  </si>
  <si>
    <t xml:space="preserve">管理，補助的経済活動を行う事業所（72専門サービス業） </t>
  </si>
  <si>
    <t>広告業</t>
  </si>
  <si>
    <t>171900</t>
  </si>
  <si>
    <t>　広告業</t>
  </si>
  <si>
    <t>　　　　730　</t>
  </si>
  <si>
    <t xml:space="preserve">管理，補助的経済活動を行う事業所（73広告業） </t>
  </si>
  <si>
    <t>74</t>
  </si>
  <si>
    <t>　技術サービス業（他に分類されないもの）</t>
  </si>
  <si>
    <t>専門サービス業</t>
  </si>
  <si>
    <t>　　　　740　</t>
  </si>
  <si>
    <t xml:space="preserve">管理，補助的経済活動を行う事業所（74技術サービス業） </t>
  </si>
  <si>
    <t>　宿泊業</t>
  </si>
  <si>
    <t>130500</t>
  </si>
  <si>
    <t>　　　　750　</t>
  </si>
  <si>
    <t xml:space="preserve">管理，補助的経済活動を行う事業所（75宿泊業） </t>
  </si>
  <si>
    <t>　飲食店</t>
  </si>
  <si>
    <t>130100</t>
  </si>
  <si>
    <t>一般飲食店　</t>
  </si>
  <si>
    <t>　　　　760　</t>
  </si>
  <si>
    <t xml:space="preserve">管理，補助的経済活動を行う事業所（76飲食店） </t>
  </si>
  <si>
    <t>77</t>
  </si>
  <si>
    <t>　持ち帰り・配達飲食サービス業</t>
  </si>
  <si>
    <t>　　　　770　</t>
  </si>
  <si>
    <t xml:space="preserve">管理，補助的経済活動を行う事業所（77持ち帰り・配達飲食サービス業） </t>
  </si>
  <si>
    <t>　洗濯・理容・美容・浴場業</t>
  </si>
  <si>
    <t>170500</t>
  </si>
  <si>
    <t>　　　　780　</t>
  </si>
  <si>
    <t xml:space="preserve">管理，補助的経済活動を行う事業所（78洗濯・理容・美容・浴場業） </t>
  </si>
  <si>
    <t>79</t>
  </si>
  <si>
    <t>　その他の生活関連サービス業</t>
  </si>
  <si>
    <t>170700</t>
  </si>
  <si>
    <t>　　　　790　</t>
  </si>
  <si>
    <t xml:space="preserve">管理，補助的経済活動を行う事業所（79その他の生活関連サービス業） </t>
  </si>
  <si>
    <t>80</t>
  </si>
  <si>
    <t>　娯楽業</t>
  </si>
  <si>
    <t>170900</t>
  </si>
  <si>
    <t>　　　　800　</t>
  </si>
  <si>
    <t xml:space="preserve">管理，補助的経済活動を行う事業所（80娯楽業） </t>
  </si>
  <si>
    <t>81</t>
  </si>
  <si>
    <t>　学校教育</t>
  </si>
  <si>
    <t>150000</t>
  </si>
  <si>
    <t>　　　　810　</t>
  </si>
  <si>
    <t xml:space="preserve">管理，補助的経済活動を行う事業所（81学校教育） </t>
  </si>
  <si>
    <t>　その他の教育，学習支援業</t>
  </si>
  <si>
    <t>　　　　820　</t>
  </si>
  <si>
    <t xml:space="preserve">管理，補助的経済活動を行う事業所（82その他の教育，学習支援業） </t>
  </si>
  <si>
    <t>83</t>
  </si>
  <si>
    <t>　医療業</t>
  </si>
  <si>
    <t>140100</t>
  </si>
  <si>
    <t>　　　　830　</t>
  </si>
  <si>
    <t xml:space="preserve">管理，補助的経済活動を行う事業所（83医療業） </t>
  </si>
  <si>
    <t>84</t>
  </si>
  <si>
    <t>　保健衛生</t>
  </si>
  <si>
    <t>140300</t>
  </si>
  <si>
    <t>　　　　840　</t>
  </si>
  <si>
    <t xml:space="preserve">管理，補助的経済活動を行う事業所（84保健衛生） </t>
  </si>
  <si>
    <t>85</t>
  </si>
  <si>
    <t>　社会保険・社会福祉・介護事業</t>
  </si>
  <si>
    <t>140500</t>
  </si>
  <si>
    <t>　　　　850　</t>
  </si>
  <si>
    <t xml:space="preserve">管理，補助的経済活動を行う事業所（85社会保険・社会福祉・介護事業） </t>
  </si>
  <si>
    <t>86</t>
  </si>
  <si>
    <t>　郵便局</t>
  </si>
  <si>
    <t>160000</t>
  </si>
  <si>
    <t>　　　　860　</t>
  </si>
  <si>
    <t xml:space="preserve">管理，補助的経済活動を行う事業所（86郵便局） </t>
  </si>
  <si>
    <t>87</t>
  </si>
  <si>
    <t>　協同組合（他に分類されないもの）</t>
  </si>
  <si>
    <t>　　　　870　</t>
  </si>
  <si>
    <t xml:space="preserve">管理，補助的経済活動を行う事業所（87協同組合） </t>
  </si>
  <si>
    <t>88</t>
  </si>
  <si>
    <t>　廃棄物処理業</t>
  </si>
  <si>
    <t>171100</t>
  </si>
  <si>
    <t>　　　　880　</t>
  </si>
  <si>
    <t xml:space="preserve">管理，補助的経済活動を行う事業所（88廃棄物処理業） </t>
  </si>
  <si>
    <t>89</t>
  </si>
  <si>
    <t>　自動車整備業</t>
  </si>
  <si>
    <t>171300</t>
  </si>
  <si>
    <t>　　　　890　</t>
  </si>
  <si>
    <t xml:space="preserve">管理，補助的経済活動を行う事業所（89自動車整備業） </t>
  </si>
  <si>
    <t>90</t>
  </si>
  <si>
    <t>　機械等修理業（別掲を除く）</t>
  </si>
  <si>
    <t>171500</t>
  </si>
  <si>
    <t>　　　　900　</t>
  </si>
  <si>
    <t xml:space="preserve">管理，補助的経済活動を行う事業所（90機械等修理業） </t>
  </si>
  <si>
    <t>　職業紹介・労働者派遣業</t>
  </si>
  <si>
    <t>172100</t>
  </si>
  <si>
    <t>　その他の事業サービス業</t>
  </si>
  <si>
    <t>　　　　910　</t>
  </si>
  <si>
    <t xml:space="preserve">管理，補助的経済活動を行う事業所（91職業紹介・労働者派遣業） </t>
  </si>
  <si>
    <t>92</t>
  </si>
  <si>
    <t>　　　　920　</t>
  </si>
  <si>
    <t xml:space="preserve">管理，補助的経済活動を行う事業所（92その他の事業サービス業） </t>
  </si>
  <si>
    <t>93</t>
  </si>
  <si>
    <t>　政治・経済・文化団体</t>
  </si>
  <si>
    <t>172300</t>
  </si>
  <si>
    <t>　　　　931　</t>
  </si>
  <si>
    <t xml:space="preserve">経済団体 </t>
  </si>
  <si>
    <t>94</t>
  </si>
  <si>
    <t>　宗教</t>
  </si>
  <si>
    <t>　　　　941　</t>
  </si>
  <si>
    <t xml:space="preserve">神道系宗教 </t>
  </si>
  <si>
    <t>95</t>
  </si>
  <si>
    <t>　その他のサービス業</t>
  </si>
  <si>
    <t>　　　　950　</t>
  </si>
  <si>
    <t xml:space="preserve">管理，補助的経済活動を行う事業所（95その他のサービス業） </t>
  </si>
  <si>
    <t>96</t>
  </si>
  <si>
    <t>　外国公務</t>
  </si>
  <si>
    <t>　　　　961　</t>
  </si>
  <si>
    <t xml:space="preserve">外国公館 </t>
  </si>
  <si>
    <t>　国家公務</t>
  </si>
  <si>
    <t>　　　　971　</t>
  </si>
  <si>
    <t xml:space="preserve">立法機関 </t>
  </si>
  <si>
    <t>98</t>
  </si>
  <si>
    <t>　地方公務</t>
  </si>
  <si>
    <t>　　　　981　</t>
  </si>
  <si>
    <t xml:space="preserve">都道府県機関 </t>
  </si>
  <si>
    <t>99</t>
  </si>
  <si>
    <t>分類不能の産業</t>
  </si>
  <si>
    <t>990000</t>
  </si>
  <si>
    <t>　　　　999　</t>
  </si>
  <si>
    <t xml:space="preserve">分類不能の産業 </t>
  </si>
  <si>
    <t>事業者名：</t>
  </si>
  <si>
    <t>以下の判定結果をもとに数値を見直してください。</t>
  </si>
  <si>
    <t>差額</t>
  </si>
  <si>
    <t>仮計算
補助金交付申請額</t>
  </si>
  <si>
    <t>按分計算
補助金交付申請額</t>
  </si>
  <si>
    <t>機械装置費で補助対象経費にして単価５０万円以上の設備投資が必要</t>
  </si>
  <si>
    <t>機械装置費以外の経費の補助金交付申請額は５００万円以下</t>
  </si>
  <si>
    <t>総合判定</t>
  </si>
  <si>
    <t>名前の管理（引用しているため削除不可）</t>
  </si>
  <si>
    <t>外、委、知は補助対象経費総額の1/2・1/2・1/3以内か</t>
  </si>
  <si>
    <t>名前</t>
  </si>
  <si>
    <t>消費税率</t>
  </si>
  <si>
    <t>事業類型</t>
  </si>
  <si>
    <t>合　計</t>
  </si>
  <si>
    <t>↑</t>
  </si>
  <si>
    <t>予算額　計算シート</t>
  </si>
  <si>
    <t>機械装置費を除く補助金申請額の合計額(修正前)</t>
  </si>
  <si>
    <t>順位２</t>
  </si>
  <si>
    <t>補助金交付申請限度額</t>
  </si>
  <si>
    <t>順位２の合計額</t>
  </si>
  <si>
    <t>微修正してください。</t>
  </si>
  <si>
    <t>優先される数値</t>
  </si>
  <si>
    <t>次に、補助金の上限を設定するため事業類型を選択してください。(必須)</t>
  </si>
  <si>
    <t>保護を解除する場合は「校閲」のタブをクリックして、「シート保護の解除」をしてください。パスワードはかけていません。</t>
  </si>
  <si>
    <t>費目別支出明細では原則円未満切り捨てで計算しています。微調整は保護を解除して行ってください。</t>
  </si>
  <si>
    <t>企業名を入力してください。</t>
  </si>
  <si>
    <t>■はじめに</t>
  </si>
  <si>
    <t>　 ※下記の各費用項目をクリックすると対象のシートに移動します。</t>
  </si>
  <si>
    <t>機械装置費（50万円以上）</t>
  </si>
  <si>
    <t>機械装置費（50万円未満）</t>
  </si>
  <si>
    <t>専門家経費</t>
  </si>
  <si>
    <t>クラウド利用費</t>
  </si>
  <si>
    <t>機械装置費（50万円以上）</t>
  </si>
  <si>
    <t>機械装置費（50万円未満）</t>
  </si>
  <si>
    <t>（切捨て）</t>
  </si>
  <si>
    <t>補助対象経費</t>
  </si>
  <si>
    <t>補助対象経費の（2/3）</t>
  </si>
  <si>
    <t>■操作手順</t>
  </si>
  <si>
    <t>事業に要する経費</t>
  </si>
  <si>
    <t>事業に要する経費</t>
  </si>
  <si>
    <t xml:space="preserve">補助対象経費
</t>
  </si>
  <si>
    <t>(Ａ)</t>
  </si>
  <si>
    <t>機械装置費を優先した残りの補助金交付申請額</t>
  </si>
  <si>
    <t xml:space="preserve">機械装置費を除く合計額の補助金交付申請額の上限 </t>
  </si>
  <si>
    <t>この申請の事業類型は、</t>
  </si>
  <si>
    <t>要対応は　　× 並びに</t>
  </si>
  <si>
    <t>色の変わったセル(総額違反)</t>
  </si>
  <si>
    <t>見積書等の証拠書類をもとに、各経費のそれぞれの単価・数量・内容を入力すると、経費明細へ自動的に反映されます。</t>
  </si>
  <si>
    <t>機械装置費（50万円以上）</t>
  </si>
  <si>
    <t>機械装置費（50万円未満）</t>
  </si>
  <si>
    <t>日</t>
  </si>
  <si>
    <t>判定１</t>
  </si>
  <si>
    <t>判定２</t>
  </si>
  <si>
    <t>判定３</t>
  </si>
  <si>
    <t>目次</t>
  </si>
  <si>
    <t>シート名</t>
  </si>
  <si>
    <t>日本標準産業分類</t>
  </si>
  <si>
    <t>戻る</t>
  </si>
  <si>
    <t>下記の各費用項目をクリックすると対象のシートに移動します。</t>
  </si>
  <si>
    <t>ＡＡ株式会社</t>
  </si>
  <si>
    <t>○○装置　(型番１２３型番TK)</t>
  </si>
  <si>
    <t>台</t>
  </si>
  <si>
    <t>ＢＢ株式会社</t>
  </si>
  <si>
    <t>○○装置　(型番１型番TK)</t>
  </si>
  <si>
    <t>ＢＢ株式会社</t>
  </si>
  <si>
    <t>○○装置　(型番２型番TK)</t>
  </si>
  <si>
    <t>○○装置　(型番３型番TK)</t>
  </si>
  <si>
    <t>○○装置　(型番４型番TK)</t>
  </si>
  <si>
    <t>○○装置　(型番５型番TK)</t>
  </si>
  <si>
    <t>○○装置　(型番６型番TK)</t>
  </si>
  <si>
    <t>○○装置　(型番７型番TK)</t>
  </si>
  <si>
    <t>○○装置　(型番８型番TK)</t>
  </si>
  <si>
    <t>ＣＣ株式会社</t>
  </si>
  <si>
    <t>金属Ａ</t>
  </si>
  <si>
    <t>ｋｇ</t>
  </si>
  <si>
    <t>金属Ｂ</t>
  </si>
  <si>
    <t>ｇ</t>
  </si>
  <si>
    <t>合金Ａ</t>
  </si>
  <si>
    <t>ｇ</t>
  </si>
  <si>
    <t>合金Ｂ</t>
  </si>
  <si>
    <t>ｇ</t>
  </si>
  <si>
    <t>Ｄ株式会社</t>
  </si>
  <si>
    <t>○○指導</t>
  </si>
  <si>
    <t>Ｅ株式会社</t>
  </si>
  <si>
    <t>切削加工</t>
  </si>
  <si>
    <t>件</t>
  </si>
  <si>
    <t>○○市工業研究所</t>
  </si>
  <si>
    <t>○○の委託研究開発</t>
  </si>
  <si>
    <t>○○研究所</t>
  </si>
  <si>
    <t>○○技術について</t>
  </si>
  <si>
    <t>○○運輸</t>
  </si>
  <si>
    <t>○○機材</t>
  </si>
  <si>
    <t>個</t>
  </si>
  <si>
    <t>○○弁理士</t>
  </si>
  <si>
    <t>○○株式会社</t>
  </si>
  <si>
    <t>日</t>
  </si>
  <si>
    <t>初期費用</t>
  </si>
  <si>
    <t>固定料金費用</t>
  </si>
  <si>
    <t>従量制料金費用</t>
  </si>
  <si>
    <t>月</t>
  </si>
  <si>
    <t>件</t>
  </si>
  <si>
    <t>ＴＢ</t>
  </si>
  <si>
    <t>調整される補助金の額</t>
  </si>
  <si>
    <t>調整する件数</t>
  </si>
  <si>
    <t>基本情報入力（使い方）</t>
  </si>
  <si>
    <t>小規模型</t>
  </si>
  <si>
    <t>高度生産性向上型</t>
  </si>
  <si>
    <t>一般型</t>
  </si>
  <si>
    <t>設備投資のみ</t>
  </si>
  <si>
    <t>試作開発＋設備投資</t>
  </si>
  <si>
    <t>補助上限額</t>
  </si>
  <si>
    <t>事業類型</t>
  </si>
  <si>
    <t>№</t>
  </si>
  <si>
    <t>事業内容</t>
  </si>
  <si>
    <t>条件</t>
  </si>
  <si>
    <t>照合金額</t>
  </si>
  <si>
    <t>判定</t>
  </si>
  <si>
    <t>結果</t>
  </si>
  <si>
    <t>委託費</t>
  </si>
  <si>
    <t>判定対象外</t>
  </si>
  <si>
    <t>判定内容</t>
  </si>
  <si>
    <t>試作開発等</t>
  </si>
  <si>
    <t>事業内容（小規模）</t>
  </si>
  <si>
    <t>革新的サービス</t>
  </si>
  <si>
    <t>ものづくり技術</t>
  </si>
  <si>
    <t>外注加工費（小規模型のみ）</t>
  </si>
  <si>
    <t>補助下限額</t>
  </si>
  <si>
    <t>（試作開発等）</t>
  </si>
  <si>
    <t>（設備投資のみ）</t>
  </si>
  <si>
    <t>（ＩｏＴ）</t>
  </si>
  <si>
    <t>（最新モデル）</t>
  </si>
  <si>
    <t>原材料費（小規模型のみ）</t>
  </si>
  <si>
    <t>経費明細表</t>
  </si>
  <si>
    <t>委託費(小規模型のみ）</t>
  </si>
  <si>
    <t>知的財産権等関連経費(小規模型のみ）</t>
  </si>
  <si>
    <t>クラウド利用費（小規模型のみ）</t>
  </si>
  <si>
    <t>原材料費(※）</t>
  </si>
  <si>
    <t>外注加工費(※）</t>
  </si>
  <si>
    <t>委託費(※）</t>
  </si>
  <si>
    <t>知的財産権等関連経費(※）</t>
  </si>
  <si>
    <t>クラウド利用費(※）</t>
  </si>
  <si>
    <t>※は小規模型の「試作開発等」のみ使用可</t>
  </si>
  <si>
    <t>機械装置費で補助対象経費にして単価５０万円以上の設備投資が必要</t>
  </si>
  <si>
    <t>①費目別経費支出明細書</t>
  </si>
  <si>
    <t>原材料費、外注加工費、委託費、知的財産権等関連経費、クラウド利用費</t>
  </si>
  <si>
    <t>知的財産権等関連経費</t>
  </si>
  <si>
    <t>外注加工費は補助対象経費の1/2を超えていないか※１</t>
  </si>
  <si>
    <t>委託費は補助対象経費の1/2を超えていないか※１</t>
  </si>
  <si>
    <t>上記の合計額が補助対象経費の1/2を超えていないか。※１</t>
  </si>
  <si>
    <t>知的財産権関連経費が補助対象経費の1/3を超えていないか</t>
  </si>
  <si>
    <t>事業対象外の経費を使用していないか</t>
  </si>
  <si>
    <t>対象項目</t>
  </si>
  <si>
    <t>※１：小規模型（試作開発等）が対象</t>
  </si>
  <si>
    <t>事業対象外の経費を使用していないか※２</t>
  </si>
  <si>
    <t>※２：小規模型（試作開発等）以外が対象</t>
  </si>
  <si>
    <r>
      <rPr>
        <sz val="9.5"/>
        <rFont val="ＭＳ Ｐゴシック"/>
        <family val="3"/>
      </rPr>
      <t>補助事業に要した
経費</t>
    </r>
    <r>
      <rPr>
        <sz val="10"/>
        <rFont val="ＭＳ Ｐゴシック"/>
        <family val="3"/>
      </rPr>
      <t>（税込）
≧</t>
    </r>
    <r>
      <rPr>
        <sz val="9.5"/>
        <rFont val="ＭＳ Ｐゴシック"/>
        <family val="3"/>
      </rPr>
      <t>補助事業に要した
経費</t>
    </r>
    <r>
      <rPr>
        <sz val="10"/>
        <rFont val="ＭＳ Ｐゴシック"/>
        <family val="3"/>
      </rPr>
      <t>（税抜）
≧補助対象経費</t>
    </r>
  </si>
  <si>
    <t>機械装置費（単価50万円以上）</t>
  </si>
  <si>
    <t>機械装置費（単価50万円未満）</t>
  </si>
  <si>
    <t>その他経費の制限に
抵触していないか</t>
  </si>
  <si>
    <t xml:space="preserve"> </t>
  </si>
  <si>
    <t>判定1</t>
  </si>
  <si>
    <t>判定2</t>
  </si>
  <si>
    <t>判定3</t>
  </si>
  <si>
    <t>外、委、知は補助対象経費総額の1/2・1/2・1/3以内か。</t>
  </si>
  <si>
    <t>その他経費の制限に抵触していないか</t>
  </si>
  <si>
    <t>判定４</t>
  </si>
  <si>
    <t>技術導入費</t>
  </si>
  <si>
    <t>運搬費</t>
  </si>
  <si>
    <t>専門家経費</t>
  </si>
  <si>
    <t>判定５</t>
  </si>
  <si>
    <t>設備投資の制限</t>
  </si>
  <si>
    <t>設備投資の制限に抵触していないか</t>
  </si>
  <si>
    <t>設備投資にウエイトをおいて補助金額を按分しています。</t>
  </si>
  <si>
    <t>「×」の場合、判定１～判定5参照</t>
  </si>
  <si>
    <t>円</t>
  </si>
  <si>
    <t>Ｂ金属株式会社</t>
  </si>
  <si>
    <t>(ａ)</t>
  </si>
  <si>
    <t>(ｃ)</t>
  </si>
  <si>
    <t>変　　更　　前　（交付決定額）</t>
  </si>
  <si>
    <t>変　　更　　後</t>
  </si>
  <si>
    <t>補助対象経費（税抜き）</t>
  </si>
  <si>
    <t>補助金交付決定額</t>
  </si>
  <si>
    <t>（税込み）</t>
  </si>
  <si>
    <t>（税抜き）</t>
  </si>
  <si>
    <t>（税抜き）</t>
  </si>
  <si>
    <t>（税込み）</t>
  </si>
  <si>
    <t>上限調整後</t>
  </si>
  <si>
    <t>（単位：円）</t>
  </si>
  <si>
    <t>事業形態</t>
  </si>
  <si>
    <r>
      <rPr>
        <strike/>
        <sz val="12"/>
        <color indexed="8"/>
        <rFont val="ＭＳ ゴシック"/>
        <family val="3"/>
      </rPr>
      <t>資金（借入金）の調達先を入力してください。</t>
    </r>
    <r>
      <rPr>
        <sz val="12"/>
        <color indexed="8"/>
        <rFont val="ＭＳ ゴシック"/>
        <family val="3"/>
      </rPr>
      <t>（←省略してください。）</t>
    </r>
  </si>
  <si>
    <r>
      <rPr>
        <strike/>
        <sz val="12"/>
        <color indexed="8"/>
        <rFont val="ＭＳ ゴシック"/>
        <family val="3"/>
      </rPr>
      <t>経理担当者の役職氏名TELを入力してください。</t>
    </r>
    <r>
      <rPr>
        <sz val="12"/>
        <color indexed="8"/>
        <rFont val="ＭＳ ゴシック"/>
        <family val="3"/>
      </rPr>
      <t>（←省略してください。）</t>
    </r>
  </si>
  <si>
    <t>このエクセルは事務処理の手引きの計画変更承認申請書　様式第３－１別紙１　新旧対比表</t>
  </si>
  <si>
    <t>を作成するために用意したものです。</t>
  </si>
  <si>
    <t>様式第３－１の別紙１（新旧対比表）</t>
  </si>
  <si>
    <t>様式３－１の別紙１　経費明細表を作成して下さい。</t>
  </si>
  <si>
    <t>●提出用・ファイリング用として印刷してください。</t>
  </si>
  <si>
    <t>変更額　チェックシート(変更後の補助金額が予算額のそれと比較して２０%を超える場合は変更申請が必要となります。)</t>
  </si>
  <si>
    <t>変更前の補助金－変更後の補助金</t>
  </si>
  <si>
    <t>変更前の補助金×２０%</t>
  </si>
  <si>
    <t>機械装置費（50万円未満）</t>
  </si>
  <si>
    <t>原材料費</t>
  </si>
  <si>
    <t>外注加工費</t>
  </si>
  <si>
    <t>クラウド利用費</t>
  </si>
  <si>
    <t>補助対象経費</t>
  </si>
  <si>
    <t>補助金の額</t>
  </si>
  <si>
    <t>○○作業
（18日）</t>
  </si>
  <si>
    <t>合金Ｃ</t>
  </si>
  <si>
    <t>補助上限額　（交付決定額）</t>
  </si>
  <si>
    <t>補助上限額（交付決定額）</t>
  </si>
  <si>
    <t>（税抜き）</t>
  </si>
  <si>
    <t>補助事業に要する経費</t>
  </si>
  <si>
    <t>Ａ</t>
  </si>
  <si>
    <t>Ｂ</t>
  </si>
  <si>
    <t>Ｂ×2/3以内</t>
  </si>
  <si>
    <t>経費区分
（※は小規模型
「試作開発等」のみ使用可）</t>
  </si>
  <si>
    <t>変更申請額</t>
  </si>
  <si>
    <t>（税抜き）</t>
  </si>
  <si>
    <t>補助金交付決定額</t>
  </si>
  <si>
    <t>変更申請額
（税抜き）</t>
  </si>
  <si>
    <t>上限調整後
（税抜き）</t>
  </si>
  <si>
    <t>補助対象経費</t>
  </si>
  <si>
    <t/>
  </si>
  <si>
    <t>（ア）</t>
  </si>
  <si>
    <t>●変更申請額と同額の場合も、入力が必要です。</t>
  </si>
  <si>
    <r>
      <t>「機械装置費（50万円以上）」から「クラウド利用費」まで該当の</t>
    </r>
    <r>
      <rPr>
        <b/>
        <sz val="12"/>
        <color indexed="8"/>
        <rFont val="ＭＳ ゴシック"/>
        <family val="3"/>
      </rPr>
      <t>「費目別経費支出明細書」</t>
    </r>
    <r>
      <rPr>
        <sz val="12"/>
        <color indexed="8"/>
        <rFont val="ＭＳ ゴシック"/>
        <family val="3"/>
      </rPr>
      <t>へ見積書等の証拠書類をもとに入力してください。</t>
    </r>
  </si>
  <si>
    <t>←この塗りつぶしのあるセルに、必要に応じて入力をお願いします。（全シート対象）</t>
  </si>
  <si>
    <t>小規模型</t>
  </si>
  <si>
    <t>●「経費明細表」で上限調整により増減した場合は、「費目別経費支出明細書」でも増減額を反映させる必要があります。</t>
  </si>
  <si>
    <t>　　「変更後」の「補助対象経費（税抜き）」合計額は、「変更前」の「補助対象経費（税抜き）」合計額を超えることはできません。</t>
  </si>
  <si>
    <t>（イ）</t>
  </si>
  <si>
    <t>　　（越えた場合は、基本的に機械装置費以外で減額調整を行ってください。）</t>
  </si>
  <si>
    <t>様式第3-1の別紙2</t>
  </si>
  <si>
    <t>【様式第３－１の別紙2】①費目別経費支出明細書</t>
  </si>
  <si>
    <t>●「変更後」の「事業に要する経費（税込み）」「事業に要する経費（税抜き）」「補助対象経費（税抜き）：変更申請額」欄の金額は、</t>
  </si>
  <si>
    <t>　　各費目のシート（費目別経費支出明細書）からリンク表示されます。</t>
  </si>
  <si>
    <r>
      <rPr>
        <b/>
        <sz val="12"/>
        <rFont val="ＭＳ ゴシック"/>
        <family val="3"/>
      </rPr>
      <t>「費目別経費支出明細書」の「補助対象経費（税抜き）：上限調整後」（セルＮ欄）</t>
    </r>
    <r>
      <rPr>
        <sz val="12"/>
        <rFont val="ＭＳ ゴシック"/>
        <family val="3"/>
      </rPr>
      <t>に、</t>
    </r>
    <r>
      <rPr>
        <b/>
        <sz val="12"/>
        <rFont val="ＭＳ ゴシック"/>
        <family val="3"/>
      </rPr>
      <t>「経費明細表」</t>
    </r>
    <r>
      <rPr>
        <sz val="12"/>
        <rFont val="ＭＳ ゴシック"/>
        <family val="3"/>
      </rPr>
      <t>で作成した</t>
    </r>
  </si>
  <si>
    <t>「補助対象経費（税抜き）：上限調整後」の金額になるように経費内訳を入力してください。</t>
  </si>
  <si>
    <t>補助事業に要した経費（税込）≧補助事業に要した経費（税抜）
補助事業に要した経費（税抜）≧補助対象経費</t>
  </si>
  <si>
    <r>
      <t>●「変更前」の</t>
    </r>
    <r>
      <rPr>
        <sz val="11"/>
        <color indexed="47"/>
        <rFont val="ＭＳ Ｐゴシック"/>
        <family val="3"/>
      </rPr>
      <t>■</t>
    </r>
    <r>
      <rPr>
        <sz val="11"/>
        <color theme="1"/>
        <rFont val="Calibri"/>
        <family val="3"/>
      </rPr>
      <t>欄に、交付申請（決定）時の金額を入力してください。</t>
    </r>
  </si>
  <si>
    <r>
      <t xml:space="preserve">●「変更後」の「補助対象経費（税抜き）：上限調整後 」 </t>
    </r>
    <r>
      <rPr>
        <sz val="11"/>
        <color indexed="47"/>
        <rFont val="ＭＳ Ｐゴシック"/>
        <family val="3"/>
      </rPr>
      <t>■</t>
    </r>
    <r>
      <rPr>
        <sz val="11"/>
        <color theme="1"/>
        <rFont val="Calibri"/>
        <family val="3"/>
      </rPr>
      <t>欄に、下記の調整事項を考慮し入力してください。</t>
    </r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</si>
</sst>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_ "/>
    <numFmt numFmtId="185" formatCode="0_ "/>
    <numFmt numFmtId="186" formatCode="#,##0_);[Red]\(#,##0\)"/>
    <numFmt numFmtId="187" formatCode="#,##0.00_ "/>
    <numFmt numFmtId="188" formatCode="0.00_ "/>
    <numFmt numFmtId="189" formatCode="0.000_ "/>
    <numFmt numFmtId="190" formatCode="#,##0&quot;円&quot;"/>
    <numFmt numFmtId="191" formatCode="0&quot;件&quot;"/>
    <numFmt numFmtId="192" formatCode="&quot;参考：補助上限額　&quot;#,##0&quot;円&quot;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12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1"/>
      <name val="ＭＳ 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b/>
      <sz val="9"/>
      <name val="ＭＳ ゴシック"/>
      <family val="3"/>
    </font>
    <font>
      <b/>
      <sz val="12"/>
      <name val="ＭＳ Ｐゴシック"/>
      <family val="3"/>
    </font>
    <font>
      <sz val="20"/>
      <name val="ＭＳ Ｐゴシック"/>
      <family val="3"/>
    </font>
    <font>
      <b/>
      <sz val="11"/>
      <name val="ＭＳ Ｐゴシック"/>
      <family val="3"/>
    </font>
    <font>
      <sz val="18"/>
      <name val="ＭＳ Ｐゴシック"/>
      <family val="3"/>
    </font>
    <font>
      <sz val="9"/>
      <name val="Meiryo UI"/>
      <family val="3"/>
    </font>
    <font>
      <sz val="9.5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b/>
      <sz val="9"/>
      <name val="ＭＳ Ｐゴシック"/>
      <family val="3"/>
    </font>
    <font>
      <b/>
      <sz val="18"/>
      <name val="ＭＳ Ｐゴシック"/>
      <family val="3"/>
    </font>
    <font>
      <b/>
      <sz val="20"/>
      <name val="ＭＳ Ｐゴシック"/>
      <family val="3"/>
    </font>
    <font>
      <b/>
      <sz val="36"/>
      <name val="ＭＳ Ｐゴシック"/>
      <family val="3"/>
    </font>
    <font>
      <sz val="16"/>
      <name val="ＭＳ ゴシック"/>
      <family val="3"/>
    </font>
    <font>
      <sz val="12"/>
      <color indexed="8"/>
      <name val="ＭＳ ゴシック"/>
      <family val="3"/>
    </font>
    <font>
      <sz val="14"/>
      <name val="ＭＳ ゴシック"/>
      <family val="3"/>
    </font>
    <font>
      <strike/>
      <sz val="12"/>
      <color indexed="8"/>
      <name val="ＭＳ ゴシック"/>
      <family val="3"/>
    </font>
    <font>
      <b/>
      <sz val="12"/>
      <color indexed="8"/>
      <name val="ＭＳ ゴシック"/>
      <family val="3"/>
    </font>
    <font>
      <b/>
      <sz val="14"/>
      <color indexed="10"/>
      <name val="ＭＳ Ｐゴシック"/>
      <family val="3"/>
    </font>
    <font>
      <sz val="14"/>
      <color indexed="47"/>
      <name val="ＭＳ Ｐゴシック"/>
      <family val="3"/>
    </font>
    <font>
      <b/>
      <sz val="12"/>
      <name val="ＭＳ ゴシック"/>
      <family val="3"/>
    </font>
    <font>
      <sz val="14"/>
      <color indexed="10"/>
      <name val="ＭＳ Ｐゴシック"/>
      <family val="3"/>
    </font>
    <font>
      <sz val="12"/>
      <color indexed="10"/>
      <name val="ＭＳ Ｐゴシック"/>
      <family val="3"/>
    </font>
    <font>
      <sz val="12"/>
      <color indexed="47"/>
      <name val="ＭＳ Ｐゴシック"/>
      <family val="3"/>
    </font>
    <font>
      <b/>
      <sz val="12"/>
      <color indexed="10"/>
      <name val="ＭＳ Ｐゴシック"/>
      <family val="3"/>
    </font>
    <font>
      <sz val="11"/>
      <color indexed="47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1"/>
      <color indexed="8"/>
      <name val="ＭＳ 明朝"/>
      <family val="1"/>
    </font>
    <font>
      <b/>
      <sz val="11"/>
      <color indexed="8"/>
      <name val="ＭＳ ゴシック"/>
      <family val="3"/>
    </font>
    <font>
      <sz val="12"/>
      <color indexed="8"/>
      <name val="ＭＳ Ｐゴシック"/>
      <family val="3"/>
    </font>
    <font>
      <u val="single"/>
      <sz val="12"/>
      <color indexed="8"/>
      <name val="ＭＳ ゴシック"/>
      <family val="3"/>
    </font>
    <font>
      <sz val="12"/>
      <color indexed="9"/>
      <name val="ＭＳ ゴシック"/>
      <family val="3"/>
    </font>
    <font>
      <b/>
      <sz val="9"/>
      <color indexed="10"/>
      <name val="ＭＳ Ｐゴシック"/>
      <family val="3"/>
    </font>
    <font>
      <sz val="12"/>
      <color indexed="10"/>
      <name val="ＭＳ ゴシック"/>
      <family val="3"/>
    </font>
    <font>
      <sz val="12"/>
      <color indexed="47"/>
      <name val="ＭＳ ゴシック"/>
      <family val="3"/>
    </font>
    <font>
      <b/>
      <sz val="14"/>
      <color indexed="9"/>
      <name val="ＭＳ Ｐゴシック"/>
      <family val="3"/>
    </font>
    <font>
      <sz val="9"/>
      <color indexed="8"/>
      <name val="ＭＳ Ｐゴシック"/>
      <family val="3"/>
    </font>
    <font>
      <sz val="14"/>
      <color indexed="8"/>
      <name val="ＭＳ Ｐゴシック"/>
      <family val="3"/>
    </font>
    <font>
      <sz val="16"/>
      <color indexed="8"/>
      <name val="ＭＳ Ｐゴシック"/>
      <family val="3"/>
    </font>
    <font>
      <b/>
      <sz val="14"/>
      <color indexed="56"/>
      <name val="ＭＳ Ｐゴシック"/>
      <family val="3"/>
    </font>
    <font>
      <b/>
      <sz val="16"/>
      <color indexed="10"/>
      <name val="ＭＳ Ｐゴシック"/>
      <family val="3"/>
    </font>
    <font>
      <sz val="14"/>
      <color indexed="56"/>
      <name val="ＭＳ Ｐゴシック"/>
      <family val="3"/>
    </font>
    <font>
      <sz val="9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1"/>
      <color theme="1"/>
      <name val="ＭＳ 明朝"/>
      <family val="1"/>
    </font>
    <font>
      <b/>
      <sz val="11"/>
      <color theme="1"/>
      <name val="ＭＳ ゴシック"/>
      <family val="3"/>
    </font>
    <font>
      <sz val="12"/>
      <color theme="1"/>
      <name val="Calibri"/>
      <family val="3"/>
    </font>
    <font>
      <sz val="12"/>
      <color theme="1"/>
      <name val="ＭＳ ゴシック"/>
      <family val="3"/>
    </font>
    <font>
      <b/>
      <sz val="12"/>
      <color theme="1"/>
      <name val="ＭＳ ゴシック"/>
      <family val="3"/>
    </font>
    <font>
      <u val="single"/>
      <sz val="12"/>
      <color theme="1"/>
      <name val="ＭＳ ゴシック"/>
      <family val="3"/>
    </font>
    <font>
      <b/>
      <sz val="11"/>
      <name val="Calibri"/>
      <family val="3"/>
    </font>
    <font>
      <sz val="11"/>
      <name val="Calibri"/>
      <family val="3"/>
    </font>
    <font>
      <sz val="9"/>
      <name val="Calibri"/>
      <family val="3"/>
    </font>
    <font>
      <sz val="12"/>
      <color theme="0"/>
      <name val="ＭＳ ゴシック"/>
      <family val="3"/>
    </font>
    <font>
      <sz val="10"/>
      <name val="Calibri"/>
      <family val="3"/>
    </font>
    <font>
      <b/>
      <sz val="9"/>
      <color rgb="FFFF0000"/>
      <name val="Calibri"/>
      <family val="3"/>
    </font>
    <font>
      <sz val="12"/>
      <color rgb="FFFF0000"/>
      <name val="ＭＳ ゴシック"/>
      <family val="3"/>
    </font>
    <font>
      <sz val="12"/>
      <color theme="9" tint="0.7999799847602844"/>
      <name val="ＭＳ ゴシック"/>
      <family val="3"/>
    </font>
    <font>
      <b/>
      <sz val="14"/>
      <color theme="0"/>
      <name val="ＭＳ Ｐゴシック"/>
      <family val="3"/>
    </font>
    <font>
      <b/>
      <sz val="11"/>
      <color rgb="FF002060"/>
      <name val="ＭＳ Ｐゴシック"/>
      <family val="3"/>
    </font>
    <font>
      <sz val="11"/>
      <color theme="1"/>
      <name val="ＭＳ Ｐゴシック"/>
      <family val="3"/>
    </font>
    <font>
      <sz val="9"/>
      <color theme="1"/>
      <name val="ＭＳ Ｐゴシック"/>
      <family val="3"/>
    </font>
    <font>
      <sz val="12"/>
      <color rgb="FFFF0000"/>
      <name val="ＭＳ Ｐゴシック"/>
      <family val="3"/>
    </font>
    <font>
      <sz val="12"/>
      <color theme="1"/>
      <name val="ＭＳ Ｐゴシック"/>
      <family val="3"/>
    </font>
    <font>
      <sz val="14"/>
      <color theme="1"/>
      <name val="ＭＳ Ｐゴシック"/>
      <family val="3"/>
    </font>
    <font>
      <sz val="16"/>
      <color theme="1"/>
      <name val="ＭＳ Ｐゴシック"/>
      <family val="3"/>
    </font>
    <font>
      <b/>
      <sz val="14"/>
      <color rgb="FF002060"/>
      <name val="ＭＳ Ｐゴシック"/>
      <family val="3"/>
    </font>
    <font>
      <sz val="14"/>
      <name val="Calibri"/>
      <family val="3"/>
    </font>
    <font>
      <strike/>
      <sz val="12"/>
      <color theme="1"/>
      <name val="ＭＳ ゴシック"/>
      <family val="3"/>
    </font>
    <font>
      <b/>
      <sz val="9"/>
      <name val="Calibri"/>
      <family val="3"/>
    </font>
    <font>
      <b/>
      <sz val="16"/>
      <color rgb="FFFF0000"/>
      <name val="Calibri"/>
      <family val="3"/>
    </font>
    <font>
      <sz val="14"/>
      <color rgb="FF002060"/>
      <name val="ＭＳ Ｐゴシック"/>
      <family val="3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1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/>
    </border>
    <border>
      <left style="thin"/>
      <right/>
      <top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/>
      <right style="thin"/>
      <top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/>
      <top style="medium"/>
      <bottom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medium"/>
      <bottom style="medium"/>
    </border>
    <border>
      <left style="thin"/>
      <right/>
      <top style="thin"/>
      <bottom style="medium"/>
    </border>
    <border>
      <left style="thin"/>
      <right style="medium"/>
      <top style="medium"/>
      <bottom style="medium"/>
    </border>
    <border>
      <left style="medium"/>
      <right/>
      <top/>
      <bottom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 style="thick">
        <color theme="8" tint="-0.4999699890613556"/>
      </right>
      <top style="thin"/>
      <bottom style="hair"/>
    </border>
    <border>
      <left style="thin"/>
      <right style="thick">
        <color theme="8" tint="-0.4999699890613556"/>
      </right>
      <top style="hair"/>
      <bottom style="hair"/>
    </border>
    <border>
      <left style="thin"/>
      <right style="thick">
        <color theme="8" tint="-0.4999699890613556"/>
      </right>
      <top style="hair"/>
      <bottom style="thin"/>
    </border>
    <border>
      <left style="thick"/>
      <right style="thin"/>
      <top style="thick"/>
      <bottom style="hair"/>
    </border>
    <border>
      <left style="thick"/>
      <right style="thin"/>
      <top style="hair"/>
      <bottom style="hair"/>
    </border>
    <border>
      <left style="thick"/>
      <right style="thin"/>
      <top style="hair"/>
      <bottom style="thick"/>
    </border>
    <border>
      <left style="thin"/>
      <right>
        <color indexed="63"/>
      </right>
      <top style="thin"/>
      <bottom style="hair"/>
    </border>
    <border>
      <left style="thin"/>
      <right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hair"/>
    </border>
    <border>
      <left/>
      <right style="thin"/>
      <top style="hair"/>
      <bottom style="hair"/>
    </border>
    <border>
      <left style="thin"/>
      <right style="thin"/>
      <top/>
      <bottom/>
    </border>
    <border>
      <left>
        <color indexed="63"/>
      </left>
      <right style="thin"/>
      <top style="hair"/>
      <bottom style="thin"/>
    </border>
    <border>
      <left style="thin"/>
      <right style="thick">
        <color theme="8" tint="-0.4999699890613556"/>
      </right>
      <top style="thin"/>
      <bottom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 style="thick"/>
      <top style="hair"/>
      <bottom style="thick"/>
    </border>
    <border>
      <left>
        <color indexed="63"/>
      </left>
      <right style="double"/>
      <top style="thin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hair"/>
      <bottom style="thin"/>
    </border>
    <border>
      <left>
        <color indexed="63"/>
      </left>
      <right style="thick"/>
      <top style="hair"/>
      <bottom style="hair"/>
    </border>
    <border>
      <left style="double"/>
      <right>
        <color indexed="63"/>
      </right>
      <top style="thin"/>
      <bottom style="hair"/>
    </border>
    <border>
      <left style="double"/>
      <right>
        <color indexed="63"/>
      </right>
      <top style="hair"/>
      <bottom style="hair"/>
    </border>
    <border>
      <left style="double"/>
      <right/>
      <top style="hair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 style="thin"/>
      <bottom/>
    </border>
    <border>
      <left style="double"/>
      <right style="thin"/>
      <top style="thin"/>
      <bottom/>
    </border>
    <border>
      <left style="double"/>
      <right style="double"/>
      <top/>
      <bottom style="thin"/>
    </border>
    <border>
      <left/>
      <right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double"/>
      <right style="double"/>
      <top style="hair"/>
      <bottom style="thin"/>
    </border>
    <border>
      <left style="double"/>
      <right style="thin"/>
      <top style="hair"/>
      <bottom style="thin"/>
    </border>
    <border>
      <left style="thin"/>
      <right/>
      <top style="hair"/>
      <bottom/>
    </border>
    <border>
      <left/>
      <right style="thin"/>
      <top style="hair"/>
      <bottom/>
    </border>
    <border>
      <left style="thin"/>
      <right>
        <color indexed="63"/>
      </right>
      <top style="thick"/>
      <bottom style="hair"/>
    </border>
    <border>
      <left>
        <color indexed="63"/>
      </left>
      <right>
        <color indexed="63"/>
      </right>
      <top style="thick"/>
      <bottom style="hair"/>
    </border>
    <border>
      <left>
        <color indexed="63"/>
      </left>
      <right style="thick"/>
      <top style="thick"/>
      <bottom style="hair"/>
    </border>
    <border>
      <left style="thick">
        <color theme="8" tint="-0.4999699890613556"/>
      </left>
      <right style="thick">
        <color theme="8" tint="-0.4999699890613556"/>
      </right>
      <top style="thick">
        <color theme="8" tint="-0.4999699890613556"/>
      </top>
      <bottom>
        <color indexed="63"/>
      </bottom>
    </border>
    <border>
      <left style="thick">
        <color theme="8" tint="-0.4999699890613556"/>
      </left>
      <right style="thick">
        <color theme="8" tint="-0.4999699890613556"/>
      </right>
      <top>
        <color indexed="63"/>
      </top>
      <bottom>
        <color indexed="63"/>
      </bottom>
    </border>
    <border>
      <left style="thick">
        <color theme="8" tint="-0.4999699890613556"/>
      </left>
      <right style="thick">
        <color theme="8" tint="-0.4999699890613556"/>
      </right>
      <top>
        <color indexed="63"/>
      </top>
      <bottom style="thick">
        <color theme="8" tint="-0.4999699890613556"/>
      </bottom>
    </border>
    <border>
      <left style="double"/>
      <right/>
      <top style="thin"/>
      <bottom style="thin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hair"/>
      <bottom style="thick"/>
    </border>
    <border>
      <left>
        <color indexed="63"/>
      </left>
      <right>
        <color indexed="63"/>
      </right>
      <top style="hair"/>
      <bottom style="thick"/>
    </border>
    <border>
      <left>
        <color indexed="63"/>
      </left>
      <right>
        <color indexed="63"/>
      </right>
      <top style="thin"/>
      <bottom style="hair"/>
    </border>
    <border>
      <left style="thin"/>
      <right style="thick">
        <color theme="8" tint="-0.4999699890613556"/>
      </right>
      <top/>
      <bottom/>
    </border>
    <border>
      <left style="thin"/>
      <right style="thick">
        <color theme="8" tint="-0.4999699890613556"/>
      </right>
      <top>
        <color indexed="63"/>
      </top>
      <bottom style="thin"/>
    </border>
    <border>
      <left style="thin"/>
      <right style="double"/>
      <top style="hair"/>
      <bottom style="thin"/>
    </border>
    <border>
      <left/>
      <right style="thin"/>
      <top style="medium"/>
      <bottom/>
    </border>
    <border>
      <left/>
      <right/>
      <top style="medium"/>
      <bottom/>
    </border>
    <border>
      <left style="thin"/>
      <right style="medium"/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/>
      <bottom style="medium"/>
    </border>
    <border>
      <left style="medium"/>
      <right/>
      <top/>
      <bottom style="medium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26" borderId="1" applyNumberFormat="0" applyAlignment="0" applyProtection="0"/>
    <xf numFmtId="0" fontId="78" fillId="27" borderId="0" applyNumberFormat="0" applyBorder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80" fillId="0" borderId="3" applyNumberFormat="0" applyFill="0" applyAlignment="0" applyProtection="0"/>
    <xf numFmtId="0" fontId="81" fillId="29" borderId="0" applyNumberFormat="0" applyBorder="0" applyAlignment="0" applyProtection="0"/>
    <xf numFmtId="0" fontId="82" fillId="30" borderId="4" applyNumberFormat="0" applyAlignment="0" applyProtection="0"/>
    <xf numFmtId="0" fontId="8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84" fillId="0" borderId="5" applyNumberFormat="0" applyFill="0" applyAlignment="0" applyProtection="0"/>
    <xf numFmtId="0" fontId="85" fillId="0" borderId="6" applyNumberFormat="0" applyFill="0" applyAlignment="0" applyProtection="0"/>
    <xf numFmtId="0" fontId="86" fillId="0" borderId="7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8" applyNumberFormat="0" applyFill="0" applyAlignment="0" applyProtection="0"/>
    <xf numFmtId="0" fontId="88" fillId="30" borderId="9" applyNumberFormat="0" applyAlignment="0" applyProtection="0"/>
    <xf numFmtId="0" fontId="8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0" fillId="31" borderId="4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91" fillId="0" borderId="0" applyNumberFormat="0" applyFill="0" applyBorder="0" applyAlignment="0" applyProtection="0"/>
    <xf numFmtId="0" fontId="92" fillId="32" borderId="0" applyNumberFormat="0" applyBorder="0" applyAlignment="0" applyProtection="0"/>
  </cellStyleXfs>
  <cellXfs count="608">
    <xf numFmtId="0" fontId="0" fillId="0" borderId="0" xfId="0" applyFont="1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right" vertical="center"/>
      <protection locked="0"/>
    </xf>
    <xf numFmtId="0" fontId="93" fillId="0" borderId="10" xfId="0" applyFont="1" applyBorder="1" applyAlignment="1" applyProtection="1">
      <alignment horizontal="center" vertical="top" wrapText="1"/>
      <protection locked="0"/>
    </xf>
    <xf numFmtId="0" fontId="93" fillId="0" borderId="11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184" fontId="7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Alignment="1" applyProtection="1">
      <alignment horizontal="left" vertical="center"/>
      <protection/>
    </xf>
    <xf numFmtId="38" fontId="0" fillId="0" borderId="0" xfId="0" applyNumberFormat="1" applyFont="1" applyAlignment="1" applyProtection="1">
      <alignment vertical="center"/>
      <protection locked="0"/>
    </xf>
    <xf numFmtId="0" fontId="0" fillId="33" borderId="0" xfId="0" applyFont="1" applyFill="1" applyAlignment="1" applyProtection="1">
      <alignment vertical="center"/>
      <protection locked="0"/>
    </xf>
    <xf numFmtId="0" fontId="93" fillId="0" borderId="0" xfId="0" applyFont="1" applyAlignment="1" applyProtection="1">
      <alignment horizontal="center" vertical="center"/>
      <protection locked="0"/>
    </xf>
    <xf numFmtId="0" fontId="93" fillId="0" borderId="12" xfId="0" applyFont="1" applyBorder="1" applyAlignment="1" applyProtection="1">
      <alignment horizontal="center" vertical="center" wrapText="1"/>
      <protection locked="0"/>
    </xf>
    <xf numFmtId="0" fontId="93" fillId="0" borderId="13" xfId="0" applyFont="1" applyBorder="1" applyAlignment="1" applyProtection="1">
      <alignment horizontal="center" vertical="center" wrapText="1"/>
      <protection locked="0"/>
    </xf>
    <xf numFmtId="186" fontId="94" fillId="33" borderId="0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 applyFont="1" applyAlignment="1" applyProtection="1">
      <alignment horizontal="center" vertical="center"/>
      <protection locked="0"/>
    </xf>
    <xf numFmtId="0" fontId="93" fillId="0" borderId="14" xfId="0" applyFont="1" applyBorder="1" applyAlignment="1" applyProtection="1">
      <alignment horizontal="center" vertical="center" wrapText="1"/>
      <protection locked="0"/>
    </xf>
    <xf numFmtId="0" fontId="93" fillId="0" borderId="15" xfId="0" applyFont="1" applyBorder="1" applyAlignment="1" applyProtection="1">
      <alignment horizontal="center" vertical="center" wrapText="1"/>
      <protection locked="0"/>
    </xf>
    <xf numFmtId="0" fontId="93" fillId="33" borderId="13" xfId="0" applyFont="1" applyFill="1" applyBorder="1" applyAlignment="1" applyProtection="1">
      <alignment horizontal="center" vertical="center" wrapText="1"/>
      <protection locked="0"/>
    </xf>
    <xf numFmtId="0" fontId="93" fillId="33" borderId="12" xfId="0" applyFont="1" applyFill="1" applyBorder="1" applyAlignment="1" applyProtection="1">
      <alignment horizontal="center" vertical="center" wrapText="1"/>
      <protection locked="0"/>
    </xf>
    <xf numFmtId="38" fontId="95" fillId="33" borderId="16" xfId="5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96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97" fillId="0" borderId="0" xfId="0" applyFont="1" applyAlignment="1" applyProtection="1">
      <alignment horizontal="left" vertical="center"/>
      <protection locked="0"/>
    </xf>
    <xf numFmtId="0" fontId="98" fillId="0" borderId="0" xfId="0" applyFont="1" applyAlignment="1" applyProtection="1">
      <alignment horizontal="left" vertical="center"/>
      <protection locked="0"/>
    </xf>
    <xf numFmtId="0" fontId="99" fillId="33" borderId="0" xfId="0" applyFont="1" applyFill="1" applyAlignment="1" applyProtection="1">
      <alignment vertical="center"/>
      <protection locked="0"/>
    </xf>
    <xf numFmtId="0" fontId="93" fillId="0" borderId="17" xfId="0" applyFont="1" applyBorder="1" applyAlignment="1" applyProtection="1">
      <alignment horizontal="center" vertical="center" wrapText="1"/>
      <protection locked="0"/>
    </xf>
    <xf numFmtId="0" fontId="93" fillId="0" borderId="18" xfId="0" applyFont="1" applyBorder="1" applyAlignment="1" applyProtection="1">
      <alignment horizontal="center" vertical="center" wrapText="1"/>
      <protection locked="0"/>
    </xf>
    <xf numFmtId="0" fontId="100" fillId="0" borderId="0" xfId="0" applyFont="1" applyBorder="1" applyAlignment="1">
      <alignment horizontal="center" vertical="center" wrapText="1"/>
    </xf>
    <xf numFmtId="0" fontId="100" fillId="0" borderId="0" xfId="0" applyFont="1" applyBorder="1" applyAlignment="1">
      <alignment vertical="center" wrapText="1"/>
    </xf>
    <xf numFmtId="0" fontId="100" fillId="0" borderId="0" xfId="0" applyFont="1" applyAlignment="1">
      <alignment horizontal="center" vertical="center" wrapText="1"/>
    </xf>
    <xf numFmtId="0" fontId="101" fillId="0" borderId="0" xfId="0" applyFont="1" applyAlignment="1">
      <alignment vertical="center"/>
    </xf>
    <xf numFmtId="0" fontId="101" fillId="0" borderId="0" xfId="0" applyFont="1" applyBorder="1" applyAlignment="1">
      <alignment horizontal="center" vertical="center"/>
    </xf>
    <xf numFmtId="0" fontId="101" fillId="0" borderId="0" xfId="0" applyFont="1" applyBorder="1" applyAlignment="1">
      <alignment vertical="center"/>
    </xf>
    <xf numFmtId="0" fontId="101" fillId="0" borderId="0" xfId="0" applyFont="1" applyBorder="1" applyAlignment="1">
      <alignment vertical="center" wrapText="1"/>
    </xf>
    <xf numFmtId="49" fontId="101" fillId="0" borderId="0" xfId="0" applyNumberFormat="1" applyFont="1" applyBorder="1" applyAlignment="1" quotePrefix="1">
      <alignment horizontal="right" vertical="center"/>
    </xf>
    <xf numFmtId="0" fontId="101" fillId="0" borderId="0" xfId="0" applyFont="1" applyAlignment="1">
      <alignment horizontal="center" vertical="center"/>
    </xf>
    <xf numFmtId="49" fontId="101" fillId="0" borderId="0" xfId="0" applyNumberFormat="1" applyFont="1" applyBorder="1" applyAlignment="1">
      <alignment horizontal="right" vertical="center"/>
    </xf>
    <xf numFmtId="0" fontId="101" fillId="0" borderId="0" xfId="0" applyFont="1" applyBorder="1" applyAlignment="1">
      <alignment horizontal="left" vertical="center" indent="1"/>
    </xf>
    <xf numFmtId="0" fontId="101" fillId="33" borderId="0" xfId="0" applyFont="1" applyFill="1" applyBorder="1" applyAlignment="1">
      <alignment vertical="center"/>
    </xf>
    <xf numFmtId="0" fontId="93" fillId="0" borderId="19" xfId="0" applyFont="1" applyBorder="1" applyAlignment="1" applyProtection="1">
      <alignment horizontal="center" vertical="center" wrapText="1"/>
      <protection locked="0"/>
    </xf>
    <xf numFmtId="38" fontId="9" fillId="0" borderId="0" xfId="53" applyFont="1" applyFill="1" applyBorder="1" applyAlignment="1" applyProtection="1">
      <alignment vertical="top" wrapText="1"/>
      <protection locked="0"/>
    </xf>
    <xf numFmtId="0" fontId="102" fillId="0" borderId="0" xfId="0" applyFont="1" applyAlignment="1" applyProtection="1">
      <alignment vertical="center"/>
      <protection locked="0"/>
    </xf>
    <xf numFmtId="0" fontId="12" fillId="0" borderId="0" xfId="0" applyFont="1" applyBorder="1" applyAlignment="1" applyProtection="1">
      <alignment vertical="center"/>
      <protection locked="0"/>
    </xf>
    <xf numFmtId="38" fontId="10" fillId="0" borderId="20" xfId="50" applyFont="1" applyFill="1" applyBorder="1" applyAlignment="1" applyProtection="1">
      <alignment vertical="center"/>
      <protection/>
    </xf>
    <xf numFmtId="184" fontId="10" fillId="0" borderId="20" xfId="0" applyNumberFormat="1" applyFont="1" applyBorder="1" applyAlignment="1" applyProtection="1">
      <alignment horizontal="right" vertical="center"/>
      <protection/>
    </xf>
    <xf numFmtId="184" fontId="10" fillId="0" borderId="21" xfId="0" applyNumberFormat="1" applyFont="1" applyFill="1" applyBorder="1" applyAlignment="1" applyProtection="1">
      <alignment horizontal="right" vertical="center" wrapText="1"/>
      <protection/>
    </xf>
    <xf numFmtId="38" fontId="10" fillId="0" borderId="21" xfId="50" applyFont="1" applyFill="1" applyBorder="1" applyAlignment="1" applyProtection="1">
      <alignment vertical="center"/>
      <protection/>
    </xf>
    <xf numFmtId="184" fontId="10" fillId="0" borderId="21" xfId="0" applyNumberFormat="1" applyFont="1" applyBorder="1" applyAlignment="1" applyProtection="1">
      <alignment horizontal="right" vertical="center"/>
      <protection/>
    </xf>
    <xf numFmtId="184" fontId="10" fillId="0" borderId="22" xfId="0" applyNumberFormat="1" applyFont="1" applyFill="1" applyBorder="1" applyAlignment="1" applyProtection="1">
      <alignment horizontal="right" vertical="center" wrapText="1"/>
      <protection/>
    </xf>
    <xf numFmtId="184" fontId="10" fillId="0" borderId="21" xfId="0" applyNumberFormat="1" applyFont="1" applyFill="1" applyBorder="1" applyAlignment="1" applyProtection="1">
      <alignment horizontal="right" vertical="center"/>
      <protection/>
    </xf>
    <xf numFmtId="184" fontId="10" fillId="0" borderId="23" xfId="0" applyNumberFormat="1" applyFont="1" applyFill="1" applyBorder="1" applyAlignment="1" applyProtection="1">
      <alignment horizontal="right" vertical="center" wrapText="1"/>
      <protection/>
    </xf>
    <xf numFmtId="38" fontId="10" fillId="0" borderId="23" xfId="50" applyFont="1" applyFill="1" applyBorder="1" applyAlignment="1" applyProtection="1">
      <alignment vertical="center"/>
      <protection/>
    </xf>
    <xf numFmtId="184" fontId="10" fillId="0" borderId="24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190" fontId="10" fillId="0" borderId="22" xfId="50" applyNumberFormat="1" applyFont="1" applyFill="1" applyBorder="1" applyAlignment="1" applyProtection="1">
      <alignment vertical="center"/>
      <protection/>
    </xf>
    <xf numFmtId="191" fontId="10" fillId="0" borderId="22" xfId="50" applyNumberFormat="1" applyFont="1" applyFill="1" applyBorder="1" applyAlignment="1" applyProtection="1">
      <alignment vertical="center"/>
      <protection/>
    </xf>
    <xf numFmtId="0" fontId="101" fillId="0" borderId="0" xfId="0" applyFont="1" applyBorder="1" applyAlignment="1" applyProtection="1">
      <alignment vertical="center"/>
      <protection locked="0"/>
    </xf>
    <xf numFmtId="0" fontId="97" fillId="0" borderId="0" xfId="0" applyFont="1" applyAlignment="1" applyProtection="1">
      <alignment vertical="center"/>
      <protection locked="0"/>
    </xf>
    <xf numFmtId="14" fontId="97" fillId="0" borderId="0" xfId="0" applyNumberFormat="1" applyFont="1" applyAlignment="1" applyProtection="1">
      <alignment vertical="center"/>
      <protection locked="0"/>
    </xf>
    <xf numFmtId="0" fontId="97" fillId="0" borderId="0" xfId="0" applyFont="1" applyAlignment="1" applyProtection="1">
      <alignment vertical="center"/>
      <protection locked="0"/>
    </xf>
    <xf numFmtId="189" fontId="5" fillId="33" borderId="0" xfId="0" applyNumberFormat="1" applyFont="1" applyFill="1" applyBorder="1" applyAlignment="1" applyProtection="1">
      <alignment horizontal="left" vertical="center"/>
      <protection locked="0"/>
    </xf>
    <xf numFmtId="0" fontId="97" fillId="33" borderId="0" xfId="0" applyFont="1" applyFill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97" fillId="0" borderId="0" xfId="0" applyFont="1" applyFill="1" applyAlignment="1" applyProtection="1">
      <alignment vertical="center"/>
      <protection locked="0"/>
    </xf>
    <xf numFmtId="0" fontId="103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97" fillId="0" borderId="0" xfId="0" applyFont="1" applyAlignment="1">
      <alignment vertical="center"/>
    </xf>
    <xf numFmtId="0" fontId="5" fillId="0" borderId="0" xfId="0" applyFont="1" applyBorder="1" applyAlignment="1" applyProtection="1">
      <alignment horizontal="center" vertical="center"/>
      <protection locked="0"/>
    </xf>
    <xf numFmtId="0" fontId="97" fillId="34" borderId="0" xfId="0" applyFont="1" applyFill="1" applyAlignment="1" applyProtection="1">
      <alignment vertical="center"/>
      <protection locked="0"/>
    </xf>
    <xf numFmtId="0" fontId="79" fillId="34" borderId="0" xfId="44" applyFill="1" applyAlignment="1" applyProtection="1">
      <alignment vertical="center"/>
      <protection locked="0"/>
    </xf>
    <xf numFmtId="0" fontId="94" fillId="7" borderId="25" xfId="0" applyFont="1" applyFill="1" applyBorder="1" applyAlignment="1" applyProtection="1">
      <alignment horizontal="left" vertical="center" wrapText="1"/>
      <protection locked="0"/>
    </xf>
    <xf numFmtId="0" fontId="94" fillId="7" borderId="26" xfId="0" applyFont="1" applyFill="1" applyBorder="1" applyAlignment="1" applyProtection="1">
      <alignment horizontal="left" vertical="center" wrapText="1"/>
      <protection locked="0"/>
    </xf>
    <xf numFmtId="0" fontId="94" fillId="7" borderId="22" xfId="0" applyFont="1" applyFill="1" applyBorder="1" applyAlignment="1" applyProtection="1">
      <alignment horizontal="left" vertical="center" wrapText="1"/>
      <protection locked="0"/>
    </xf>
    <xf numFmtId="0" fontId="94" fillId="7" borderId="22" xfId="0" applyFont="1" applyFill="1" applyBorder="1" applyAlignment="1" applyProtection="1">
      <alignment horizontal="left" vertical="center" wrapText="1" shrinkToFit="1"/>
      <protection locked="0"/>
    </xf>
    <xf numFmtId="184" fontId="7" fillId="7" borderId="22" xfId="0" applyNumberFormat="1" applyFont="1" applyFill="1" applyBorder="1" applyAlignment="1" applyProtection="1">
      <alignment horizontal="left" vertical="center" wrapText="1"/>
      <protection locked="0"/>
    </xf>
    <xf numFmtId="184" fontId="7" fillId="7" borderId="27" xfId="0" applyNumberFormat="1" applyFont="1" applyFill="1" applyBorder="1" applyAlignment="1" applyProtection="1">
      <alignment horizontal="left" vertical="center" wrapText="1"/>
      <protection locked="0"/>
    </xf>
    <xf numFmtId="0" fontId="94" fillId="7" borderId="27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93" fillId="0" borderId="28" xfId="0" applyFont="1" applyBorder="1" applyAlignment="1" applyProtection="1">
      <alignment horizontal="center" vertical="center" wrapText="1"/>
      <protection locked="0"/>
    </xf>
    <xf numFmtId="0" fontId="95" fillId="33" borderId="16" xfId="0" applyFont="1" applyFill="1" applyBorder="1" applyAlignment="1" applyProtection="1">
      <alignment horizontal="center" vertical="center" wrapText="1"/>
      <protection locked="0"/>
    </xf>
    <xf numFmtId="0" fontId="93" fillId="0" borderId="29" xfId="0" applyFont="1" applyBorder="1" applyAlignment="1" applyProtection="1">
      <alignment horizontal="center" vertical="top" wrapText="1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 shrinkToFit="1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93" fillId="0" borderId="0" xfId="0" applyFont="1" applyAlignment="1" applyProtection="1">
      <alignment horizontal="left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14" fontId="0" fillId="0" borderId="0" xfId="0" applyNumberFormat="1" applyFont="1" applyAlignment="1" applyProtection="1">
      <alignment vertical="center"/>
      <protection locked="0"/>
    </xf>
    <xf numFmtId="0" fontId="93" fillId="0" borderId="0" xfId="0" applyFont="1" applyAlignment="1" applyProtection="1">
      <alignment horizontal="justify" vertical="center"/>
      <protection locked="0"/>
    </xf>
    <xf numFmtId="0" fontId="101" fillId="0" borderId="0" xfId="0" applyFont="1" applyBorder="1" applyAlignment="1" applyProtection="1">
      <alignment horizontal="right" vertical="center"/>
      <protection locked="0"/>
    </xf>
    <xf numFmtId="0" fontId="0" fillId="0" borderId="16" xfId="0" applyFont="1" applyBorder="1" applyAlignment="1" applyProtection="1">
      <alignment horizontal="center" vertical="top" wrapText="1"/>
      <protection locked="0"/>
    </xf>
    <xf numFmtId="0" fontId="0" fillId="0" borderId="19" xfId="0" applyFont="1" applyBorder="1" applyAlignment="1" applyProtection="1">
      <alignment horizontal="center" vertical="top" wrapText="1"/>
      <protection locked="0"/>
    </xf>
    <xf numFmtId="0" fontId="93" fillId="0" borderId="28" xfId="0" applyFont="1" applyBorder="1" applyAlignment="1" applyProtection="1">
      <alignment horizontal="left" vertical="center" wrapText="1"/>
      <protection locked="0"/>
    </xf>
    <xf numFmtId="0" fontId="0" fillId="0" borderId="28" xfId="0" applyFont="1" applyBorder="1" applyAlignment="1" applyProtection="1">
      <alignment horizontal="center" vertical="top" wrapText="1"/>
      <protection locked="0"/>
    </xf>
    <xf numFmtId="0" fontId="94" fillId="7" borderId="12" xfId="0" applyFont="1" applyFill="1" applyBorder="1" applyAlignment="1" applyProtection="1">
      <alignment horizontal="left" vertical="center" wrapText="1"/>
      <protection locked="0"/>
    </xf>
    <xf numFmtId="0" fontId="94" fillId="7" borderId="13" xfId="0" applyFont="1" applyFill="1" applyBorder="1" applyAlignment="1" applyProtection="1">
      <alignment horizontal="left" vertical="center" wrapText="1"/>
      <protection locked="0"/>
    </xf>
    <xf numFmtId="0" fontId="7" fillId="7" borderId="22" xfId="0" applyFont="1" applyFill="1" applyBorder="1" applyAlignment="1" applyProtection="1">
      <alignment horizontal="left" vertical="center" wrapText="1"/>
      <protection locked="0"/>
    </xf>
    <xf numFmtId="0" fontId="94" fillId="7" borderId="13" xfId="0" applyFont="1" applyFill="1" applyBorder="1" applyAlignment="1" applyProtection="1">
      <alignment horizontal="left" vertical="center" shrinkToFit="1"/>
      <protection locked="0"/>
    </xf>
    <xf numFmtId="0" fontId="94" fillId="7" borderId="18" xfId="0" applyFont="1" applyFill="1" applyBorder="1" applyAlignment="1" applyProtection="1">
      <alignment horizontal="left" vertical="center" wrapText="1"/>
      <protection locked="0"/>
    </xf>
    <xf numFmtId="38" fontId="0" fillId="0" borderId="0" xfId="50" applyFont="1" applyAlignment="1" applyProtection="1">
      <alignment vertical="center"/>
      <protection locked="0"/>
    </xf>
    <xf numFmtId="38" fontId="93" fillId="0" borderId="10" xfId="50" applyFont="1" applyBorder="1" applyAlignment="1" applyProtection="1">
      <alignment horizontal="center" vertical="top" wrapText="1"/>
      <protection locked="0"/>
    </xf>
    <xf numFmtId="38" fontId="93" fillId="0" borderId="28" xfId="50" applyFont="1" applyBorder="1" applyAlignment="1" applyProtection="1">
      <alignment horizontal="center" vertical="center" wrapText="1"/>
      <protection locked="0"/>
    </xf>
    <xf numFmtId="0" fontId="93" fillId="0" borderId="0" xfId="0" applyFont="1" applyBorder="1" applyAlignment="1" applyProtection="1">
      <alignment horizontal="center" vertical="center" wrapText="1"/>
      <protection locked="0"/>
    </xf>
    <xf numFmtId="0" fontId="94" fillId="7" borderId="22" xfId="0" applyFont="1" applyFill="1" applyBorder="1" applyAlignment="1" applyProtection="1">
      <alignment horizontal="left" vertical="center" shrinkToFit="1"/>
      <protection locked="0"/>
    </xf>
    <xf numFmtId="0" fontId="93" fillId="0" borderId="26" xfId="0" applyFont="1" applyBorder="1" applyAlignment="1" applyProtection="1">
      <alignment horizontal="center" vertical="center" wrapText="1"/>
      <protection locked="0"/>
    </xf>
    <xf numFmtId="0" fontId="0" fillId="7" borderId="30" xfId="0" applyFont="1" applyFill="1" applyBorder="1" applyAlignment="1" applyProtection="1">
      <alignment horizontal="center" vertical="center"/>
      <protection locked="0"/>
    </xf>
    <xf numFmtId="0" fontId="93" fillId="0" borderId="22" xfId="0" applyFont="1" applyBorder="1" applyAlignment="1" applyProtection="1">
      <alignment horizontal="center" vertical="center" wrapText="1"/>
      <protection locked="0"/>
    </xf>
    <xf numFmtId="0" fontId="93" fillId="0" borderId="27" xfId="0" applyFont="1" applyBorder="1" applyAlignment="1" applyProtection="1">
      <alignment horizontal="center" vertical="center" wrapText="1"/>
      <protection locked="0"/>
    </xf>
    <xf numFmtId="0" fontId="0" fillId="7" borderId="31" xfId="0" applyFont="1" applyFill="1" applyBorder="1" applyAlignment="1" applyProtection="1">
      <alignment horizontal="center" vertical="center"/>
      <protection locked="0"/>
    </xf>
    <xf numFmtId="0" fontId="93" fillId="0" borderId="0" xfId="0" applyFont="1" applyAlignment="1" applyProtection="1">
      <alignment horizontal="left" vertical="center" shrinkToFit="1"/>
      <protection locked="0"/>
    </xf>
    <xf numFmtId="0" fontId="93" fillId="0" borderId="10" xfId="0" applyFont="1" applyBorder="1" applyAlignment="1" applyProtection="1">
      <alignment horizontal="center" vertical="top" shrinkToFit="1"/>
      <protection locked="0"/>
    </xf>
    <xf numFmtId="0" fontId="93" fillId="0" borderId="28" xfId="0" applyFont="1" applyBorder="1" applyAlignment="1" applyProtection="1">
      <alignment horizontal="left" vertical="center" shrinkToFit="1"/>
      <protection locked="0"/>
    </xf>
    <xf numFmtId="0" fontId="0" fillId="7" borderId="32" xfId="0" applyFont="1" applyFill="1" applyBorder="1" applyAlignment="1" applyProtection="1">
      <alignment horizontal="center" vertical="center"/>
      <protection locked="0"/>
    </xf>
    <xf numFmtId="0" fontId="0" fillId="7" borderId="33" xfId="0" applyFont="1" applyFill="1" applyBorder="1" applyAlignment="1" applyProtection="1">
      <alignment horizontal="center" vertical="center"/>
      <protection locked="0"/>
    </xf>
    <xf numFmtId="0" fontId="93" fillId="33" borderId="22" xfId="0" applyFont="1" applyFill="1" applyBorder="1" applyAlignment="1" applyProtection="1">
      <alignment horizontal="center" vertical="center" wrapText="1"/>
      <protection locked="0"/>
    </xf>
    <xf numFmtId="0" fontId="93" fillId="33" borderId="0" xfId="0" applyFont="1" applyFill="1" applyBorder="1" applyAlignment="1" applyProtection="1">
      <alignment horizontal="center" vertical="center" wrapText="1"/>
      <protection locked="0"/>
    </xf>
    <xf numFmtId="0" fontId="93" fillId="33" borderId="26" xfId="0" applyFont="1" applyFill="1" applyBorder="1" applyAlignment="1" applyProtection="1">
      <alignment horizontal="center" vertical="center" wrapText="1"/>
      <protection locked="0"/>
    </xf>
    <xf numFmtId="0" fontId="94" fillId="7" borderId="13" xfId="0" applyFont="1" applyFill="1" applyBorder="1" applyAlignment="1" applyProtection="1">
      <alignment horizontal="left" vertical="center" wrapText="1" shrinkToFit="1"/>
      <protection locked="0"/>
    </xf>
    <xf numFmtId="0" fontId="93" fillId="33" borderId="15" xfId="0" applyFont="1" applyFill="1" applyBorder="1" applyAlignment="1" applyProtection="1">
      <alignment horizontal="center" vertical="center" wrapText="1"/>
      <protection locked="0"/>
    </xf>
    <xf numFmtId="0" fontId="0" fillId="33" borderId="0" xfId="0" applyFont="1" applyFill="1" applyAlignment="1" applyProtection="1">
      <alignment horizontal="center" vertical="center"/>
      <protection locked="0"/>
    </xf>
    <xf numFmtId="0" fontId="0" fillId="33" borderId="0" xfId="0" applyFont="1" applyFill="1" applyBorder="1" applyAlignment="1" applyProtection="1">
      <alignment vertical="center"/>
      <protection locked="0"/>
    </xf>
    <xf numFmtId="0" fontId="93" fillId="33" borderId="14" xfId="0" applyFont="1" applyFill="1" applyBorder="1" applyAlignment="1" applyProtection="1">
      <alignment horizontal="center" vertical="center" wrapText="1"/>
      <protection locked="0"/>
    </xf>
    <xf numFmtId="38" fontId="10" fillId="0" borderId="21" xfId="50" applyFont="1" applyFill="1" applyBorder="1" applyAlignment="1" applyProtection="1">
      <alignment horizontal="center" vertical="center"/>
      <protection/>
    </xf>
    <xf numFmtId="184" fontId="10" fillId="0" borderId="23" xfId="0" applyNumberFormat="1" applyFont="1" applyFill="1" applyBorder="1" applyAlignment="1" applyProtection="1">
      <alignment horizontal="right" vertical="center"/>
      <protection/>
    </xf>
    <xf numFmtId="0" fontId="93" fillId="0" borderId="34" xfId="0" applyFont="1" applyBorder="1" applyAlignment="1" applyProtection="1">
      <alignment horizontal="center" vertical="top" wrapText="1"/>
      <protection locked="0"/>
    </xf>
    <xf numFmtId="0" fontId="93" fillId="0" borderId="35" xfId="0" applyFont="1" applyBorder="1" applyAlignment="1" applyProtection="1">
      <alignment horizontal="center" vertical="center" wrapText="1"/>
      <protection locked="0"/>
    </xf>
    <xf numFmtId="0" fontId="104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104" fillId="0" borderId="0" xfId="0" applyFont="1" applyFill="1" applyAlignment="1" applyProtection="1">
      <alignment vertical="center"/>
      <protection locked="0"/>
    </xf>
    <xf numFmtId="0" fontId="0" fillId="0" borderId="22" xfId="0" applyFont="1" applyBorder="1" applyAlignment="1" applyProtection="1">
      <alignment horizontal="center" vertical="center" shrinkToFit="1"/>
      <protection locked="0"/>
    </xf>
    <xf numFmtId="38" fontId="10" fillId="0" borderId="22" xfId="50" applyFont="1" applyFill="1" applyBorder="1" applyAlignment="1" applyProtection="1">
      <alignment vertical="center"/>
      <protection/>
    </xf>
    <xf numFmtId="0" fontId="0" fillId="7" borderId="36" xfId="0" applyFont="1" applyFill="1" applyBorder="1" applyAlignment="1" applyProtection="1">
      <alignment horizontal="center" vertical="center"/>
      <protection locked="0"/>
    </xf>
    <xf numFmtId="0" fontId="0" fillId="7" borderId="37" xfId="0" applyFont="1" applyFill="1" applyBorder="1" applyAlignment="1" applyProtection="1">
      <alignment horizontal="center" vertical="center"/>
      <protection locked="0"/>
    </xf>
    <xf numFmtId="0" fontId="98" fillId="0" borderId="0" xfId="0" applyFont="1" applyAlignment="1" applyProtection="1">
      <alignment vertical="center"/>
      <protection locked="0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79" fillId="0" borderId="22" xfId="44" applyBorder="1" applyAlignment="1" applyProtection="1">
      <alignment vertical="center"/>
      <protection/>
    </xf>
    <xf numFmtId="184" fontId="94" fillId="0" borderId="28" xfId="0" applyNumberFormat="1" applyFont="1" applyBorder="1" applyAlignment="1" applyProtection="1">
      <alignment vertical="center" shrinkToFit="1"/>
      <protection/>
    </xf>
    <xf numFmtId="184" fontId="94" fillId="7" borderId="25" xfId="0" applyNumberFormat="1" applyFont="1" applyFill="1" applyBorder="1" applyAlignment="1" applyProtection="1">
      <alignment vertical="center" shrinkToFit="1"/>
      <protection locked="0"/>
    </xf>
    <xf numFmtId="186" fontId="94" fillId="33" borderId="28" xfId="0" applyNumberFormat="1" applyFont="1" applyFill="1" applyBorder="1" applyAlignment="1" applyProtection="1">
      <alignment vertical="center" shrinkToFit="1"/>
      <protection/>
    </xf>
    <xf numFmtId="184" fontId="7" fillId="0" borderId="26" xfId="0" applyNumberFormat="1" applyFont="1" applyBorder="1" applyAlignment="1" applyProtection="1">
      <alignment vertical="center" shrinkToFit="1"/>
      <protection/>
    </xf>
    <xf numFmtId="184" fontId="7" fillId="0" borderId="22" xfId="0" applyNumberFormat="1" applyFont="1" applyBorder="1" applyAlignment="1" applyProtection="1">
      <alignment vertical="center" shrinkToFit="1"/>
      <protection/>
    </xf>
    <xf numFmtId="184" fontId="7" fillId="7" borderId="26" xfId="0" applyNumberFormat="1" applyFont="1" applyFill="1" applyBorder="1" applyAlignment="1" applyProtection="1">
      <alignment vertical="center" shrinkToFit="1"/>
      <protection locked="0"/>
    </xf>
    <xf numFmtId="184" fontId="7" fillId="0" borderId="28" xfId="0" applyNumberFormat="1" applyFont="1" applyBorder="1" applyAlignment="1" applyProtection="1">
      <alignment vertical="center" shrinkToFit="1"/>
      <protection/>
    </xf>
    <xf numFmtId="184" fontId="7" fillId="7" borderId="28" xfId="0" applyNumberFormat="1" applyFont="1" applyFill="1" applyBorder="1" applyAlignment="1" applyProtection="1">
      <alignment vertical="center" shrinkToFit="1"/>
      <protection locked="0"/>
    </xf>
    <xf numFmtId="184" fontId="7" fillId="0" borderId="27" xfId="0" applyNumberFormat="1" applyFont="1" applyBorder="1" applyAlignment="1" applyProtection="1">
      <alignment vertical="center" shrinkToFit="1"/>
      <protection/>
    </xf>
    <xf numFmtId="184" fontId="94" fillId="0" borderId="40" xfId="0" applyNumberFormat="1" applyFont="1" applyBorder="1" applyAlignment="1" applyProtection="1">
      <alignment vertical="center" shrinkToFit="1"/>
      <protection/>
    </xf>
    <xf numFmtId="184" fontId="7" fillId="0" borderId="25" xfId="0" applyNumberFormat="1" applyFont="1" applyBorder="1" applyAlignment="1" applyProtection="1">
      <alignment vertical="center" shrinkToFit="1"/>
      <protection/>
    </xf>
    <xf numFmtId="184" fontId="7" fillId="7" borderId="25" xfId="0" applyNumberFormat="1" applyFont="1" applyFill="1" applyBorder="1" applyAlignment="1" applyProtection="1">
      <alignment vertical="center" shrinkToFit="1"/>
      <protection locked="0"/>
    </xf>
    <xf numFmtId="184" fontId="7" fillId="0" borderId="24" xfId="0" applyNumberFormat="1" applyFont="1" applyBorder="1" applyAlignment="1" applyProtection="1">
      <alignment vertical="center" shrinkToFit="1"/>
      <protection/>
    </xf>
    <xf numFmtId="184" fontId="7" fillId="0" borderId="41" xfId="0" applyNumberFormat="1" applyFont="1" applyBorder="1" applyAlignment="1" applyProtection="1">
      <alignment vertical="center" shrinkToFit="1"/>
      <protection/>
    </xf>
    <xf numFmtId="186" fontId="94" fillId="33" borderId="40" xfId="0" applyNumberFormat="1" applyFont="1" applyFill="1" applyBorder="1" applyAlignment="1" applyProtection="1">
      <alignment vertical="center" shrinkToFit="1"/>
      <protection/>
    </xf>
    <xf numFmtId="186" fontId="94" fillId="33" borderId="16" xfId="0" applyNumberFormat="1" applyFont="1" applyFill="1" applyBorder="1" applyAlignment="1" applyProtection="1">
      <alignment vertical="center" shrinkToFit="1"/>
      <protection/>
    </xf>
    <xf numFmtId="186" fontId="94" fillId="33" borderId="42" xfId="0" applyNumberFormat="1" applyFont="1" applyFill="1" applyBorder="1" applyAlignment="1" applyProtection="1">
      <alignment vertical="center" shrinkToFit="1"/>
      <protection/>
    </xf>
    <xf numFmtId="184" fontId="7" fillId="7" borderId="22" xfId="0" applyNumberFormat="1" applyFont="1" applyFill="1" applyBorder="1" applyAlignment="1" applyProtection="1">
      <alignment vertical="center" shrinkToFit="1"/>
      <protection locked="0"/>
    </xf>
    <xf numFmtId="184" fontId="7" fillId="7" borderId="27" xfId="0" applyNumberFormat="1" applyFont="1" applyFill="1" applyBorder="1" applyAlignment="1" applyProtection="1">
      <alignment vertical="center" shrinkToFit="1"/>
      <protection locked="0"/>
    </xf>
    <xf numFmtId="185" fontId="7" fillId="7" borderId="26" xfId="0" applyNumberFormat="1" applyFont="1" applyFill="1" applyBorder="1" applyAlignment="1" applyProtection="1">
      <alignment horizontal="center" vertical="center" shrinkToFit="1"/>
      <protection locked="0"/>
    </xf>
    <xf numFmtId="185" fontId="7" fillId="7" borderId="27" xfId="0" applyNumberFormat="1" applyFont="1" applyFill="1" applyBorder="1" applyAlignment="1" applyProtection="1">
      <alignment horizontal="center" vertical="center" shrinkToFit="1"/>
      <protection locked="0"/>
    </xf>
    <xf numFmtId="185" fontId="7" fillId="7" borderId="28" xfId="0" applyNumberFormat="1" applyFont="1" applyFill="1" applyBorder="1" applyAlignment="1" applyProtection="1">
      <alignment horizontal="center" vertical="center" shrinkToFit="1"/>
      <protection locked="0"/>
    </xf>
    <xf numFmtId="185" fontId="7" fillId="7" borderId="25" xfId="0" applyNumberFormat="1" applyFont="1" applyFill="1" applyBorder="1" applyAlignment="1" applyProtection="1">
      <alignment horizontal="center" vertical="center" shrinkToFit="1"/>
      <protection locked="0"/>
    </xf>
    <xf numFmtId="185" fontId="7" fillId="7" borderId="22" xfId="0" applyNumberFormat="1" applyFont="1" applyFill="1" applyBorder="1" applyAlignment="1" applyProtection="1">
      <alignment horizontal="center" vertical="center" shrinkToFit="1"/>
      <protection locked="0"/>
    </xf>
    <xf numFmtId="184" fontId="7" fillId="7" borderId="22" xfId="0" applyNumberFormat="1" applyFont="1" applyFill="1" applyBorder="1" applyAlignment="1" applyProtection="1">
      <alignment horizontal="center" vertical="center" shrinkToFit="1"/>
      <protection locked="0"/>
    </xf>
    <xf numFmtId="184" fontId="7" fillId="7" borderId="27" xfId="0" applyNumberFormat="1" applyFont="1" applyFill="1" applyBorder="1" applyAlignment="1" applyProtection="1">
      <alignment horizontal="center" vertical="center" shrinkToFit="1"/>
      <protection locked="0"/>
    </xf>
    <xf numFmtId="188" fontId="7" fillId="7" borderId="26" xfId="0" applyNumberFormat="1" applyFont="1" applyFill="1" applyBorder="1" applyAlignment="1" applyProtection="1">
      <alignment vertical="center" shrinkToFit="1"/>
      <protection locked="0"/>
    </xf>
    <xf numFmtId="188" fontId="7" fillId="7" borderId="22" xfId="0" applyNumberFormat="1" applyFont="1" applyFill="1" applyBorder="1" applyAlignment="1" applyProtection="1">
      <alignment vertical="center" shrinkToFit="1"/>
      <protection locked="0"/>
    </xf>
    <xf numFmtId="188" fontId="7" fillId="7" borderId="27" xfId="0" applyNumberFormat="1" applyFont="1" applyFill="1" applyBorder="1" applyAlignment="1" applyProtection="1">
      <alignment vertical="center" shrinkToFit="1"/>
      <protection locked="0"/>
    </xf>
    <xf numFmtId="188" fontId="7" fillId="7" borderId="28" xfId="0" applyNumberFormat="1" applyFont="1" applyFill="1" applyBorder="1" applyAlignment="1" applyProtection="1">
      <alignment vertical="center" shrinkToFit="1"/>
      <protection locked="0"/>
    </xf>
    <xf numFmtId="188" fontId="7" fillId="7" borderId="25" xfId="0" applyNumberFormat="1" applyFont="1" applyFill="1" applyBorder="1" applyAlignment="1" applyProtection="1">
      <alignment vertical="center" shrinkToFit="1"/>
      <protection locked="0"/>
    </xf>
    <xf numFmtId="187" fontId="7" fillId="7" borderId="22" xfId="0" applyNumberFormat="1" applyFont="1" applyFill="1" applyBorder="1" applyAlignment="1" applyProtection="1">
      <alignment vertical="center" shrinkToFit="1"/>
      <protection locked="0"/>
    </xf>
    <xf numFmtId="187" fontId="7" fillId="7" borderId="27" xfId="0" applyNumberFormat="1" applyFont="1" applyFill="1" applyBorder="1" applyAlignment="1" applyProtection="1">
      <alignment vertical="center" shrinkToFit="1"/>
      <protection locked="0"/>
    </xf>
    <xf numFmtId="14" fontId="97" fillId="0" borderId="0" xfId="0" applyNumberFormat="1" applyFont="1" applyFill="1" applyAlignment="1" applyProtection="1">
      <alignment vertical="center"/>
      <protection locked="0"/>
    </xf>
    <xf numFmtId="38" fontId="105" fillId="0" borderId="43" xfId="50" applyFont="1" applyFill="1" applyBorder="1" applyAlignment="1">
      <alignment vertical="center"/>
    </xf>
    <xf numFmtId="38" fontId="105" fillId="0" borderId="43" xfId="50" applyFont="1" applyFill="1" applyBorder="1" applyAlignment="1" applyProtection="1">
      <alignment vertical="center"/>
      <protection locked="0"/>
    </xf>
    <xf numFmtId="0" fontId="93" fillId="7" borderId="14" xfId="0" applyFont="1" applyFill="1" applyBorder="1" applyAlignment="1" applyProtection="1">
      <alignment horizontal="center" vertical="center" wrapText="1"/>
      <protection locked="0"/>
    </xf>
    <xf numFmtId="0" fontId="93" fillId="7" borderId="15" xfId="0" applyFont="1" applyFill="1" applyBorder="1" applyAlignment="1" applyProtection="1">
      <alignment horizontal="center" vertical="center" wrapText="1"/>
      <protection locked="0"/>
    </xf>
    <xf numFmtId="0" fontId="93" fillId="7" borderId="17" xfId="0" applyFont="1" applyFill="1" applyBorder="1" applyAlignment="1" applyProtection="1">
      <alignment horizontal="center" vertical="center" wrapText="1"/>
      <protection locked="0"/>
    </xf>
    <xf numFmtId="0" fontId="93" fillId="7" borderId="44" xfId="0" applyFont="1" applyFill="1" applyBorder="1" applyAlignment="1" applyProtection="1">
      <alignment horizontal="center" vertical="center" wrapText="1"/>
      <protection locked="0"/>
    </xf>
    <xf numFmtId="184" fontId="7" fillId="0" borderId="45" xfId="0" applyNumberFormat="1" applyFont="1" applyBorder="1" applyAlignment="1" applyProtection="1">
      <alignment horizontal="right" vertical="center" wrapText="1"/>
      <protection/>
    </xf>
    <xf numFmtId="0" fontId="106" fillId="0" borderId="0" xfId="0" applyFont="1" applyAlignment="1" applyProtection="1">
      <alignment vertical="center"/>
      <protection locked="0"/>
    </xf>
    <xf numFmtId="0" fontId="106" fillId="0" borderId="0" xfId="0" applyFont="1" applyAlignment="1">
      <alignment vertical="center"/>
    </xf>
    <xf numFmtId="0" fontId="107" fillId="0" borderId="0" xfId="0" applyFont="1" applyAlignment="1">
      <alignment vertical="center"/>
    </xf>
    <xf numFmtId="3" fontId="0" fillId="0" borderId="22" xfId="0" applyNumberFormat="1" applyBorder="1" applyAlignment="1">
      <alignment horizontal="center" vertical="center"/>
    </xf>
    <xf numFmtId="0" fontId="0" fillId="0" borderId="22" xfId="0" applyBorder="1" applyAlignment="1">
      <alignment vertical="center"/>
    </xf>
    <xf numFmtId="3" fontId="0" fillId="0" borderId="22" xfId="0" applyNumberFormat="1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106" fillId="7" borderId="46" xfId="0" applyFont="1" applyFill="1" applyBorder="1" applyAlignment="1" applyProtection="1">
      <alignment vertical="center"/>
      <protection locked="0"/>
    </xf>
    <xf numFmtId="0" fontId="97" fillId="7" borderId="46" xfId="0" applyFont="1" applyFill="1" applyBorder="1" applyAlignment="1" applyProtection="1">
      <alignment vertical="center"/>
      <protection locked="0"/>
    </xf>
    <xf numFmtId="0" fontId="97" fillId="7" borderId="47" xfId="0" applyFont="1" applyFill="1" applyBorder="1" applyAlignment="1" applyProtection="1">
      <alignment vertical="center"/>
      <protection locked="0"/>
    </xf>
    <xf numFmtId="0" fontId="107" fillId="7" borderId="48" xfId="0" applyFont="1" applyFill="1" applyBorder="1" applyAlignment="1" applyProtection="1">
      <alignment vertical="center"/>
      <protection locked="0"/>
    </xf>
    <xf numFmtId="0" fontId="106" fillId="7" borderId="0" xfId="0" applyFont="1" applyFill="1" applyBorder="1" applyAlignment="1" applyProtection="1">
      <alignment vertical="center"/>
      <protection locked="0"/>
    </xf>
    <xf numFmtId="0" fontId="97" fillId="7" borderId="0" xfId="0" applyFont="1" applyFill="1" applyBorder="1" applyAlignment="1" applyProtection="1">
      <alignment vertical="center"/>
      <protection locked="0"/>
    </xf>
    <xf numFmtId="0" fontId="97" fillId="7" borderId="49" xfId="0" applyFont="1" applyFill="1" applyBorder="1" applyAlignment="1" applyProtection="1">
      <alignment vertical="center"/>
      <protection locked="0"/>
    </xf>
    <xf numFmtId="0" fontId="97" fillId="7" borderId="50" xfId="0" applyFont="1" applyFill="1" applyBorder="1" applyAlignment="1" applyProtection="1">
      <alignment vertical="center"/>
      <protection locked="0"/>
    </xf>
    <xf numFmtId="0" fontId="97" fillId="7" borderId="51" xfId="0" applyFont="1" applyFill="1" applyBorder="1" applyAlignment="1" applyProtection="1">
      <alignment vertical="center"/>
      <protection locked="0"/>
    </xf>
    <xf numFmtId="0" fontId="97" fillId="7" borderId="12" xfId="0" applyFont="1" applyFill="1" applyBorder="1" applyAlignment="1" applyProtection="1">
      <alignment vertical="center"/>
      <protection locked="0"/>
    </xf>
    <xf numFmtId="0" fontId="97" fillId="0" borderId="0" xfId="0" applyFont="1" applyFill="1" applyBorder="1" applyAlignment="1" applyProtection="1">
      <alignment vertical="center"/>
      <protection locked="0"/>
    </xf>
    <xf numFmtId="0" fontId="97" fillId="0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22" xfId="0" applyBorder="1" applyAlignment="1">
      <alignment horizontal="center"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vertical="center"/>
    </xf>
    <xf numFmtId="0" fontId="107" fillId="7" borderId="52" xfId="0" applyFont="1" applyFill="1" applyBorder="1" applyAlignment="1" applyProtection="1">
      <alignment horizontal="left" vertical="center"/>
      <protection locked="0"/>
    </xf>
    <xf numFmtId="38" fontId="10" fillId="0" borderId="20" xfId="50" applyFont="1" applyFill="1" applyBorder="1" applyAlignment="1" applyProtection="1">
      <alignment horizontal="center" vertical="center"/>
      <protection/>
    </xf>
    <xf numFmtId="38" fontId="10" fillId="0" borderId="23" xfId="50" applyFont="1" applyFill="1" applyBorder="1" applyAlignment="1" applyProtection="1">
      <alignment horizontal="center" vertical="center"/>
      <protection/>
    </xf>
    <xf numFmtId="0" fontId="24" fillId="33" borderId="50" xfId="0" applyFont="1" applyFill="1" applyBorder="1" applyAlignment="1" applyProtection="1">
      <alignment horizontal="center" vertical="center"/>
      <protection/>
    </xf>
    <xf numFmtId="190" fontId="24" fillId="33" borderId="26" xfId="0" applyNumberFormat="1" applyFont="1" applyFill="1" applyBorder="1" applyAlignment="1" applyProtection="1">
      <alignment horizontal="center" vertical="center"/>
      <protection/>
    </xf>
    <xf numFmtId="190" fontId="24" fillId="33" borderId="50" xfId="0" applyNumberFormat="1" applyFont="1" applyFill="1" applyBorder="1" applyAlignment="1" applyProtection="1">
      <alignment horizontal="center" vertical="center"/>
      <protection/>
    </xf>
    <xf numFmtId="190" fontId="16" fillId="0" borderId="0" xfId="50" applyNumberFormat="1" applyFont="1" applyFill="1" applyBorder="1" applyAlignment="1" applyProtection="1">
      <alignment vertical="center" wrapText="1"/>
      <protection/>
    </xf>
    <xf numFmtId="190" fontId="20" fillId="0" borderId="39" xfId="50" applyNumberFormat="1" applyFont="1" applyFill="1" applyBorder="1" applyAlignment="1" applyProtection="1">
      <alignment vertical="center" wrapText="1"/>
      <protection/>
    </xf>
    <xf numFmtId="0" fontId="19" fillId="0" borderId="20" xfId="0" applyFont="1" applyBorder="1" applyAlignment="1" applyProtection="1">
      <alignment horizontal="center" vertical="center"/>
      <protection/>
    </xf>
    <xf numFmtId="190" fontId="19" fillId="0" borderId="53" xfId="0" applyNumberFormat="1" applyFont="1" applyBorder="1" applyAlignment="1" applyProtection="1">
      <alignment horizontal="center" vertical="center"/>
      <protection/>
    </xf>
    <xf numFmtId="190" fontId="20" fillId="0" borderId="22" xfId="50" applyNumberFormat="1" applyFont="1" applyFill="1" applyBorder="1" applyAlignment="1" applyProtection="1">
      <alignment vertical="center" wrapText="1"/>
      <protection/>
    </xf>
    <xf numFmtId="0" fontId="19" fillId="0" borderId="21" xfId="0" applyFont="1" applyBorder="1" applyAlignment="1" applyProtection="1">
      <alignment horizontal="center" vertical="center"/>
      <protection/>
    </xf>
    <xf numFmtId="190" fontId="19" fillId="0" borderId="54" xfId="0" applyNumberFormat="1" applyFont="1" applyBorder="1" applyAlignment="1" applyProtection="1">
      <alignment horizontal="center" vertical="center"/>
      <protection/>
    </xf>
    <xf numFmtId="0" fontId="19" fillId="0" borderId="23" xfId="0" applyFont="1" applyBorder="1" applyAlignment="1" applyProtection="1">
      <alignment horizontal="center" vertical="center"/>
      <protection/>
    </xf>
    <xf numFmtId="190" fontId="19" fillId="0" borderId="55" xfId="0" applyNumberFormat="1" applyFont="1" applyBorder="1" applyAlignment="1" applyProtection="1">
      <alignment horizontal="center" vertical="center"/>
      <protection/>
    </xf>
    <xf numFmtId="0" fontId="108" fillId="0" borderId="46" xfId="0" applyFont="1" applyFill="1" applyBorder="1" applyAlignment="1" applyProtection="1">
      <alignment horizontal="center" vertical="center" wrapText="1" shrinkToFit="1"/>
      <protection/>
    </xf>
    <xf numFmtId="0" fontId="108" fillId="0" borderId="0" xfId="0" applyFont="1" applyFill="1" applyBorder="1" applyAlignment="1" applyProtection="1">
      <alignment horizontal="center" vertical="center" wrapText="1" shrinkToFit="1"/>
      <protection/>
    </xf>
    <xf numFmtId="0" fontId="108" fillId="0" borderId="0" xfId="0" applyFont="1" applyFill="1" applyAlignment="1" applyProtection="1">
      <alignment horizontal="center" vertical="center"/>
      <protection/>
    </xf>
    <xf numFmtId="0" fontId="13" fillId="33" borderId="0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90" fontId="20" fillId="0" borderId="0" xfId="50" applyNumberFormat="1" applyFont="1" applyFill="1" applyBorder="1" applyAlignment="1" applyProtection="1">
      <alignment vertical="center" wrapText="1"/>
      <protection/>
    </xf>
    <xf numFmtId="0" fontId="20" fillId="0" borderId="0" xfId="0" applyFont="1" applyFill="1" applyBorder="1" applyAlignment="1" applyProtection="1">
      <alignment horizontal="center" vertical="center" wrapText="1"/>
      <protection/>
    </xf>
    <xf numFmtId="190" fontId="23" fillId="0" borderId="0" xfId="50" applyNumberFormat="1" applyFont="1" applyFill="1" applyBorder="1" applyAlignment="1" applyProtection="1">
      <alignment horizontal="right" vertical="center"/>
      <protection/>
    </xf>
    <xf numFmtId="0" fontId="11" fillId="33" borderId="56" xfId="0" applyFont="1" applyFill="1" applyBorder="1" applyAlignment="1" applyProtection="1">
      <alignment vertical="center"/>
      <protection/>
    </xf>
    <xf numFmtId="0" fontId="11" fillId="33" borderId="57" xfId="0" applyFont="1" applyFill="1" applyBorder="1" applyAlignment="1" applyProtection="1">
      <alignment vertical="center"/>
      <protection/>
    </xf>
    <xf numFmtId="0" fontId="11" fillId="0" borderId="57" xfId="0" applyFont="1" applyFill="1" applyBorder="1" applyAlignment="1" applyProtection="1">
      <alignment horizontal="left" vertical="center"/>
      <protection/>
    </xf>
    <xf numFmtId="0" fontId="11" fillId="0" borderId="58" xfId="0" applyFont="1" applyFill="1" applyBorder="1" applyAlignment="1" applyProtection="1">
      <alignment horizontal="left" vertical="center"/>
      <protection/>
    </xf>
    <xf numFmtId="0" fontId="93" fillId="0" borderId="0" xfId="0" applyFont="1" applyFill="1" applyAlignment="1" applyProtection="1">
      <alignment vertical="center"/>
      <protection locked="0"/>
    </xf>
    <xf numFmtId="0" fontId="93" fillId="0" borderId="0" xfId="0" applyFont="1" applyFill="1" applyAlignment="1" applyProtection="1">
      <alignment horizontal="left" vertical="center"/>
      <protection locked="0"/>
    </xf>
    <xf numFmtId="0" fontId="93" fillId="0" borderId="0" xfId="0" applyFont="1" applyFill="1" applyAlignment="1" applyProtection="1">
      <alignment horizontal="center" vertical="center"/>
      <protection locked="0"/>
    </xf>
    <xf numFmtId="0" fontId="93" fillId="0" borderId="0" xfId="0" applyFont="1" applyFill="1" applyAlignment="1" applyProtection="1">
      <alignment horizontal="left" vertical="center" shrinkToFit="1"/>
      <protection locked="0"/>
    </xf>
    <xf numFmtId="190" fontId="16" fillId="0" borderId="12" xfId="50" applyNumberFormat="1" applyFont="1" applyFill="1" applyBorder="1" applyAlignment="1" applyProtection="1">
      <alignment horizontal="right" vertical="center" wrapText="1"/>
      <protection/>
    </xf>
    <xf numFmtId="190" fontId="19" fillId="0" borderId="59" xfId="0" applyNumberFormat="1" applyFont="1" applyBorder="1" applyAlignment="1" applyProtection="1">
      <alignment horizontal="center" vertical="center"/>
      <protection/>
    </xf>
    <xf numFmtId="190" fontId="19" fillId="0" borderId="60" xfId="0" applyNumberFormat="1" applyFont="1" applyBorder="1" applyAlignment="1" applyProtection="1">
      <alignment horizontal="center" vertical="center"/>
      <protection/>
    </xf>
    <xf numFmtId="190" fontId="19" fillId="0" borderId="61" xfId="0" applyNumberFormat="1" applyFont="1" applyBorder="1" applyAlignment="1" applyProtection="1">
      <alignment horizontal="center" vertical="center"/>
      <protection/>
    </xf>
    <xf numFmtId="0" fontId="79" fillId="0" borderId="0" xfId="44" applyAlignment="1" applyProtection="1">
      <alignment vertical="center"/>
      <protection/>
    </xf>
    <xf numFmtId="0" fontId="109" fillId="0" borderId="0" xfId="0" applyFont="1" applyBorder="1" applyAlignment="1" applyProtection="1">
      <alignment vertical="center"/>
      <protection/>
    </xf>
    <xf numFmtId="0" fontId="19" fillId="0" borderId="21" xfId="0" applyFont="1" applyFill="1" applyBorder="1" applyAlignment="1" applyProtection="1">
      <alignment horizontal="center" vertical="center"/>
      <protection/>
    </xf>
    <xf numFmtId="190" fontId="19" fillId="0" borderId="21" xfId="0" applyNumberFormat="1" applyFont="1" applyFill="1" applyBorder="1" applyAlignment="1" applyProtection="1">
      <alignment horizontal="center" vertical="center"/>
      <protection/>
    </xf>
    <xf numFmtId="0" fontId="110" fillId="0" borderId="0" xfId="0" applyFont="1" applyAlignment="1" applyProtection="1">
      <alignment horizontal="center" vertical="center"/>
      <protection/>
    </xf>
    <xf numFmtId="0" fontId="110" fillId="0" borderId="0" xfId="0" applyFont="1" applyAlignment="1" applyProtection="1">
      <alignment vertical="center"/>
      <protection/>
    </xf>
    <xf numFmtId="0" fontId="110" fillId="0" borderId="0" xfId="0" applyFont="1" applyAlignment="1" applyProtection="1">
      <alignment horizontal="left" vertical="center" shrinkToFit="1"/>
      <protection/>
    </xf>
    <xf numFmtId="0" fontId="110" fillId="0" borderId="0" xfId="0" applyFont="1" applyAlignment="1" applyProtection="1">
      <alignment horizontal="left" vertical="center"/>
      <protection/>
    </xf>
    <xf numFmtId="0" fontId="110" fillId="0" borderId="0" xfId="0" applyFont="1" applyBorder="1" applyAlignment="1" applyProtection="1">
      <alignment vertical="center"/>
      <protection/>
    </xf>
    <xf numFmtId="0" fontId="25" fillId="0" borderId="0" xfId="0" applyFont="1" applyBorder="1" applyAlignment="1" applyProtection="1">
      <alignment horizontal="center" vertical="center"/>
      <protection/>
    </xf>
    <xf numFmtId="0" fontId="20" fillId="0" borderId="0" xfId="0" applyFont="1" applyAlignment="1" applyProtection="1">
      <alignment vertical="center"/>
      <protection/>
    </xf>
    <xf numFmtId="0" fontId="19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20" fillId="0" borderId="0" xfId="0" applyNumberFormat="1" applyFont="1" applyAlignment="1" applyProtection="1">
      <alignment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14" fillId="0" borderId="0" xfId="0" applyFont="1" applyAlignment="1" applyProtection="1">
      <alignment vertical="center"/>
      <protection/>
    </xf>
    <xf numFmtId="0" fontId="21" fillId="0" borderId="0" xfId="0" applyFont="1" applyBorder="1" applyAlignment="1" applyProtection="1">
      <alignment vertical="center"/>
      <protection/>
    </xf>
    <xf numFmtId="0" fontId="21" fillId="35" borderId="0" xfId="0" applyFont="1" applyFill="1" applyBorder="1" applyAlignment="1" applyProtection="1">
      <alignment vertical="center"/>
      <protection/>
    </xf>
    <xf numFmtId="0" fontId="20" fillId="35" borderId="0" xfId="0" applyFont="1" applyFill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19" fillId="0" borderId="52" xfId="0" applyFont="1" applyBorder="1" applyAlignment="1" applyProtection="1">
      <alignment vertical="center"/>
      <protection/>
    </xf>
    <xf numFmtId="0" fontId="19" fillId="0" borderId="46" xfId="0" applyFont="1" applyBorder="1" applyAlignment="1" applyProtection="1">
      <alignment horizontal="right"/>
      <protection/>
    </xf>
    <xf numFmtId="0" fontId="22" fillId="0" borderId="47" xfId="0" applyFont="1" applyBorder="1" applyAlignment="1" applyProtection="1">
      <alignment horizontal="center" vertical="center"/>
      <protection/>
    </xf>
    <xf numFmtId="0" fontId="24" fillId="33" borderId="52" xfId="0" applyFont="1" applyFill="1" applyBorder="1" applyAlignment="1" applyProtection="1">
      <alignment horizontal="center" vertical="center"/>
      <protection/>
    </xf>
    <xf numFmtId="0" fontId="22" fillId="0" borderId="46" xfId="0" applyFont="1" applyBorder="1" applyAlignment="1" applyProtection="1">
      <alignment vertical="center"/>
      <protection/>
    </xf>
    <xf numFmtId="190" fontId="16" fillId="0" borderId="47" xfId="50" applyNumberFormat="1" applyFont="1" applyFill="1" applyBorder="1" applyAlignment="1" applyProtection="1">
      <alignment horizontal="right" vertical="center" wrapText="1"/>
      <protection/>
    </xf>
    <xf numFmtId="0" fontId="24" fillId="33" borderId="62" xfId="0" applyFont="1" applyFill="1" applyBorder="1" applyAlignment="1" applyProtection="1">
      <alignment horizontal="center" vertical="center"/>
      <protection/>
    </xf>
    <xf numFmtId="0" fontId="11" fillId="0" borderId="59" xfId="0" applyFont="1" applyFill="1" applyBorder="1" applyAlignment="1" applyProtection="1">
      <alignment vertical="center" wrapText="1"/>
      <protection/>
    </xf>
    <xf numFmtId="38" fontId="10" fillId="0" borderId="63" xfId="50" applyFont="1" applyFill="1" applyBorder="1" applyAlignment="1" applyProtection="1">
      <alignment horizontal="right" vertical="center"/>
      <protection/>
    </xf>
    <xf numFmtId="38" fontId="10" fillId="0" borderId="59" xfId="50" applyFont="1" applyFill="1" applyBorder="1" applyAlignment="1" applyProtection="1">
      <alignment horizontal="right" vertical="center"/>
      <protection/>
    </xf>
    <xf numFmtId="184" fontId="10" fillId="0" borderId="63" xfId="0" applyNumberFormat="1" applyFont="1" applyFill="1" applyBorder="1" applyAlignment="1" applyProtection="1">
      <alignment horizontal="right" vertical="center" wrapText="1"/>
      <protection/>
    </xf>
    <xf numFmtId="184" fontId="10" fillId="0" borderId="59" xfId="0" applyNumberFormat="1" applyFont="1" applyFill="1" applyBorder="1" applyAlignment="1" applyProtection="1">
      <alignment horizontal="right" vertical="center" wrapText="1"/>
      <protection/>
    </xf>
    <xf numFmtId="0" fontId="19" fillId="0" borderId="50" xfId="0" applyFont="1" applyBorder="1" applyAlignment="1" applyProtection="1">
      <alignment vertical="center"/>
      <protection/>
    </xf>
    <xf numFmtId="0" fontId="22" fillId="0" borderId="51" xfId="0" applyFont="1" applyBorder="1" applyAlignment="1" applyProtection="1">
      <alignment vertical="center"/>
      <protection/>
    </xf>
    <xf numFmtId="0" fontId="11" fillId="0" borderId="60" xfId="0" applyFont="1" applyFill="1" applyBorder="1" applyAlignment="1" applyProtection="1">
      <alignment vertical="center" wrapText="1"/>
      <protection/>
    </xf>
    <xf numFmtId="38" fontId="10" fillId="0" borderId="64" xfId="50" applyFont="1" applyFill="1" applyBorder="1" applyAlignment="1" applyProtection="1">
      <alignment horizontal="right" vertical="center"/>
      <protection/>
    </xf>
    <xf numFmtId="38" fontId="10" fillId="0" borderId="60" xfId="50" applyFont="1" applyFill="1" applyBorder="1" applyAlignment="1" applyProtection="1">
      <alignment horizontal="right" vertical="center"/>
      <protection/>
    </xf>
    <xf numFmtId="184" fontId="10" fillId="0" borderId="64" xfId="0" applyNumberFormat="1" applyFont="1" applyFill="1" applyBorder="1" applyAlignment="1" applyProtection="1">
      <alignment horizontal="right" vertical="center" wrapText="1"/>
      <protection/>
    </xf>
    <xf numFmtId="184" fontId="10" fillId="0" borderId="60" xfId="0" applyNumberFormat="1" applyFont="1" applyFill="1" applyBorder="1" applyAlignment="1" applyProtection="1">
      <alignment horizontal="right" vertical="center" wrapText="1"/>
      <protection/>
    </xf>
    <xf numFmtId="0" fontId="24" fillId="33" borderId="65" xfId="0" applyFont="1" applyFill="1" applyBorder="1" applyAlignment="1" applyProtection="1">
      <alignment horizontal="center" vertical="center"/>
      <protection/>
    </xf>
    <xf numFmtId="0" fontId="19" fillId="0" borderId="0" xfId="0" applyNumberFormat="1" applyFont="1" applyBorder="1" applyAlignment="1" applyProtection="1">
      <alignment vertical="center" shrinkToFit="1"/>
      <protection/>
    </xf>
    <xf numFmtId="0" fontId="24" fillId="33" borderId="48" xfId="0" applyFont="1" applyFill="1" applyBorder="1" applyAlignment="1" applyProtection="1">
      <alignment horizontal="center" vertical="center"/>
      <protection/>
    </xf>
    <xf numFmtId="190" fontId="16" fillId="33" borderId="47" xfId="50" applyNumberFormat="1" applyFont="1" applyFill="1" applyBorder="1" applyAlignment="1" applyProtection="1">
      <alignment horizontal="right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11" fillId="0" borderId="61" xfId="0" applyFont="1" applyFill="1" applyBorder="1" applyAlignment="1" applyProtection="1">
      <alignment vertical="center" wrapText="1"/>
      <protection/>
    </xf>
    <xf numFmtId="38" fontId="10" fillId="0" borderId="66" xfId="50" applyFont="1" applyFill="1" applyBorder="1" applyAlignment="1" applyProtection="1">
      <alignment horizontal="right" vertical="center"/>
      <protection/>
    </xf>
    <xf numFmtId="38" fontId="10" fillId="0" borderId="61" xfId="50" applyFont="1" applyFill="1" applyBorder="1" applyAlignment="1" applyProtection="1">
      <alignment horizontal="right" vertical="center"/>
      <protection/>
    </xf>
    <xf numFmtId="184" fontId="10" fillId="0" borderId="66" xfId="0" applyNumberFormat="1" applyFont="1" applyFill="1" applyBorder="1" applyAlignment="1" applyProtection="1">
      <alignment horizontal="right" vertical="center" wrapText="1"/>
      <protection/>
    </xf>
    <xf numFmtId="184" fontId="10" fillId="0" borderId="61" xfId="0" applyNumberFormat="1" applyFont="1" applyFill="1" applyBorder="1" applyAlignment="1" applyProtection="1">
      <alignment horizontal="right" vertical="center" wrapText="1"/>
      <protection/>
    </xf>
    <xf numFmtId="0" fontId="11" fillId="0" borderId="0" xfId="0" applyFont="1" applyAlignment="1" applyProtection="1">
      <alignment vertical="center"/>
      <protection/>
    </xf>
    <xf numFmtId="0" fontId="111" fillId="0" borderId="0" xfId="0" applyFont="1" applyAlignment="1" applyProtection="1">
      <alignment vertical="center"/>
      <protection/>
    </xf>
    <xf numFmtId="0" fontId="19" fillId="0" borderId="0" xfId="0" applyFont="1" applyFill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0" fontId="112" fillId="0" borderId="0" xfId="0" applyFont="1" applyFill="1" applyAlignment="1" applyProtection="1">
      <alignment vertical="center"/>
      <protection/>
    </xf>
    <xf numFmtId="0" fontId="112" fillId="0" borderId="0" xfId="0" applyFont="1" applyAlignment="1" applyProtection="1">
      <alignment horizontal="center" vertical="center"/>
      <protection/>
    </xf>
    <xf numFmtId="0" fontId="23" fillId="0" borderId="0" xfId="0" applyFont="1" applyAlignment="1" applyProtection="1">
      <alignment vertical="center"/>
      <protection/>
    </xf>
    <xf numFmtId="0" fontId="19" fillId="0" borderId="0" xfId="0" applyFont="1" applyAlignment="1" applyProtection="1">
      <alignment vertical="center"/>
      <protection/>
    </xf>
    <xf numFmtId="0" fontId="23" fillId="0" borderId="0" xfId="0" applyFont="1" applyAlignment="1" applyProtection="1">
      <alignment horizontal="center" vertical="center"/>
      <protection/>
    </xf>
    <xf numFmtId="0" fontId="11" fillId="0" borderId="22" xfId="0" applyFont="1" applyFill="1" applyBorder="1" applyAlignment="1" applyProtection="1">
      <alignment horizontal="center" vertical="center"/>
      <protection/>
    </xf>
    <xf numFmtId="0" fontId="6" fillId="36" borderId="62" xfId="0" applyFont="1" applyFill="1" applyBorder="1" applyAlignment="1" applyProtection="1">
      <alignment horizontal="center" vertical="center"/>
      <protection/>
    </xf>
    <xf numFmtId="0" fontId="6" fillId="36" borderId="52" xfId="0" applyFont="1" applyFill="1" applyBorder="1" applyAlignment="1" applyProtection="1">
      <alignment horizontal="center" vertical="center"/>
      <protection/>
    </xf>
    <xf numFmtId="0" fontId="6" fillId="36" borderId="67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 textRotation="255"/>
      <protection/>
    </xf>
    <xf numFmtId="0" fontId="11" fillId="0" borderId="62" xfId="0" applyFont="1" applyFill="1" applyBorder="1" applyAlignment="1" applyProtection="1">
      <alignment horizontal="center" vertical="top" wrapText="1"/>
      <protection/>
    </xf>
    <xf numFmtId="0" fontId="11" fillId="0" borderId="65" xfId="0" applyFont="1" applyFill="1" applyBorder="1" applyAlignment="1" applyProtection="1">
      <alignment horizontal="center" vertical="center" wrapText="1"/>
      <protection/>
    </xf>
    <xf numFmtId="0" fontId="20" fillId="0" borderId="68" xfId="0" applyFont="1" applyFill="1" applyBorder="1" applyAlignment="1" applyProtection="1">
      <alignment horizontal="center" vertical="center" wrapText="1"/>
      <protection/>
    </xf>
    <xf numFmtId="0" fontId="20" fillId="0" borderId="38" xfId="0" applyFont="1" applyFill="1" applyBorder="1" applyAlignment="1" applyProtection="1">
      <alignment horizontal="center" vertical="center" wrapText="1"/>
      <protection/>
    </xf>
    <xf numFmtId="0" fontId="20" fillId="0" borderId="69" xfId="0" applyFont="1" applyFill="1" applyBorder="1" applyAlignment="1" applyProtection="1">
      <alignment horizontal="center" vertical="center" wrapText="1"/>
      <protection/>
    </xf>
    <xf numFmtId="0" fontId="20" fillId="0" borderId="70" xfId="0" applyFont="1" applyFill="1" applyBorder="1" applyAlignment="1" applyProtection="1">
      <alignment horizontal="center" vertical="center" wrapText="1"/>
      <protection/>
    </xf>
    <xf numFmtId="0" fontId="11" fillId="0" borderId="26" xfId="0" applyFont="1" applyFill="1" applyBorder="1" applyAlignment="1" applyProtection="1">
      <alignment horizontal="center" vertical="center" wrapText="1"/>
      <protection/>
    </xf>
    <xf numFmtId="0" fontId="20" fillId="0" borderId="71" xfId="0" applyFont="1" applyFill="1" applyBorder="1" applyAlignment="1" applyProtection="1">
      <alignment vertical="center"/>
      <protection/>
    </xf>
    <xf numFmtId="190" fontId="20" fillId="0" borderId="72" xfId="50" applyNumberFormat="1" applyFont="1" applyFill="1" applyBorder="1" applyAlignment="1" applyProtection="1">
      <alignment vertical="center" wrapText="1"/>
      <protection/>
    </xf>
    <xf numFmtId="0" fontId="20" fillId="0" borderId="39" xfId="0" applyNumberFormat="1" applyFont="1" applyFill="1" applyBorder="1" applyAlignment="1" applyProtection="1">
      <alignment horizontal="center" vertical="center"/>
      <protection/>
    </xf>
    <xf numFmtId="0" fontId="20" fillId="0" borderId="71" xfId="0" applyNumberFormat="1" applyFont="1" applyFill="1" applyBorder="1" applyAlignment="1" applyProtection="1">
      <alignment horizontal="center" vertical="center"/>
      <protection/>
    </xf>
    <xf numFmtId="190" fontId="20" fillId="0" borderId="12" xfId="50" applyNumberFormat="1" applyFont="1" applyFill="1" applyBorder="1" applyAlignment="1" applyProtection="1">
      <alignment vertical="center" wrapText="1"/>
      <protection/>
    </xf>
    <xf numFmtId="190" fontId="20" fillId="0" borderId="26" xfId="50" applyNumberFormat="1" applyFont="1" applyFill="1" applyBorder="1" applyAlignment="1" applyProtection="1">
      <alignment vertical="center" wrapText="1"/>
      <protection/>
    </xf>
    <xf numFmtId="0" fontId="20" fillId="0" borderId="26" xfId="50" applyNumberFormat="1" applyFont="1" applyFill="1" applyBorder="1" applyAlignment="1" applyProtection="1">
      <alignment horizontal="center" vertical="center" wrapText="1"/>
      <protection/>
    </xf>
    <xf numFmtId="0" fontId="113" fillId="0" borderId="0" xfId="0" applyFont="1" applyAlignment="1" applyProtection="1">
      <alignment horizontal="right" vertical="center"/>
      <protection/>
    </xf>
    <xf numFmtId="0" fontId="19" fillId="0" borderId="0" xfId="0" applyFont="1" applyBorder="1" applyAlignment="1" applyProtection="1">
      <alignment horizontal="center" vertical="center"/>
      <protection/>
    </xf>
    <xf numFmtId="0" fontId="20" fillId="0" borderId="73" xfId="0" applyFont="1" applyFill="1" applyBorder="1" applyAlignment="1" applyProtection="1">
      <alignment vertical="center"/>
      <protection/>
    </xf>
    <xf numFmtId="190" fontId="20" fillId="0" borderId="13" xfId="50" applyNumberFormat="1" applyFont="1" applyFill="1" applyBorder="1" applyAlignment="1" applyProtection="1">
      <alignment vertical="center" wrapText="1"/>
      <protection/>
    </xf>
    <xf numFmtId="0" fontId="20" fillId="0" borderId="22" xfId="0" applyNumberFormat="1" applyFont="1" applyFill="1" applyBorder="1" applyAlignment="1" applyProtection="1">
      <alignment horizontal="center" vertical="center"/>
      <protection/>
    </xf>
    <xf numFmtId="0" fontId="20" fillId="0" borderId="74" xfId="0" applyNumberFormat="1" applyFont="1" applyFill="1" applyBorder="1" applyAlignment="1" applyProtection="1">
      <alignment horizontal="center" vertical="center"/>
      <protection/>
    </xf>
    <xf numFmtId="0" fontId="20" fillId="0" borderId="74" xfId="0" applyFont="1" applyFill="1" applyBorder="1" applyAlignment="1" applyProtection="1">
      <alignment vertical="center"/>
      <protection/>
    </xf>
    <xf numFmtId="0" fontId="20" fillId="0" borderId="13" xfId="0" applyFont="1" applyFill="1" applyBorder="1" applyAlignment="1" applyProtection="1">
      <alignment vertical="center" wrapText="1"/>
      <protection/>
    </xf>
    <xf numFmtId="184" fontId="20" fillId="0" borderId="22" xfId="0" applyNumberFormat="1" applyFont="1" applyFill="1" applyBorder="1" applyAlignment="1" applyProtection="1">
      <alignment vertical="center"/>
      <protection/>
    </xf>
    <xf numFmtId="0" fontId="20" fillId="37" borderId="22" xfId="0" applyFont="1" applyFill="1" applyBorder="1" applyAlignment="1" applyProtection="1" quotePrefix="1">
      <alignment horizontal="center" vertical="center" wrapText="1"/>
      <protection/>
    </xf>
    <xf numFmtId="0" fontId="20" fillId="37" borderId="22" xfId="0" applyNumberFormat="1" applyFont="1" applyFill="1" applyBorder="1" applyAlignment="1" applyProtection="1" quotePrefix="1">
      <alignment horizontal="center" vertical="center" wrapText="1"/>
      <protection/>
    </xf>
    <xf numFmtId="0" fontId="20" fillId="0" borderId="22" xfId="0" applyFont="1" applyFill="1" applyBorder="1" applyAlignment="1" applyProtection="1">
      <alignment vertical="center" wrapText="1"/>
      <protection/>
    </xf>
    <xf numFmtId="0" fontId="20" fillId="0" borderId="74" xfId="0" applyFont="1" applyFill="1" applyBorder="1" applyAlignment="1" applyProtection="1">
      <alignment vertical="center" wrapText="1"/>
      <protection/>
    </xf>
    <xf numFmtId="0" fontId="20" fillId="37" borderId="13" xfId="0" applyFont="1" applyFill="1" applyBorder="1" applyAlignment="1" applyProtection="1" quotePrefix="1">
      <alignment horizontal="center" vertical="center" wrapText="1"/>
      <protection/>
    </xf>
    <xf numFmtId="0" fontId="20" fillId="37" borderId="74" xfId="0" applyNumberFormat="1" applyFont="1" applyFill="1" applyBorder="1" applyAlignment="1" applyProtection="1" quotePrefix="1">
      <alignment horizontal="center" vertical="center" wrapText="1"/>
      <protection/>
    </xf>
    <xf numFmtId="190" fontId="20" fillId="0" borderId="75" xfId="50" applyNumberFormat="1" applyFont="1" applyFill="1" applyBorder="1" applyAlignment="1" applyProtection="1">
      <alignment vertical="center" wrapText="1"/>
      <protection/>
    </xf>
    <xf numFmtId="0" fontId="113" fillId="0" borderId="0" xfId="0" applyFont="1" applyAlignment="1" applyProtection="1">
      <alignment horizontal="right" vertical="center" wrapText="1"/>
      <protection/>
    </xf>
    <xf numFmtId="0" fontId="20" fillId="0" borderId="24" xfId="0" applyNumberFormat="1" applyFont="1" applyFill="1" applyBorder="1" applyAlignment="1" applyProtection="1">
      <alignment horizontal="center" vertical="center"/>
      <protection/>
    </xf>
    <xf numFmtId="0" fontId="11" fillId="0" borderId="22" xfId="0" applyFont="1" applyBorder="1" applyAlignment="1" applyProtection="1">
      <alignment horizontal="center" vertical="center"/>
      <protection/>
    </xf>
    <xf numFmtId="184" fontId="10" fillId="0" borderId="76" xfId="0" applyNumberFormat="1" applyFont="1" applyFill="1" applyBorder="1" applyAlignment="1" applyProtection="1">
      <alignment horizontal="right" vertical="center" wrapText="1"/>
      <protection/>
    </xf>
    <xf numFmtId="0" fontId="10" fillId="0" borderId="76" xfId="0" applyFont="1" applyBorder="1" applyAlignment="1" applyProtection="1">
      <alignment horizontal="center" vertical="center"/>
      <protection/>
    </xf>
    <xf numFmtId="0" fontId="113" fillId="0" borderId="46" xfId="0" applyFont="1" applyBorder="1" applyAlignment="1" applyProtection="1">
      <alignment horizontal="center" vertical="center"/>
      <protection/>
    </xf>
    <xf numFmtId="184" fontId="11" fillId="0" borderId="0" xfId="0" applyNumberFormat="1" applyFont="1" applyFill="1" applyBorder="1" applyAlignment="1" applyProtection="1">
      <alignment vertical="center" wrapText="1"/>
      <protection/>
    </xf>
    <xf numFmtId="184" fontId="6" fillId="0" borderId="22" xfId="0" applyNumberFormat="1" applyFont="1" applyFill="1" applyBorder="1" applyAlignment="1" applyProtection="1">
      <alignment vertical="center" wrapText="1"/>
      <protection/>
    </xf>
    <xf numFmtId="184" fontId="10" fillId="0" borderId="22" xfId="0" applyNumberFormat="1" applyFont="1" applyFill="1" applyBorder="1" applyAlignment="1" applyProtection="1">
      <alignment vertical="center" wrapText="1"/>
      <protection/>
    </xf>
    <xf numFmtId="0" fontId="11" fillId="0" borderId="0" xfId="0" applyFont="1" applyFill="1" applyAlignment="1" applyProtection="1">
      <alignment vertical="center"/>
      <protection/>
    </xf>
    <xf numFmtId="0" fontId="113" fillId="0" borderId="0" xfId="0" applyFont="1" applyAlignment="1" applyProtection="1">
      <alignment vertical="center"/>
      <protection/>
    </xf>
    <xf numFmtId="0" fontId="20" fillId="0" borderId="0" xfId="0" applyFont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114" fillId="0" borderId="0" xfId="0" applyFont="1" applyFill="1" applyAlignment="1" applyProtection="1">
      <alignment vertical="center"/>
      <protection/>
    </xf>
    <xf numFmtId="0" fontId="114" fillId="0" borderId="0" xfId="0" applyFont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 wrapText="1"/>
      <protection/>
    </xf>
    <xf numFmtId="0" fontId="6" fillId="0" borderId="22" xfId="0" applyFont="1" applyBorder="1" applyAlignment="1" applyProtection="1">
      <alignment vertical="center" wrapText="1"/>
      <protection/>
    </xf>
    <xf numFmtId="0" fontId="6" fillId="0" borderId="22" xfId="0" applyFont="1" applyFill="1" applyBorder="1" applyAlignment="1" applyProtection="1">
      <alignment vertical="center"/>
      <protection/>
    </xf>
    <xf numFmtId="0" fontId="110" fillId="0" borderId="0" xfId="0" applyFont="1" applyFill="1" applyAlignment="1" applyProtection="1">
      <alignment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 wrapText="1"/>
      <protection/>
    </xf>
    <xf numFmtId="0" fontId="14" fillId="0" borderId="0" xfId="0" applyFont="1" applyFill="1" applyAlignment="1" applyProtection="1">
      <alignment vertical="center"/>
      <protection/>
    </xf>
    <xf numFmtId="0" fontId="20" fillId="0" borderId="0" xfId="0" applyFont="1" applyBorder="1" applyAlignment="1" applyProtection="1">
      <alignment vertical="center"/>
      <protection/>
    </xf>
    <xf numFmtId="0" fontId="20" fillId="0" borderId="0" xfId="0" applyFont="1" applyBorder="1" applyAlignment="1" applyProtection="1">
      <alignment horizontal="center" vertical="center"/>
      <protection/>
    </xf>
    <xf numFmtId="190" fontId="23" fillId="0" borderId="0" xfId="50" applyNumberFormat="1" applyFont="1" applyFill="1" applyBorder="1" applyAlignment="1" applyProtection="1">
      <alignment horizontal="center" vertical="center"/>
      <protection/>
    </xf>
    <xf numFmtId="190" fontId="11" fillId="0" borderId="77" xfId="0" applyNumberFormat="1" applyFont="1" applyFill="1" applyBorder="1" applyAlignment="1" applyProtection="1">
      <alignment horizontal="center" vertical="center"/>
      <protection/>
    </xf>
    <xf numFmtId="0" fontId="27" fillId="0" borderId="0" xfId="0" applyFont="1" applyAlignment="1" applyProtection="1">
      <alignment vertical="top" wrapText="1"/>
      <protection/>
    </xf>
    <xf numFmtId="0" fontId="21" fillId="0" borderId="0" xfId="0" applyFont="1" applyAlignment="1" applyProtection="1">
      <alignment vertical="center"/>
      <protection/>
    </xf>
    <xf numFmtId="0" fontId="115" fillId="0" borderId="0" xfId="0" applyFont="1" applyAlignment="1" applyProtection="1">
      <alignment vertical="center"/>
      <protection/>
    </xf>
    <xf numFmtId="0" fontId="116" fillId="0" borderId="0" xfId="0" applyFont="1" applyBorder="1" applyAlignment="1" applyProtection="1">
      <alignment horizontal="center" vertical="center"/>
      <protection/>
    </xf>
    <xf numFmtId="38" fontId="10" fillId="7" borderId="63" xfId="50" applyFont="1" applyFill="1" applyBorder="1" applyAlignment="1" applyProtection="1">
      <alignment horizontal="right" vertical="center"/>
      <protection locked="0"/>
    </xf>
    <xf numFmtId="38" fontId="10" fillId="7" borderId="64" xfId="50" applyFont="1" applyFill="1" applyBorder="1" applyAlignment="1" applyProtection="1">
      <alignment horizontal="right" vertical="center"/>
      <protection locked="0"/>
    </xf>
    <xf numFmtId="38" fontId="10" fillId="7" borderId="66" xfId="50" applyFont="1" applyFill="1" applyBorder="1" applyAlignment="1" applyProtection="1">
      <alignment horizontal="right" vertical="center"/>
      <protection locked="0"/>
    </xf>
    <xf numFmtId="184" fontId="10" fillId="7" borderId="63" xfId="0" applyNumberFormat="1" applyFont="1" applyFill="1" applyBorder="1" applyAlignment="1" applyProtection="1">
      <alignment horizontal="right" vertical="center" wrapText="1"/>
      <protection locked="0"/>
    </xf>
    <xf numFmtId="184" fontId="10" fillId="7" borderId="64" xfId="0" applyNumberFormat="1" applyFont="1" applyFill="1" applyBorder="1" applyAlignment="1" applyProtection="1">
      <alignment horizontal="right" vertical="center" wrapText="1"/>
      <protection locked="0"/>
    </xf>
    <xf numFmtId="184" fontId="10" fillId="7" borderId="66" xfId="0" applyNumberFormat="1" applyFont="1" applyFill="1" applyBorder="1" applyAlignment="1" applyProtection="1">
      <alignment horizontal="right" vertical="center" wrapText="1"/>
      <protection locked="0"/>
    </xf>
    <xf numFmtId="0" fontId="117" fillId="0" borderId="0" xfId="0" applyFont="1" applyAlignment="1" applyProtection="1">
      <alignment vertical="center"/>
      <protection locked="0"/>
    </xf>
    <xf numFmtId="0" fontId="117" fillId="0" borderId="0" xfId="0" applyFont="1" applyBorder="1" applyAlignment="1" applyProtection="1">
      <alignment horizontal="center" vertical="center"/>
      <protection/>
    </xf>
    <xf numFmtId="0" fontId="117" fillId="0" borderId="0" xfId="0" applyFont="1" applyAlignment="1" applyProtection="1">
      <alignment vertical="center"/>
      <protection locked="0"/>
    </xf>
    <xf numFmtId="0" fontId="102" fillId="0" borderId="0" xfId="0" applyFont="1" applyFill="1" applyAlignment="1" applyProtection="1">
      <alignment vertical="center"/>
      <protection locked="0"/>
    </xf>
    <xf numFmtId="0" fontId="117" fillId="0" borderId="0" xfId="0" applyFont="1" applyFill="1" applyAlignment="1" applyProtection="1">
      <alignment horizontal="right" vertical="center"/>
      <protection locked="0"/>
    </xf>
    <xf numFmtId="184" fontId="10" fillId="7" borderId="78" xfId="0" applyNumberFormat="1" applyFont="1" applyFill="1" applyBorder="1" applyAlignment="1" applyProtection="1">
      <alignment horizontal="right" vertical="center" wrapText="1"/>
      <protection locked="0"/>
    </xf>
    <xf numFmtId="184" fontId="10" fillId="7" borderId="79" xfId="0" applyNumberFormat="1" applyFont="1" applyFill="1" applyBorder="1" applyAlignment="1" applyProtection="1">
      <alignment horizontal="right" vertical="center" wrapText="1"/>
      <protection locked="0"/>
    </xf>
    <xf numFmtId="184" fontId="10" fillId="7" borderId="80" xfId="0" applyNumberFormat="1" applyFont="1" applyFill="1" applyBorder="1" applyAlignment="1" applyProtection="1">
      <alignment horizontal="right" vertical="center" wrapText="1"/>
      <protection locked="0"/>
    </xf>
    <xf numFmtId="0" fontId="102" fillId="0" borderId="0" xfId="0" applyFont="1" applyBorder="1" applyAlignment="1" applyProtection="1">
      <alignment vertical="center"/>
      <protection locked="0"/>
    </xf>
    <xf numFmtId="0" fontId="117" fillId="0" borderId="0" xfId="0" applyFont="1" applyBorder="1" applyAlignment="1" applyProtection="1">
      <alignment horizontal="center" vertical="center"/>
      <protection locked="0"/>
    </xf>
    <xf numFmtId="0" fontId="29" fillId="0" borderId="0" xfId="0" applyFont="1" applyBorder="1" applyAlignment="1" applyProtection="1">
      <alignment horizontal="center" vertical="center" shrinkToFit="1"/>
      <protection locked="0"/>
    </xf>
    <xf numFmtId="0" fontId="29" fillId="0" borderId="0" xfId="0" applyFont="1" applyBorder="1" applyAlignment="1" applyProtection="1">
      <alignment horizontal="center" vertical="center" wrapText="1"/>
      <protection locked="0"/>
    </xf>
    <xf numFmtId="0" fontId="118" fillId="0" borderId="0" xfId="0" applyFont="1" applyAlignment="1" applyProtection="1">
      <alignment vertical="center"/>
      <protection locked="0"/>
    </xf>
    <xf numFmtId="0" fontId="119" fillId="0" borderId="0" xfId="0" applyFont="1" applyAlignment="1" applyProtection="1">
      <alignment vertical="center"/>
      <protection locked="0"/>
    </xf>
    <xf numFmtId="0" fontId="104" fillId="0" borderId="22" xfId="0" applyFont="1" applyBorder="1" applyAlignment="1" applyProtection="1">
      <alignment horizontal="center" vertical="center"/>
      <protection/>
    </xf>
    <xf numFmtId="38" fontId="11" fillId="0" borderId="22" xfId="50" applyNumberFormat="1" applyFont="1" applyFill="1" applyBorder="1" applyAlignment="1" applyProtection="1">
      <alignment horizontal="right" vertical="center" indent="1"/>
      <protection/>
    </xf>
    <xf numFmtId="38" fontId="11" fillId="0" borderId="22" xfId="50" applyNumberFormat="1" applyFont="1" applyBorder="1" applyAlignment="1" applyProtection="1">
      <alignment horizontal="right" vertical="center" indent="1"/>
      <protection locked="0"/>
    </xf>
    <xf numFmtId="0" fontId="3" fillId="0" borderId="62" xfId="0" applyFont="1" applyFill="1" applyBorder="1" applyAlignment="1" applyProtection="1">
      <alignment vertical="center" wrapText="1"/>
      <protection locked="0"/>
    </xf>
    <xf numFmtId="0" fontId="3" fillId="0" borderId="65" xfId="0" applyFont="1" applyFill="1" applyBorder="1" applyAlignment="1" applyProtection="1">
      <alignment vertical="center" wrapText="1"/>
      <protection locked="0"/>
    </xf>
    <xf numFmtId="0" fontId="3" fillId="0" borderId="26" xfId="0" applyFont="1" applyFill="1" applyBorder="1" applyAlignment="1" applyProtection="1">
      <alignment vertical="center" wrapText="1"/>
      <protection locked="0"/>
    </xf>
    <xf numFmtId="0" fontId="120" fillId="0" borderId="22" xfId="0" applyFont="1" applyBorder="1" applyAlignment="1" applyProtection="1">
      <alignment horizontal="center" vertical="center"/>
      <protection/>
    </xf>
    <xf numFmtId="0" fontId="3" fillId="0" borderId="22" xfId="0" applyFont="1" applyFill="1" applyBorder="1" applyAlignment="1" applyProtection="1">
      <alignment vertical="center" shrinkToFit="1"/>
      <protection locked="0"/>
    </xf>
    <xf numFmtId="38" fontId="11" fillId="0" borderId="52" xfId="50" applyNumberFormat="1" applyFont="1" applyBorder="1" applyAlignment="1" applyProtection="1">
      <alignment horizontal="right" vertical="center" indent="1"/>
      <protection locked="0"/>
    </xf>
    <xf numFmtId="0" fontId="3" fillId="0" borderId="46" xfId="0" applyFont="1" applyFill="1" applyBorder="1" applyAlignment="1" applyProtection="1">
      <alignment vertical="center" wrapText="1"/>
      <protection locked="0"/>
    </xf>
    <xf numFmtId="0" fontId="101" fillId="0" borderId="0" xfId="0" applyFont="1" applyAlignment="1" applyProtection="1">
      <alignment vertical="center"/>
      <protection locked="0"/>
    </xf>
    <xf numFmtId="184" fontId="10" fillId="0" borderId="59" xfId="0" applyNumberFormat="1" applyFont="1" applyFill="1" applyBorder="1" applyAlignment="1" applyProtection="1">
      <alignment horizontal="center" vertical="center" wrapText="1"/>
      <protection/>
    </xf>
    <xf numFmtId="184" fontId="10" fillId="0" borderId="60" xfId="0" applyNumberFormat="1" applyFont="1" applyFill="1" applyBorder="1" applyAlignment="1" applyProtection="1">
      <alignment horizontal="center" vertical="center" wrapText="1"/>
      <protection/>
    </xf>
    <xf numFmtId="184" fontId="10" fillId="0" borderId="61" xfId="0" applyNumberFormat="1" applyFont="1" applyFill="1" applyBorder="1" applyAlignment="1" applyProtection="1">
      <alignment horizontal="center" vertical="center" wrapText="1"/>
      <protection/>
    </xf>
    <xf numFmtId="190" fontId="11" fillId="0" borderId="81" xfId="0" applyNumberFormat="1" applyFont="1" applyFill="1" applyBorder="1" applyAlignment="1" applyProtection="1">
      <alignment horizontal="center" vertical="center"/>
      <protection/>
    </xf>
    <xf numFmtId="0" fontId="120" fillId="0" borderId="22" xfId="0" applyFont="1" applyFill="1" applyBorder="1" applyAlignment="1" applyProtection="1">
      <alignment horizontal="center" vertical="center"/>
      <protection/>
    </xf>
    <xf numFmtId="0" fontId="3" fillId="0" borderId="22" xfId="0" applyFont="1" applyFill="1" applyBorder="1" applyAlignment="1" applyProtection="1">
      <alignment vertical="center" wrapText="1"/>
      <protection locked="0"/>
    </xf>
    <xf numFmtId="0" fontId="10" fillId="0" borderId="82" xfId="0" applyFont="1" applyFill="1" applyBorder="1" applyAlignment="1" applyProtection="1">
      <alignment vertical="center" wrapText="1"/>
      <protection/>
    </xf>
    <xf numFmtId="0" fontId="10" fillId="0" borderId="83" xfId="0" applyFont="1" applyFill="1" applyBorder="1" applyAlignment="1" applyProtection="1">
      <alignment vertical="center" wrapText="1"/>
      <protection/>
    </xf>
    <xf numFmtId="0" fontId="10" fillId="0" borderId="84" xfId="0" applyFont="1" applyFill="1" applyBorder="1" applyAlignment="1" applyProtection="1">
      <alignment vertical="center" wrapText="1"/>
      <protection/>
    </xf>
    <xf numFmtId="184" fontId="10" fillId="0" borderId="20" xfId="0" applyNumberFormat="1" applyFont="1" applyFill="1" applyBorder="1" applyAlignment="1" applyProtection="1">
      <alignment horizontal="right" vertical="center" wrapText="1"/>
      <protection/>
    </xf>
    <xf numFmtId="0" fontId="8" fillId="0" borderId="11" xfId="0" applyFont="1" applyBorder="1" applyAlignment="1" applyProtection="1">
      <alignment horizontal="center" vertical="center" wrapText="1"/>
      <protection locked="0"/>
    </xf>
    <xf numFmtId="184" fontId="7" fillId="7" borderId="24" xfId="0" applyNumberFormat="1" applyFont="1" applyFill="1" applyBorder="1" applyAlignment="1" applyProtection="1">
      <alignment vertical="center" shrinkToFit="1"/>
      <protection locked="0"/>
    </xf>
    <xf numFmtId="184" fontId="7" fillId="7" borderId="41" xfId="0" applyNumberFormat="1" applyFont="1" applyFill="1" applyBorder="1" applyAlignment="1" applyProtection="1">
      <alignment vertical="center" shrinkToFit="1"/>
      <protection locked="0"/>
    </xf>
    <xf numFmtId="0" fontId="97" fillId="7" borderId="22" xfId="0" applyFont="1" applyFill="1" applyBorder="1" applyAlignment="1" applyProtection="1">
      <alignment vertical="center"/>
      <protection locked="0"/>
    </xf>
    <xf numFmtId="186" fontId="94" fillId="0" borderId="35" xfId="0" applyNumberFormat="1" applyFont="1" applyFill="1" applyBorder="1" applyAlignment="1" applyProtection="1">
      <alignment horizontal="right" vertical="center" wrapText="1"/>
      <protection/>
    </xf>
    <xf numFmtId="184" fontId="94" fillId="0" borderId="42" xfId="0" applyNumberFormat="1" applyFont="1" applyBorder="1" applyAlignment="1" applyProtection="1">
      <alignment vertical="center" shrinkToFit="1"/>
      <protection/>
    </xf>
    <xf numFmtId="184" fontId="10" fillId="0" borderId="62" xfId="0" applyNumberFormat="1" applyFont="1" applyFill="1" applyBorder="1" applyAlignment="1" applyProtection="1">
      <alignment horizontal="right" vertical="center" wrapText="1"/>
      <protection/>
    </xf>
    <xf numFmtId="0" fontId="6" fillId="0" borderId="62" xfId="0" applyFont="1" applyFill="1" applyBorder="1" applyAlignment="1" applyProtection="1" quotePrefix="1">
      <alignment horizontal="center" vertical="center" wrapText="1"/>
      <protection/>
    </xf>
    <xf numFmtId="0" fontId="10" fillId="0" borderId="62" xfId="0" applyFont="1" applyFill="1" applyBorder="1" applyAlignment="1" applyProtection="1" quotePrefix="1">
      <alignment horizontal="center" vertical="center" wrapText="1"/>
      <protection/>
    </xf>
    <xf numFmtId="0" fontId="27" fillId="0" borderId="26" xfId="0" applyFont="1" applyBorder="1" applyAlignment="1" applyProtection="1">
      <alignment vertical="top" wrapText="1"/>
      <protection/>
    </xf>
    <xf numFmtId="184" fontId="27" fillId="0" borderId="26" xfId="0" applyNumberFormat="1" applyFont="1" applyBorder="1" applyAlignment="1" applyProtection="1">
      <alignment vertical="top" wrapText="1"/>
      <protection/>
    </xf>
    <xf numFmtId="0" fontId="5" fillId="0" borderId="26" xfId="0" applyFont="1" applyBorder="1" applyAlignment="1" applyProtection="1" quotePrefix="1">
      <alignment horizontal="right" vertical="center" wrapText="1"/>
      <protection/>
    </xf>
    <xf numFmtId="0" fontId="10" fillId="0" borderId="51" xfId="0" applyFont="1" applyFill="1" applyBorder="1" applyAlignment="1" applyProtection="1" quotePrefix="1">
      <alignment horizontal="center" vertical="center" wrapText="1"/>
      <protection/>
    </xf>
    <xf numFmtId="38" fontId="10" fillId="0" borderId="59" xfId="50" applyFont="1" applyFill="1" applyBorder="1" applyAlignment="1" applyProtection="1">
      <alignment horizontal="right" vertical="center"/>
      <protection locked="0"/>
    </xf>
    <xf numFmtId="184" fontId="10" fillId="0" borderId="59" xfId="0" applyNumberFormat="1" applyFont="1" applyFill="1" applyBorder="1" applyAlignment="1" applyProtection="1">
      <alignment horizontal="right" vertical="center" wrapText="1"/>
      <protection locked="0"/>
    </xf>
    <xf numFmtId="38" fontId="10" fillId="0" borderId="60" xfId="50" applyFont="1" applyFill="1" applyBorder="1" applyAlignment="1" applyProtection="1">
      <alignment horizontal="right" vertical="center"/>
      <protection locked="0"/>
    </xf>
    <xf numFmtId="184" fontId="10" fillId="0" borderId="60" xfId="0" applyNumberFormat="1" applyFont="1" applyFill="1" applyBorder="1" applyAlignment="1" applyProtection="1">
      <alignment horizontal="right" vertical="center" wrapText="1"/>
      <protection locked="0"/>
    </xf>
    <xf numFmtId="38" fontId="10" fillId="0" borderId="61" xfId="50" applyFont="1" applyFill="1" applyBorder="1" applyAlignment="1" applyProtection="1">
      <alignment horizontal="right" vertical="center"/>
      <protection locked="0"/>
    </xf>
    <xf numFmtId="184" fontId="10" fillId="0" borderId="61" xfId="0" applyNumberFormat="1" applyFont="1" applyFill="1" applyBorder="1" applyAlignment="1" applyProtection="1">
      <alignment horizontal="right" vertical="center" wrapText="1"/>
      <protection locked="0"/>
    </xf>
    <xf numFmtId="0" fontId="117" fillId="0" borderId="52" xfId="0" applyFont="1" applyBorder="1" applyAlignment="1" applyProtection="1">
      <alignment horizontal="center" vertical="center"/>
      <protection/>
    </xf>
    <xf numFmtId="0" fontId="101" fillId="0" borderId="85" xfId="0" applyFont="1" applyBorder="1" applyAlignment="1" applyProtection="1">
      <alignment horizontal="center" vertical="center"/>
      <protection/>
    </xf>
    <xf numFmtId="0" fontId="101" fillId="0" borderId="22" xfId="0" applyFont="1" applyBorder="1" applyAlignment="1" applyProtection="1">
      <alignment horizontal="center" vertical="center"/>
      <protection/>
    </xf>
    <xf numFmtId="0" fontId="101" fillId="0" borderId="76" xfId="0" applyFont="1" applyBorder="1" applyAlignment="1" applyProtection="1">
      <alignment horizontal="center" vertical="center"/>
      <protection/>
    </xf>
    <xf numFmtId="184" fontId="10" fillId="0" borderId="86" xfId="0" applyNumberFormat="1" applyFont="1" applyFill="1" applyBorder="1" applyAlignment="1" applyProtection="1">
      <alignment horizontal="right" vertical="center" wrapText="1"/>
      <protection/>
    </xf>
    <xf numFmtId="0" fontId="10" fillId="0" borderId="87" xfId="0" applyFont="1" applyFill="1" applyBorder="1" applyAlignment="1" applyProtection="1" quotePrefix="1">
      <alignment horizontal="center" vertical="center" wrapText="1"/>
      <protection/>
    </xf>
    <xf numFmtId="184" fontId="10" fillId="0" borderId="88" xfId="0" applyNumberFormat="1" applyFont="1" applyFill="1" applyBorder="1" applyAlignment="1" applyProtection="1">
      <alignment horizontal="right" vertical="center" wrapText="1"/>
      <protection/>
    </xf>
    <xf numFmtId="0" fontId="27" fillId="0" borderId="73" xfId="0" applyFont="1" applyBorder="1" applyAlignment="1" applyProtection="1">
      <alignment vertical="top" wrapText="1"/>
      <protection/>
    </xf>
    <xf numFmtId="0" fontId="27" fillId="0" borderId="89" xfId="0" applyFont="1" applyBorder="1" applyAlignment="1" applyProtection="1">
      <alignment vertical="top" wrapText="1"/>
      <protection/>
    </xf>
    <xf numFmtId="0" fontId="27" fillId="0" borderId="75" xfId="0" applyFont="1" applyBorder="1" applyAlignment="1" applyProtection="1">
      <alignment vertical="top" wrapText="1"/>
      <protection/>
    </xf>
    <xf numFmtId="189" fontId="5" fillId="7" borderId="24" xfId="0" applyNumberFormat="1" applyFont="1" applyFill="1" applyBorder="1" applyAlignment="1" applyProtection="1">
      <alignment vertical="center" shrinkToFit="1"/>
      <protection locked="0"/>
    </xf>
    <xf numFmtId="189" fontId="5" fillId="7" borderId="90" xfId="0" applyNumberFormat="1" applyFont="1" applyFill="1" applyBorder="1" applyAlignment="1" applyProtection="1">
      <alignment vertical="center" shrinkToFit="1"/>
      <protection locked="0"/>
    </xf>
    <xf numFmtId="189" fontId="5" fillId="7" borderId="13" xfId="0" applyNumberFormat="1" applyFont="1" applyFill="1" applyBorder="1" applyAlignment="1" applyProtection="1">
      <alignment vertical="center" shrinkToFit="1"/>
      <protection locked="0"/>
    </xf>
    <xf numFmtId="0" fontId="97" fillId="7" borderId="24" xfId="0" applyFont="1" applyFill="1" applyBorder="1" applyAlignment="1" applyProtection="1">
      <alignment vertical="center"/>
      <protection locked="0"/>
    </xf>
    <xf numFmtId="0" fontId="97" fillId="7" borderId="90" xfId="0" applyFont="1" applyFill="1" applyBorder="1" applyAlignment="1" applyProtection="1">
      <alignment vertical="center"/>
      <protection locked="0"/>
    </xf>
    <xf numFmtId="0" fontId="97" fillId="7" borderId="13" xfId="0" applyFont="1" applyFill="1" applyBorder="1" applyAlignment="1" applyProtection="1">
      <alignment vertical="center"/>
      <protection locked="0"/>
    </xf>
    <xf numFmtId="0" fontId="97" fillId="7" borderId="24" xfId="0" applyFont="1" applyFill="1" applyBorder="1" applyAlignment="1" applyProtection="1">
      <alignment vertical="center" shrinkToFit="1"/>
      <protection locked="0"/>
    </xf>
    <xf numFmtId="0" fontId="97" fillId="7" borderId="90" xfId="0" applyFont="1" applyFill="1" applyBorder="1" applyAlignment="1" applyProtection="1">
      <alignment vertical="center" shrinkToFit="1"/>
      <protection locked="0"/>
    </xf>
    <xf numFmtId="0" fontId="97" fillId="7" borderId="13" xfId="0" applyFont="1" applyFill="1" applyBorder="1" applyAlignment="1" applyProtection="1">
      <alignment vertical="center" shrinkToFit="1"/>
      <protection locked="0"/>
    </xf>
    <xf numFmtId="0" fontId="5" fillId="7" borderId="22" xfId="0" applyFont="1" applyFill="1" applyBorder="1" applyAlignment="1" applyProtection="1">
      <alignment horizontal="center" vertical="center"/>
      <protection locked="0"/>
    </xf>
    <xf numFmtId="0" fontId="107" fillId="7" borderId="22" xfId="0" applyFont="1" applyFill="1" applyBorder="1" applyAlignment="1" applyProtection="1">
      <alignment horizontal="center" vertical="center"/>
      <protection locked="0"/>
    </xf>
    <xf numFmtId="0" fontId="0" fillId="0" borderId="2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2" fillId="0" borderId="52" xfId="0" applyFont="1" applyFill="1" applyBorder="1" applyAlignment="1" applyProtection="1">
      <alignment horizontal="center" vertical="center" wrapText="1"/>
      <protection/>
    </xf>
    <xf numFmtId="0" fontId="22" fillId="0" borderId="47" xfId="0" applyFont="1" applyFill="1" applyBorder="1" applyAlignment="1" applyProtection="1">
      <alignment horizontal="center" vertical="center" wrapText="1"/>
      <protection/>
    </xf>
    <xf numFmtId="0" fontId="22" fillId="0" borderId="50" xfId="0" applyFont="1" applyFill="1" applyBorder="1" applyAlignment="1" applyProtection="1">
      <alignment horizontal="center" vertical="center" wrapText="1"/>
      <protection/>
    </xf>
    <xf numFmtId="0" fontId="22" fillId="0" borderId="12" xfId="0" applyFont="1" applyFill="1" applyBorder="1" applyAlignment="1" applyProtection="1">
      <alignment horizontal="center" vertical="center" wrapText="1"/>
      <protection/>
    </xf>
    <xf numFmtId="0" fontId="101" fillId="0" borderId="24" xfId="0" applyFont="1" applyBorder="1" applyAlignment="1" applyProtection="1">
      <alignment horizontal="center" vertical="center"/>
      <protection/>
    </xf>
    <xf numFmtId="0" fontId="101" fillId="0" borderId="91" xfId="0" applyFont="1" applyBorder="1" applyAlignment="1" applyProtection="1">
      <alignment horizontal="center" vertical="center"/>
      <protection/>
    </xf>
    <xf numFmtId="0" fontId="11" fillId="0" borderId="60" xfId="0" applyFont="1" applyFill="1" applyBorder="1" applyAlignment="1" applyProtection="1">
      <alignment vertical="center" wrapText="1"/>
      <protection/>
    </xf>
    <xf numFmtId="0" fontId="11" fillId="0" borderId="64" xfId="0" applyFont="1" applyFill="1" applyBorder="1" applyAlignment="1" applyProtection="1">
      <alignment vertical="center" wrapText="1"/>
      <protection/>
    </xf>
    <xf numFmtId="0" fontId="102" fillId="6" borderId="22" xfId="0" applyFont="1" applyFill="1" applyBorder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vertical="center"/>
      <protection/>
    </xf>
    <xf numFmtId="0" fontId="6" fillId="0" borderId="52" xfId="0" applyFont="1" applyBorder="1" applyAlignment="1" applyProtection="1">
      <alignment horizontal="center" vertical="center"/>
      <protection/>
    </xf>
    <xf numFmtId="0" fontId="6" fillId="0" borderId="47" xfId="0" applyFont="1" applyBorder="1" applyAlignment="1" applyProtection="1">
      <alignment horizontal="center" vertical="center"/>
      <protection/>
    </xf>
    <xf numFmtId="0" fontId="6" fillId="0" borderId="86" xfId="0" applyFont="1" applyBorder="1" applyAlignment="1" applyProtection="1">
      <alignment horizontal="center" vertical="center"/>
      <protection/>
    </xf>
    <xf numFmtId="0" fontId="6" fillId="0" borderId="87" xfId="0" applyFont="1" applyBorder="1" applyAlignment="1" applyProtection="1">
      <alignment horizontal="center" vertical="center"/>
      <protection/>
    </xf>
    <xf numFmtId="0" fontId="6" fillId="0" borderId="61" xfId="0" applyFont="1" applyBorder="1" applyAlignment="1" applyProtection="1">
      <alignment horizontal="center" vertical="center"/>
      <protection/>
    </xf>
    <xf numFmtId="0" fontId="6" fillId="0" borderId="66" xfId="0" applyFont="1" applyBorder="1" applyAlignment="1" applyProtection="1">
      <alignment horizontal="center" vertical="center"/>
      <protection/>
    </xf>
    <xf numFmtId="0" fontId="102" fillId="6" borderId="22" xfId="0" applyFont="1" applyFill="1" applyBorder="1" applyAlignment="1" applyProtection="1">
      <alignment horizontal="center" vertical="center" wrapText="1"/>
      <protection locked="0"/>
    </xf>
    <xf numFmtId="3" fontId="11" fillId="0" borderId="60" xfId="0" applyNumberFormat="1" applyFont="1" applyFill="1" applyBorder="1" applyAlignment="1" applyProtection="1">
      <alignment vertical="center"/>
      <protection/>
    </xf>
    <xf numFmtId="3" fontId="11" fillId="0" borderId="92" xfId="0" applyNumberFormat="1" applyFont="1" applyFill="1" applyBorder="1" applyAlignment="1" applyProtection="1">
      <alignment vertical="center"/>
      <protection/>
    </xf>
    <xf numFmtId="0" fontId="6" fillId="0" borderId="93" xfId="0" applyFont="1" applyFill="1" applyBorder="1" applyAlignment="1" applyProtection="1">
      <alignment horizontal="center" vertical="center"/>
      <protection/>
    </xf>
    <xf numFmtId="0" fontId="6" fillId="0" borderId="94" xfId="0" applyFont="1" applyFill="1" applyBorder="1" applyAlignment="1" applyProtection="1">
      <alignment horizontal="center" vertical="center"/>
      <protection/>
    </xf>
    <xf numFmtId="0" fontId="11" fillId="0" borderId="62" xfId="0" applyFont="1" applyFill="1" applyBorder="1" applyAlignment="1" applyProtection="1">
      <alignment horizontal="center" vertical="center" wrapText="1"/>
      <protection/>
    </xf>
    <xf numFmtId="0" fontId="11" fillId="0" borderId="65" xfId="0" applyFont="1" applyFill="1" applyBorder="1" applyAlignment="1" applyProtection="1">
      <alignment horizontal="center" vertical="center" wrapText="1"/>
      <protection/>
    </xf>
    <xf numFmtId="0" fontId="11" fillId="0" borderId="26" xfId="0" applyFont="1" applyFill="1" applyBorder="1" applyAlignment="1" applyProtection="1">
      <alignment horizontal="center" vertical="center" wrapText="1"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6" fillId="0" borderId="95" xfId="0" applyFont="1" applyBorder="1" applyAlignment="1" applyProtection="1">
      <alignment horizontal="center" vertical="center"/>
      <protection/>
    </xf>
    <xf numFmtId="0" fontId="6" fillId="0" borderId="96" xfId="0" applyFont="1" applyBorder="1" applyAlignment="1" applyProtection="1">
      <alignment horizontal="center" vertical="center"/>
      <protection/>
    </xf>
    <xf numFmtId="0" fontId="11" fillId="0" borderId="60" xfId="0" applyNumberFormat="1" applyFont="1" applyFill="1" applyBorder="1" applyAlignment="1" applyProtection="1">
      <alignment horizontal="center" vertical="center"/>
      <protection/>
    </xf>
    <xf numFmtId="0" fontId="11" fillId="0" borderId="92" xfId="0" applyNumberFormat="1" applyFont="1" applyFill="1" applyBorder="1" applyAlignment="1" applyProtection="1">
      <alignment horizontal="center" vertical="center"/>
      <protection/>
    </xf>
    <xf numFmtId="0" fontId="11" fillId="0" borderId="81" xfId="0" applyNumberFormat="1" applyFont="1" applyFill="1" applyBorder="1" applyAlignment="1" applyProtection="1">
      <alignment horizontal="center" vertical="center"/>
      <protection/>
    </xf>
    <xf numFmtId="0" fontId="11" fillId="0" borderId="97" xfId="0" applyFont="1" applyFill="1" applyBorder="1" applyAlignment="1" applyProtection="1">
      <alignment horizontal="center" vertical="center"/>
      <protection/>
    </xf>
    <xf numFmtId="0" fontId="11" fillId="0" borderId="98" xfId="0" applyFont="1" applyFill="1" applyBorder="1" applyAlignment="1" applyProtection="1">
      <alignment horizontal="center" vertical="center"/>
      <protection/>
    </xf>
    <xf numFmtId="0" fontId="11" fillId="0" borderId="99" xfId="0" applyFont="1" applyFill="1" applyBorder="1" applyAlignment="1" applyProtection="1">
      <alignment horizontal="center" vertical="center"/>
      <protection/>
    </xf>
    <xf numFmtId="0" fontId="116" fillId="0" borderId="0" xfId="0" applyFont="1" applyBorder="1" applyAlignment="1" applyProtection="1">
      <alignment horizontal="center" vertical="center"/>
      <protection/>
    </xf>
    <xf numFmtId="0" fontId="25" fillId="0" borderId="52" xfId="0" applyFont="1" applyBorder="1" applyAlignment="1" applyProtection="1">
      <alignment horizontal="center" vertical="center"/>
      <protection/>
    </xf>
    <xf numFmtId="0" fontId="25" fillId="0" borderId="46" xfId="0" applyFont="1" applyBorder="1" applyAlignment="1" applyProtection="1">
      <alignment horizontal="center" vertical="center"/>
      <protection/>
    </xf>
    <xf numFmtId="0" fontId="25" fillId="0" borderId="47" xfId="0" applyFont="1" applyBorder="1" applyAlignment="1" applyProtection="1">
      <alignment horizontal="center" vertical="center"/>
      <protection/>
    </xf>
    <xf numFmtId="0" fontId="25" fillId="0" borderId="50" xfId="0" applyFont="1" applyBorder="1" applyAlignment="1" applyProtection="1">
      <alignment horizontal="center" vertical="center"/>
      <protection/>
    </xf>
    <xf numFmtId="0" fontId="25" fillId="0" borderId="51" xfId="0" applyFont="1" applyBorder="1" applyAlignment="1" applyProtection="1">
      <alignment horizontal="center" vertical="center"/>
      <protection/>
    </xf>
    <xf numFmtId="0" fontId="25" fillId="0" borderId="12" xfId="0" applyFont="1" applyBorder="1" applyAlignment="1" applyProtection="1">
      <alignment horizontal="center" vertical="center"/>
      <protection/>
    </xf>
    <xf numFmtId="190" fontId="19" fillId="0" borderId="52" xfId="0" applyNumberFormat="1" applyFont="1" applyBorder="1" applyAlignment="1" applyProtection="1">
      <alignment vertical="center" shrinkToFit="1"/>
      <protection/>
    </xf>
    <xf numFmtId="190" fontId="19" fillId="0" borderId="46" xfId="0" applyNumberFormat="1" applyFont="1" applyBorder="1" applyAlignment="1" applyProtection="1">
      <alignment vertical="center" shrinkToFit="1"/>
      <protection/>
    </xf>
    <xf numFmtId="190" fontId="19" fillId="0" borderId="47" xfId="0" applyNumberFormat="1" applyFont="1" applyBorder="1" applyAlignment="1" applyProtection="1">
      <alignment vertical="center" shrinkToFit="1"/>
      <protection/>
    </xf>
    <xf numFmtId="190" fontId="19" fillId="0" borderId="50" xfId="0" applyNumberFormat="1" applyFont="1" applyBorder="1" applyAlignment="1" applyProtection="1">
      <alignment vertical="center" shrinkToFit="1"/>
      <protection/>
    </xf>
    <xf numFmtId="190" fontId="19" fillId="0" borderId="51" xfId="0" applyNumberFormat="1" applyFont="1" applyBorder="1" applyAlignment="1" applyProtection="1">
      <alignment vertical="center" shrinkToFit="1"/>
      <protection/>
    </xf>
    <xf numFmtId="190" fontId="19" fillId="0" borderId="12" xfId="0" applyNumberFormat="1" applyFont="1" applyBorder="1" applyAlignment="1" applyProtection="1">
      <alignment vertical="center" shrinkToFit="1"/>
      <protection/>
    </xf>
    <xf numFmtId="190" fontId="19" fillId="0" borderId="52" xfId="0" applyNumberFormat="1" applyFont="1" applyBorder="1" applyAlignment="1" applyProtection="1">
      <alignment vertical="center" wrapText="1" shrinkToFit="1"/>
      <protection/>
    </xf>
    <xf numFmtId="190" fontId="19" fillId="0" borderId="46" xfId="0" applyNumberFormat="1" applyFont="1" applyBorder="1" applyAlignment="1" applyProtection="1">
      <alignment vertical="center" wrapText="1" shrinkToFit="1"/>
      <protection/>
    </xf>
    <xf numFmtId="190" fontId="19" fillId="0" borderId="47" xfId="0" applyNumberFormat="1" applyFont="1" applyBorder="1" applyAlignment="1" applyProtection="1">
      <alignment vertical="center" wrapText="1" shrinkToFit="1"/>
      <protection/>
    </xf>
    <xf numFmtId="190" fontId="19" fillId="0" borderId="50" xfId="0" applyNumberFormat="1" applyFont="1" applyBorder="1" applyAlignment="1" applyProtection="1">
      <alignment vertical="center" wrapText="1" shrinkToFit="1"/>
      <protection/>
    </xf>
    <xf numFmtId="190" fontId="19" fillId="0" borderId="51" xfId="0" applyNumberFormat="1" applyFont="1" applyBorder="1" applyAlignment="1" applyProtection="1">
      <alignment vertical="center" wrapText="1" shrinkToFit="1"/>
      <protection/>
    </xf>
    <xf numFmtId="190" fontId="19" fillId="0" borderId="12" xfId="0" applyNumberFormat="1" applyFont="1" applyBorder="1" applyAlignment="1" applyProtection="1">
      <alignment vertical="center" wrapText="1" shrinkToFit="1"/>
      <protection/>
    </xf>
    <xf numFmtId="0" fontId="6" fillId="38" borderId="65" xfId="0" applyFont="1" applyFill="1" applyBorder="1" applyAlignment="1" applyProtection="1">
      <alignment horizontal="center" vertical="center" wrapText="1"/>
      <protection/>
    </xf>
    <xf numFmtId="0" fontId="6" fillId="38" borderId="26" xfId="0" applyFont="1" applyFill="1" applyBorder="1" applyAlignment="1" applyProtection="1">
      <alignment horizontal="center" vertical="center" wrapText="1"/>
      <protection/>
    </xf>
    <xf numFmtId="190" fontId="19" fillId="0" borderId="50" xfId="0" applyNumberFormat="1" applyFont="1" applyBorder="1" applyAlignment="1" applyProtection="1">
      <alignment horizontal="center" vertical="center" shrinkToFit="1"/>
      <protection/>
    </xf>
    <xf numFmtId="190" fontId="19" fillId="0" borderId="51" xfId="0" applyNumberFormat="1" applyFont="1" applyBorder="1" applyAlignment="1" applyProtection="1">
      <alignment horizontal="center" vertical="center" shrinkToFit="1"/>
      <protection/>
    </xf>
    <xf numFmtId="190" fontId="19" fillId="0" borderId="12" xfId="0" applyNumberFormat="1" applyFont="1" applyBorder="1" applyAlignment="1" applyProtection="1">
      <alignment horizontal="center" vertical="center" shrinkToFit="1"/>
      <protection/>
    </xf>
    <xf numFmtId="0" fontId="115" fillId="0" borderId="0" xfId="0" applyFont="1" applyAlignment="1" applyProtection="1">
      <alignment horizontal="right" vertical="center"/>
      <protection/>
    </xf>
    <xf numFmtId="0" fontId="20" fillId="0" borderId="24" xfId="0" applyFont="1" applyFill="1" applyBorder="1" applyAlignment="1" applyProtection="1">
      <alignment horizontal="center" vertical="center" wrapText="1"/>
      <protection/>
    </xf>
    <xf numFmtId="0" fontId="20" fillId="0" borderId="90" xfId="0" applyFont="1" applyFill="1" applyBorder="1" applyAlignment="1" applyProtection="1">
      <alignment horizontal="center" vertical="center" wrapText="1"/>
      <protection/>
    </xf>
    <xf numFmtId="0" fontId="20" fillId="0" borderId="13" xfId="0" applyFont="1" applyFill="1" applyBorder="1" applyAlignment="1" applyProtection="1">
      <alignment horizontal="center" vertical="center" wrapText="1"/>
      <protection/>
    </xf>
    <xf numFmtId="0" fontId="19" fillId="6" borderId="100" xfId="0" applyFont="1" applyFill="1" applyBorder="1" applyAlignment="1" applyProtection="1">
      <alignment horizontal="center" vertical="center" textRotation="255"/>
      <protection/>
    </xf>
    <xf numFmtId="0" fontId="19" fillId="6" borderId="101" xfId="0" applyFont="1" applyFill="1" applyBorder="1" applyAlignment="1" applyProtection="1">
      <alignment horizontal="center" vertical="center" textRotation="255"/>
      <protection/>
    </xf>
    <xf numFmtId="0" fontId="19" fillId="6" borderId="102" xfId="0" applyFont="1" applyFill="1" applyBorder="1" applyAlignment="1" applyProtection="1">
      <alignment horizontal="center" vertical="center" textRotation="255"/>
      <protection/>
    </xf>
    <xf numFmtId="0" fontId="20" fillId="0" borderId="103" xfId="0" applyFont="1" applyFill="1" applyBorder="1" applyAlignment="1" applyProtection="1">
      <alignment horizontal="center" vertical="center"/>
      <protection/>
    </xf>
    <xf numFmtId="0" fontId="20" fillId="0" borderId="90" xfId="0" applyFont="1" applyFill="1" applyBorder="1" applyAlignment="1" applyProtection="1">
      <alignment horizontal="center" vertical="center"/>
      <protection/>
    </xf>
    <xf numFmtId="0" fontId="20" fillId="0" borderId="13" xfId="0" applyFont="1" applyFill="1" applyBorder="1" applyAlignment="1" applyProtection="1">
      <alignment horizontal="center" vertical="center"/>
      <protection/>
    </xf>
    <xf numFmtId="0" fontId="20" fillId="0" borderId="91" xfId="0" applyFont="1" applyFill="1" applyBorder="1" applyAlignment="1" applyProtection="1">
      <alignment horizontal="center" vertical="center" wrapText="1"/>
      <protection/>
    </xf>
    <xf numFmtId="0" fontId="20" fillId="0" borderId="86" xfId="0" applyFont="1" applyFill="1" applyBorder="1" applyAlignment="1" applyProtection="1">
      <alignment horizontal="center" vertical="center" wrapText="1"/>
      <protection/>
    </xf>
    <xf numFmtId="0" fontId="20" fillId="0" borderId="104" xfId="0" applyFont="1" applyFill="1" applyBorder="1" applyAlignment="1" applyProtection="1">
      <alignment horizontal="center" vertical="center" wrapText="1"/>
      <protection/>
    </xf>
    <xf numFmtId="0" fontId="4" fillId="38" borderId="65" xfId="0" applyFont="1" applyFill="1" applyBorder="1" applyAlignment="1" applyProtection="1">
      <alignment horizontal="center" vertical="center" wrapText="1"/>
      <protection/>
    </xf>
    <xf numFmtId="0" fontId="4" fillId="38" borderId="26" xfId="0" applyFont="1" applyFill="1" applyBorder="1" applyAlignment="1" applyProtection="1">
      <alignment horizontal="center" vertical="center" wrapText="1"/>
      <protection/>
    </xf>
    <xf numFmtId="0" fontId="20" fillId="0" borderId="103" xfId="0" applyFont="1" applyFill="1" applyBorder="1" applyAlignment="1" applyProtection="1">
      <alignment horizontal="center" vertical="center" wrapText="1"/>
      <protection/>
    </xf>
    <xf numFmtId="3" fontId="11" fillId="0" borderId="105" xfId="0" applyNumberFormat="1" applyFont="1" applyFill="1" applyBorder="1" applyAlignment="1" applyProtection="1">
      <alignment vertical="center"/>
      <protection/>
    </xf>
    <xf numFmtId="3" fontId="11" fillId="0" borderId="106" xfId="0" applyNumberFormat="1" applyFont="1" applyFill="1" applyBorder="1" applyAlignment="1" applyProtection="1">
      <alignment vertical="center"/>
      <protection/>
    </xf>
    <xf numFmtId="0" fontId="11" fillId="0" borderId="61" xfId="0" applyFont="1" applyFill="1" applyBorder="1" applyAlignment="1" applyProtection="1">
      <alignment vertical="center" wrapText="1"/>
      <protection/>
    </xf>
    <xf numFmtId="0" fontId="11" fillId="0" borderId="66" xfId="0" applyFont="1" applyFill="1" applyBorder="1" applyAlignment="1" applyProtection="1">
      <alignment vertical="center" wrapText="1"/>
      <protection/>
    </xf>
    <xf numFmtId="0" fontId="19" fillId="0" borderId="50" xfId="0" applyFont="1" applyBorder="1" applyAlignment="1" applyProtection="1">
      <alignment vertical="center" shrinkToFit="1"/>
      <protection/>
    </xf>
    <xf numFmtId="0" fontId="19" fillId="0" borderId="51" xfId="0" applyFont="1" applyBorder="1" applyAlignment="1" applyProtection="1">
      <alignment vertical="center" shrinkToFit="1"/>
      <protection/>
    </xf>
    <xf numFmtId="0" fontId="19" fillId="0" borderId="12" xfId="0" applyFont="1" applyBorder="1" applyAlignment="1" applyProtection="1">
      <alignment vertical="center" shrinkToFit="1"/>
      <protection/>
    </xf>
    <xf numFmtId="0" fontId="25" fillId="33" borderId="62" xfId="0" applyFont="1" applyFill="1" applyBorder="1" applyAlignment="1" applyProtection="1">
      <alignment horizontal="center" vertical="center"/>
      <protection/>
    </xf>
    <xf numFmtId="0" fontId="25" fillId="33" borderId="26" xfId="0" applyFont="1" applyFill="1" applyBorder="1" applyAlignment="1" applyProtection="1">
      <alignment horizontal="center" vertical="center"/>
      <protection/>
    </xf>
    <xf numFmtId="0" fontId="6" fillId="0" borderId="59" xfId="0" applyFont="1" applyBorder="1" applyAlignment="1" applyProtection="1">
      <alignment horizontal="center" vertical="center"/>
      <protection/>
    </xf>
    <xf numFmtId="0" fontId="6" fillId="0" borderId="107" xfId="0" applyFont="1" applyBorder="1" applyAlignment="1" applyProtection="1">
      <alignment horizontal="center" vertical="center"/>
      <protection/>
    </xf>
    <xf numFmtId="0" fontId="6" fillId="0" borderId="63" xfId="0" applyFont="1" applyBorder="1" applyAlignment="1" applyProtection="1">
      <alignment horizontal="center" vertical="center"/>
      <protection/>
    </xf>
    <xf numFmtId="9" fontId="11" fillId="0" borderId="60" xfId="0" applyNumberFormat="1" applyFont="1" applyFill="1" applyBorder="1" applyAlignment="1" applyProtection="1">
      <alignment horizontal="center" vertical="center"/>
      <protection/>
    </xf>
    <xf numFmtId="9" fontId="11" fillId="0" borderId="92" xfId="0" applyNumberFormat="1" applyFont="1" applyFill="1" applyBorder="1" applyAlignment="1" applyProtection="1">
      <alignment horizontal="center" vertical="center"/>
      <protection/>
    </xf>
    <xf numFmtId="9" fontId="11" fillId="0" borderId="81" xfId="0" applyNumberFormat="1" applyFont="1" applyFill="1" applyBorder="1" applyAlignment="1" applyProtection="1">
      <alignment horizontal="center" vertical="center"/>
      <protection/>
    </xf>
    <xf numFmtId="0" fontId="24" fillId="33" borderId="62" xfId="0" applyFont="1" applyFill="1" applyBorder="1" applyAlignment="1" applyProtection="1">
      <alignment horizontal="center" vertical="center"/>
      <protection/>
    </xf>
    <xf numFmtId="0" fontId="24" fillId="33" borderId="26" xfId="0" applyFont="1" applyFill="1" applyBorder="1" applyAlignment="1" applyProtection="1">
      <alignment horizontal="center" vertical="center"/>
      <protection/>
    </xf>
    <xf numFmtId="0" fontId="117" fillId="0" borderId="103" xfId="0" applyFont="1" applyBorder="1" applyAlignment="1" applyProtection="1">
      <alignment horizontal="center" vertical="center"/>
      <protection/>
    </xf>
    <xf numFmtId="0" fontId="117" fillId="0" borderId="90" xfId="0" applyFont="1" applyBorder="1" applyAlignment="1" applyProtection="1">
      <alignment horizontal="center" vertical="center"/>
      <protection/>
    </xf>
    <xf numFmtId="0" fontId="117" fillId="0" borderId="13" xfId="0" applyFont="1" applyBorder="1" applyAlignment="1" applyProtection="1">
      <alignment horizontal="center" vertical="center"/>
      <protection/>
    </xf>
    <xf numFmtId="0" fontId="29" fillId="0" borderId="24" xfId="0" applyFont="1" applyBorder="1" applyAlignment="1" applyProtection="1">
      <alignment vertical="center"/>
      <protection/>
    </xf>
    <xf numFmtId="0" fontId="29" fillId="0" borderId="90" xfId="0" applyFont="1" applyBorder="1" applyAlignment="1" applyProtection="1">
      <alignment vertical="center"/>
      <protection/>
    </xf>
    <xf numFmtId="0" fontId="29" fillId="0" borderId="13" xfId="0" applyFont="1" applyBorder="1" applyAlignment="1" applyProtection="1">
      <alignment vertical="center"/>
      <protection/>
    </xf>
    <xf numFmtId="0" fontId="26" fillId="33" borderId="100" xfId="0" applyFont="1" applyFill="1" applyBorder="1" applyAlignment="1" applyProtection="1">
      <alignment horizontal="center" vertical="center"/>
      <protection/>
    </xf>
    <xf numFmtId="0" fontId="26" fillId="33" borderId="101" xfId="0" applyFont="1" applyFill="1" applyBorder="1" applyAlignment="1" applyProtection="1">
      <alignment horizontal="center" vertical="center"/>
      <protection/>
    </xf>
    <xf numFmtId="0" fontId="26" fillId="33" borderId="102" xfId="0" applyFont="1" applyFill="1" applyBorder="1" applyAlignment="1" applyProtection="1">
      <alignment horizontal="center" vertical="center"/>
      <protection/>
    </xf>
    <xf numFmtId="0" fontId="11" fillId="6" borderId="62" xfId="0" applyFont="1" applyFill="1" applyBorder="1" applyAlignment="1" applyProtection="1">
      <alignment horizontal="center" vertical="center"/>
      <protection/>
    </xf>
    <xf numFmtId="0" fontId="11" fillId="6" borderId="65" xfId="0" applyFont="1" applyFill="1" applyBorder="1" applyAlignment="1" applyProtection="1">
      <alignment horizontal="center" vertical="center"/>
      <protection/>
    </xf>
    <xf numFmtId="0" fontId="11" fillId="6" borderId="26" xfId="0" applyFont="1" applyFill="1" applyBorder="1" applyAlignment="1" applyProtection="1">
      <alignment horizontal="center" vertical="center"/>
      <protection/>
    </xf>
    <xf numFmtId="0" fontId="6" fillId="36" borderId="62" xfId="0" applyFont="1" applyFill="1" applyBorder="1" applyAlignment="1" applyProtection="1">
      <alignment horizontal="center" vertical="center" textRotation="255"/>
      <protection/>
    </xf>
    <xf numFmtId="0" fontId="6" fillId="36" borderId="65" xfId="0" applyFont="1" applyFill="1" applyBorder="1" applyAlignment="1" applyProtection="1">
      <alignment horizontal="center" vertical="center" textRotation="255"/>
      <protection/>
    </xf>
    <xf numFmtId="0" fontId="6" fillId="36" borderId="26" xfId="0" applyFont="1" applyFill="1" applyBorder="1" applyAlignment="1" applyProtection="1">
      <alignment horizontal="center" vertical="center" textRotation="255"/>
      <protection/>
    </xf>
    <xf numFmtId="0" fontId="121" fillId="0" borderId="0" xfId="0" applyFont="1" applyBorder="1" applyAlignment="1" applyProtection="1">
      <alignment vertical="center" wrapText="1" shrinkToFit="1"/>
      <protection/>
    </xf>
    <xf numFmtId="0" fontId="6" fillId="38" borderId="108" xfId="0" applyFont="1" applyFill="1" applyBorder="1" applyAlignment="1" applyProtection="1">
      <alignment horizontal="center" vertical="center" wrapText="1"/>
      <protection/>
    </xf>
    <xf numFmtId="0" fontId="6" fillId="38" borderId="109" xfId="0" applyFont="1" applyFill="1" applyBorder="1" applyAlignment="1" applyProtection="1">
      <alignment horizontal="center" vertical="center" wrapText="1"/>
      <protection/>
    </xf>
    <xf numFmtId="0" fontId="6" fillId="0" borderId="87" xfId="0" applyFont="1" applyFill="1" applyBorder="1" applyAlignment="1" applyProtection="1">
      <alignment horizontal="center" vertical="center"/>
      <protection/>
    </xf>
    <xf numFmtId="0" fontId="6" fillId="0" borderId="88" xfId="0" applyFont="1" applyFill="1" applyBorder="1" applyAlignment="1" applyProtection="1">
      <alignment horizontal="center" vertical="center"/>
      <protection/>
    </xf>
    <xf numFmtId="0" fontId="117" fillId="0" borderId="24" xfId="0" applyFont="1" applyBorder="1" applyAlignment="1" applyProtection="1">
      <alignment horizontal="center" vertical="center"/>
      <protection/>
    </xf>
    <xf numFmtId="0" fontId="11" fillId="0" borderId="59" xfId="0" applyFont="1" applyFill="1" applyBorder="1" applyAlignment="1" applyProtection="1">
      <alignment vertical="center" wrapText="1"/>
      <protection/>
    </xf>
    <xf numFmtId="0" fontId="11" fillId="0" borderId="63" xfId="0" applyFont="1" applyFill="1" applyBorder="1" applyAlignment="1" applyProtection="1">
      <alignment vertical="center" wrapText="1"/>
      <protection/>
    </xf>
    <xf numFmtId="0" fontId="6" fillId="0" borderId="110" xfId="0" applyFont="1" applyBorder="1" applyAlignment="1" applyProtection="1">
      <alignment horizontal="center" vertical="center"/>
      <protection/>
    </xf>
    <xf numFmtId="0" fontId="6" fillId="0" borderId="93" xfId="0" applyFont="1" applyBorder="1" applyAlignment="1" applyProtection="1">
      <alignment horizontal="center" vertical="center"/>
      <protection/>
    </xf>
    <xf numFmtId="0" fontId="6" fillId="0" borderId="52" xfId="0" applyFont="1" applyFill="1" applyBorder="1" applyAlignment="1" applyProtection="1">
      <alignment horizontal="center" vertical="center"/>
      <protection/>
    </xf>
    <xf numFmtId="0" fontId="6" fillId="0" borderId="46" xfId="0" applyFont="1" applyFill="1" applyBorder="1" applyAlignment="1" applyProtection="1">
      <alignment horizontal="center" vertical="center"/>
      <protection/>
    </xf>
    <xf numFmtId="0" fontId="6" fillId="0" borderId="47" xfId="0" applyFont="1" applyFill="1" applyBorder="1" applyAlignment="1" applyProtection="1">
      <alignment horizontal="center" vertical="center"/>
      <protection/>
    </xf>
    <xf numFmtId="0" fontId="117" fillId="0" borderId="91" xfId="0" applyFont="1" applyBorder="1" applyAlignment="1" applyProtection="1">
      <alignment horizontal="center" vertical="center"/>
      <protection/>
    </xf>
    <xf numFmtId="0" fontId="101" fillId="0" borderId="13" xfId="0" applyFont="1" applyBorder="1" applyAlignment="1" applyProtection="1">
      <alignment horizontal="center" vertical="center"/>
      <protection/>
    </xf>
    <xf numFmtId="0" fontId="101" fillId="0" borderId="22" xfId="0" applyFont="1" applyBorder="1" applyAlignment="1" applyProtection="1">
      <alignment horizontal="center" vertical="center"/>
      <protection/>
    </xf>
    <xf numFmtId="0" fontId="5" fillId="0" borderId="52" xfId="0" applyFont="1" applyBorder="1" applyAlignment="1" applyProtection="1">
      <alignment horizontal="center" vertical="center" wrapText="1"/>
      <protection/>
    </xf>
    <xf numFmtId="0" fontId="5" fillId="0" borderId="47" xfId="0" applyFont="1" applyBorder="1" applyAlignment="1" applyProtection="1">
      <alignment horizontal="center" vertical="center" wrapText="1"/>
      <protection/>
    </xf>
    <xf numFmtId="0" fontId="5" fillId="0" borderId="48" xfId="0" applyFont="1" applyBorder="1" applyAlignment="1" applyProtection="1">
      <alignment horizontal="center" vertical="center" wrapText="1"/>
      <protection/>
    </xf>
    <xf numFmtId="0" fontId="5" fillId="0" borderId="49" xfId="0" applyFont="1" applyBorder="1" applyAlignment="1" applyProtection="1">
      <alignment horizontal="center" vertical="center" wrapText="1"/>
      <protection/>
    </xf>
    <xf numFmtId="0" fontId="5" fillId="0" borderId="50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93" fillId="0" borderId="29" xfId="0" applyFont="1" applyBorder="1" applyAlignment="1" applyProtection="1">
      <alignment horizontal="center" vertical="top" wrapText="1"/>
      <protection locked="0"/>
    </xf>
    <xf numFmtId="0" fontId="93" fillId="0" borderId="111" xfId="0" applyFont="1" applyBorder="1" applyAlignment="1" applyProtection="1">
      <alignment horizontal="center" vertical="top" wrapText="1"/>
      <protection locked="0"/>
    </xf>
    <xf numFmtId="0" fontId="93" fillId="0" borderId="112" xfId="0" applyFont="1" applyBorder="1" applyAlignment="1" applyProtection="1">
      <alignment horizontal="center" vertical="top" wrapText="1"/>
      <protection locked="0"/>
    </xf>
    <xf numFmtId="0" fontId="93" fillId="0" borderId="113" xfId="0" applyFont="1" applyFill="1" applyBorder="1" applyAlignment="1" applyProtection="1">
      <alignment horizontal="center" vertical="center" wrapText="1"/>
      <protection locked="0"/>
    </xf>
    <xf numFmtId="0" fontId="93" fillId="0" borderId="33" xfId="0" applyFont="1" applyFill="1" applyBorder="1" applyAlignment="1" applyProtection="1">
      <alignment horizontal="center" vertical="center" wrapText="1"/>
      <protection locked="0"/>
    </xf>
    <xf numFmtId="14" fontId="94" fillId="0" borderId="26" xfId="0" applyNumberFormat="1" applyFont="1" applyFill="1" applyBorder="1" applyAlignment="1" applyProtection="1">
      <alignment horizontal="center" vertical="center" wrapText="1"/>
      <protection/>
    </xf>
    <xf numFmtId="0" fontId="94" fillId="0" borderId="26" xfId="0" applyFont="1" applyFill="1" applyBorder="1" applyAlignment="1" applyProtection="1">
      <alignment horizontal="center" vertical="center" wrapText="1"/>
      <protection/>
    </xf>
    <xf numFmtId="0" fontId="95" fillId="33" borderId="114" xfId="0" applyFont="1" applyFill="1" applyBorder="1" applyAlignment="1" applyProtection="1">
      <alignment horizontal="center" vertical="center" wrapText="1"/>
      <protection locked="0"/>
    </xf>
    <xf numFmtId="0" fontId="95" fillId="33" borderId="115" xfId="0" applyFont="1" applyFill="1" applyBorder="1" applyAlignment="1" applyProtection="1">
      <alignment horizontal="center" vertical="center" wrapText="1"/>
      <protection locked="0"/>
    </xf>
    <xf numFmtId="0" fontId="93" fillId="0" borderId="0" xfId="0" applyFont="1" applyAlignment="1" applyProtection="1">
      <alignment horizontal="left" vertical="center"/>
      <protection locked="0"/>
    </xf>
    <xf numFmtId="0" fontId="93" fillId="0" borderId="116" xfId="0" applyFont="1" applyBorder="1" applyAlignment="1" applyProtection="1">
      <alignment horizontal="center" vertical="center" wrapText="1"/>
      <protection locked="0"/>
    </xf>
    <xf numFmtId="0" fontId="93" fillId="0" borderId="117" xfId="0" applyFont="1" applyBorder="1" applyAlignment="1" applyProtection="1">
      <alignment horizontal="center" vertical="center" wrapText="1"/>
      <protection locked="0"/>
    </xf>
    <xf numFmtId="14" fontId="94" fillId="0" borderId="28" xfId="0" applyNumberFormat="1" applyFont="1" applyFill="1" applyBorder="1" applyAlignment="1" applyProtection="1">
      <alignment horizontal="center" vertical="center" wrapText="1"/>
      <protection/>
    </xf>
    <xf numFmtId="0" fontId="94" fillId="0" borderId="28" xfId="0" applyFont="1" applyFill="1" applyBorder="1" applyAlignment="1" applyProtection="1">
      <alignment horizontal="center" vertical="center" wrapText="1"/>
      <protection/>
    </xf>
    <xf numFmtId="0" fontId="93" fillId="0" borderId="10" xfId="0" applyFont="1" applyBorder="1" applyAlignment="1" applyProtection="1">
      <alignment horizontal="center" vertical="center" wrapText="1"/>
      <protection locked="0"/>
    </xf>
    <xf numFmtId="0" fontId="93" fillId="0" borderId="28" xfId="0" applyFont="1" applyBorder="1" applyAlignment="1" applyProtection="1">
      <alignment horizontal="center" vertical="center" wrapText="1"/>
      <protection locked="0"/>
    </xf>
    <xf numFmtId="0" fontId="93" fillId="0" borderId="113" xfId="0" applyFont="1" applyBorder="1" applyAlignment="1" applyProtection="1">
      <alignment horizontal="center" vertical="center" wrapText="1"/>
      <protection locked="0"/>
    </xf>
    <xf numFmtId="0" fontId="93" fillId="0" borderId="33" xfId="0" applyFont="1" applyBorder="1" applyAlignment="1" applyProtection="1">
      <alignment horizontal="center" vertical="center" wrapText="1"/>
      <protection locked="0"/>
    </xf>
    <xf numFmtId="14" fontId="94" fillId="0" borderId="25" xfId="0" applyNumberFormat="1" applyFont="1" applyFill="1" applyBorder="1" applyAlignment="1" applyProtection="1">
      <alignment horizontal="center" vertical="center" wrapText="1"/>
      <protection/>
    </xf>
    <xf numFmtId="0" fontId="94" fillId="0" borderId="25" xfId="0" applyFont="1" applyFill="1" applyBorder="1" applyAlignment="1" applyProtection="1">
      <alignment horizontal="center" vertical="center" wrapText="1"/>
      <protection/>
    </xf>
    <xf numFmtId="14" fontId="94" fillId="0" borderId="22" xfId="0" applyNumberFormat="1" applyFont="1" applyFill="1" applyBorder="1" applyAlignment="1" applyProtection="1">
      <alignment horizontal="center" vertical="center" wrapText="1"/>
      <protection/>
    </xf>
    <xf numFmtId="0" fontId="94" fillId="0" borderId="22" xfId="0" applyFont="1" applyFill="1" applyBorder="1" applyAlignment="1" applyProtection="1">
      <alignment horizontal="center" vertical="center" wrapText="1"/>
      <protection/>
    </xf>
    <xf numFmtId="0" fontId="95" fillId="33" borderId="118" xfId="0" applyFont="1" applyFill="1" applyBorder="1" applyAlignment="1" applyProtection="1">
      <alignment horizontal="center" vertical="center" wrapText="1"/>
      <protection locked="0"/>
    </xf>
    <xf numFmtId="0" fontId="95" fillId="33" borderId="16" xfId="0" applyFont="1" applyFill="1" applyBorder="1" applyAlignment="1" applyProtection="1">
      <alignment horizontal="center" vertical="center" wrapText="1"/>
      <protection locked="0"/>
    </xf>
    <xf numFmtId="0" fontId="94" fillId="0" borderId="50" xfId="0" applyFont="1" applyFill="1" applyBorder="1" applyAlignment="1" applyProtection="1">
      <alignment horizontal="center" vertical="center" wrapText="1"/>
      <protection/>
    </xf>
    <xf numFmtId="14" fontId="94" fillId="0" borderId="27" xfId="0" applyNumberFormat="1" applyFont="1" applyFill="1" applyBorder="1" applyAlignment="1" applyProtection="1">
      <alignment horizontal="center" vertical="center" wrapText="1"/>
      <protection/>
    </xf>
    <xf numFmtId="0" fontId="94" fillId="0" borderId="27" xfId="0" applyFont="1" applyFill="1" applyBorder="1" applyAlignment="1" applyProtection="1">
      <alignment horizontal="center" vertical="center" wrapText="1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2 2" xfId="65"/>
    <cellStyle name="標準 3" xfId="66"/>
    <cellStyle name="Followed Hyperlink" xfId="67"/>
    <cellStyle name="良い" xfId="68"/>
  </cellStyles>
  <dxfs count="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866775</xdr:colOff>
      <xdr:row>20</xdr:row>
      <xdr:rowOff>123825</xdr:rowOff>
    </xdr:from>
    <xdr:ext cx="571500" cy="238125"/>
    <xdr:sp>
      <xdr:nvSpPr>
        <xdr:cNvPr id="1" name="テキスト ボックス 1"/>
        <xdr:cNvSpPr txBox="1">
          <a:spLocks noChangeArrowheads="1"/>
        </xdr:cNvSpPr>
      </xdr:nvSpPr>
      <xdr:spPr>
        <a:xfrm>
          <a:off x="2219325" y="3905250"/>
          <a:ext cx="571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小規模型</a:t>
          </a:r>
        </a:p>
      </xdr:txBody>
    </xdr:sp>
    <xdr:clientData/>
  </xdr:oneCellAnchor>
  <xdr:oneCellAnchor>
    <xdr:from>
      <xdr:col>5</xdr:col>
      <xdr:colOff>876300</xdr:colOff>
      <xdr:row>20</xdr:row>
      <xdr:rowOff>123825</xdr:rowOff>
    </xdr:from>
    <xdr:ext cx="1095375" cy="238125"/>
    <xdr:sp>
      <xdr:nvSpPr>
        <xdr:cNvPr id="2" name="テキスト ボックス 12"/>
        <xdr:cNvSpPr txBox="1">
          <a:spLocks noChangeArrowheads="1"/>
        </xdr:cNvSpPr>
      </xdr:nvSpPr>
      <xdr:spPr>
        <a:xfrm>
          <a:off x="4019550" y="3905250"/>
          <a:ext cx="10953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高度生産性向上型</a:t>
          </a:r>
        </a:p>
      </xdr:txBody>
    </xdr:sp>
    <xdr:clientData/>
  </xdr:oneCellAnchor>
  <xdr:oneCellAnchor>
    <xdr:from>
      <xdr:col>2</xdr:col>
      <xdr:colOff>0</xdr:colOff>
      <xdr:row>19</xdr:row>
      <xdr:rowOff>66675</xdr:rowOff>
    </xdr:from>
    <xdr:ext cx="771525" cy="238125"/>
    <xdr:sp>
      <xdr:nvSpPr>
        <xdr:cNvPr id="3" name="テキスト ボックス 16"/>
        <xdr:cNvSpPr txBox="1">
          <a:spLocks noChangeArrowheads="1"/>
        </xdr:cNvSpPr>
      </xdr:nvSpPr>
      <xdr:spPr>
        <a:xfrm>
          <a:off x="457200" y="3657600"/>
          <a:ext cx="771525" cy="238125"/>
        </a:xfrm>
        <a:prstGeom prst="rect">
          <a:avLst/>
        </a:prstGeom>
        <a:solidFill>
          <a:srgbClr val="FDEAD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事業類型型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Ⅱ</a:t>
          </a:r>
        </a:p>
      </xdr:txBody>
    </xdr:sp>
    <xdr:clientData/>
  </xdr:oneCellAnchor>
  <xdr:oneCellAnchor>
    <xdr:from>
      <xdr:col>1</xdr:col>
      <xdr:colOff>219075</xdr:colOff>
      <xdr:row>20</xdr:row>
      <xdr:rowOff>114300</xdr:rowOff>
    </xdr:from>
    <xdr:ext cx="466725" cy="238125"/>
    <xdr:sp>
      <xdr:nvSpPr>
        <xdr:cNvPr id="4" name="テキスト ボックス 18"/>
        <xdr:cNvSpPr txBox="1">
          <a:spLocks noChangeArrowheads="1"/>
        </xdr:cNvSpPr>
      </xdr:nvSpPr>
      <xdr:spPr>
        <a:xfrm>
          <a:off x="447675" y="3895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一般型</a:t>
          </a:r>
        </a:p>
      </xdr:txBody>
    </xdr:sp>
    <xdr:clientData/>
  </xdr:oneCellAnchor>
  <xdr:oneCellAnchor>
    <xdr:from>
      <xdr:col>2</xdr:col>
      <xdr:colOff>0</xdr:colOff>
      <xdr:row>13</xdr:row>
      <xdr:rowOff>76200</xdr:rowOff>
    </xdr:from>
    <xdr:ext cx="771525" cy="238125"/>
    <xdr:sp>
      <xdr:nvSpPr>
        <xdr:cNvPr id="5" name="テキスト ボックス 14"/>
        <xdr:cNvSpPr txBox="1">
          <a:spLocks noChangeArrowheads="1"/>
        </xdr:cNvSpPr>
      </xdr:nvSpPr>
      <xdr:spPr>
        <a:xfrm>
          <a:off x="457200" y="2524125"/>
          <a:ext cx="771525" cy="238125"/>
        </a:xfrm>
        <a:prstGeom prst="rect">
          <a:avLst/>
        </a:prstGeom>
        <a:solidFill>
          <a:srgbClr val="FDEAD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事業類型型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Ⅰ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27</xdr:col>
      <xdr:colOff>0</xdr:colOff>
      <xdr:row>41</xdr:row>
      <xdr:rowOff>0</xdr:rowOff>
    </xdr:from>
    <xdr:to>
      <xdr:col>27</xdr:col>
      <xdr:colOff>9525</xdr:colOff>
      <xdr:row>41</xdr:row>
      <xdr:rowOff>9525</xdr:rowOff>
    </xdr:to>
    <xdr:pic>
      <xdr:nvPicPr>
        <xdr:cNvPr id="1" name="図 2" descr="http://aw.dw.impact-ad.jp/c/blue.velvet/?ac=70&amp;p=OSHIETExBADGE300_1&amp;w=300&amp;h=250&amp;if=0&amp;fv=3&amp;url=http%3A%2F%2Foshiete.goo.ne.jp%2Fqa%2F1099309.html&amp;ref=http%3A%2F%2Fsearch.yahoo.co.jp%2Fsearch%3Fp%3D%2523div%252F0%2521%2B%25E8%25A1%25A8%25E7%25A4%25BA%25E3%2581%2597%25E3%2581%25AA%25E3%2581%2584%26search.x%3D1%26fr%3Dtop_ga1_sa%26tid%3Dtop_ga1_sa%26ei%3DUTF-8%26aq%3D2%26oq%3D%2523div&amp;ss=42868345&amp;v=1.8.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02825" y="14887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19050</xdr:colOff>
      <xdr:row>41</xdr:row>
      <xdr:rowOff>0</xdr:rowOff>
    </xdr:from>
    <xdr:to>
      <xdr:col>27</xdr:col>
      <xdr:colOff>28575</xdr:colOff>
      <xdr:row>41</xdr:row>
      <xdr:rowOff>9525</xdr:rowOff>
    </xdr:to>
    <xdr:pic>
      <xdr:nvPicPr>
        <xdr:cNvPr id="2" name="図 3" descr="http://aw.dw.impact-ad.jp/c/blue.velvet/?ac=70&amp;p=OSHIETExBADGE300_2&amp;w=300&amp;h=250&amp;if=0&amp;fv=3&amp;url=http%3A%2F%2Foshiete.goo.ne.jp%2Fqa%2F1099309.html&amp;ref=http%3A%2F%2Fsearch.yahoo.co.jp%2Fsearch%3Fp%3D%2523div%252F0%2521%2B%25E8%25A1%25A8%25E7%25A4%25BA%25E3%2581%2597%25E3%2581%25AA%25E3%2581%2584%26search.x%3D1%26fr%3Dtop_ga1_sa%26tid%3Dtop_ga1_sa%26ei%3DUTF-8%26aq%3D2%26oq%3D%2523div&amp;ss=51776368&amp;v=1.8.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21875" y="14887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38100</xdr:colOff>
      <xdr:row>41</xdr:row>
      <xdr:rowOff>0</xdr:rowOff>
    </xdr:from>
    <xdr:to>
      <xdr:col>27</xdr:col>
      <xdr:colOff>47625</xdr:colOff>
      <xdr:row>41</xdr:row>
      <xdr:rowOff>9525</xdr:rowOff>
    </xdr:to>
    <xdr:pic>
      <xdr:nvPicPr>
        <xdr:cNvPr id="3" name="図 4" descr="http://aw.dw.impact-ad.jp/c/blue.velvet/?ac=70&amp;p=OSHIETExLONG&amp;w=728&amp;h=90&amp;if=0&amp;fv=3&amp;url=http%3A%2F%2Foshiete.goo.ne.jp%2Fqa%2F1099309.html&amp;ref=http%3A%2F%2Fsearch.yahoo.co.jp%2Fsearch%3Fp%3D%2523div%252F0%2521%2B%25E8%25A1%25A8%25E7%25A4%25BA%25E3%2581%2597%25E3%2581%25AA%25E3%2581%2584%26search.x%3D1%26fr%3Dtop_ga1_sa%26tid%3Dtop_ga1_sa%26ei%3DUTF-8%26aq%3D2%26oq%3D%2523div&amp;ss=69883727&amp;v=1.8.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40925" y="14887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0</xdr:colOff>
      <xdr:row>41</xdr:row>
      <xdr:rowOff>0</xdr:rowOff>
    </xdr:from>
    <xdr:to>
      <xdr:col>26</xdr:col>
      <xdr:colOff>9525</xdr:colOff>
      <xdr:row>41</xdr:row>
      <xdr:rowOff>9525</xdr:rowOff>
    </xdr:to>
    <xdr:pic>
      <xdr:nvPicPr>
        <xdr:cNvPr id="4" name="図 2" descr="http://aw.dw.impact-ad.jp/c/blue.velvet/?ac=70&amp;p=OSHIETExBADGE300_1&amp;w=300&amp;h=250&amp;if=0&amp;fv=3&amp;url=http%3A%2F%2Foshiete.goo.ne.jp%2Fqa%2F1099309.html&amp;ref=http%3A%2F%2Fsearch.yahoo.co.jp%2Fsearch%3Fp%3D%2523div%252F0%2521%2B%25E8%25A1%25A8%25E7%25A4%25BA%25E3%2581%2597%25E3%2581%25AA%25E3%2581%2584%26search.x%3D1%26fr%3Dtop_ga1_sa%26tid%3Dtop_ga1_sa%26ei%3DUTF-8%26aq%3D2%26oq%3D%2523div&amp;ss=42868345&amp;v=1.8.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40650" y="14887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19050</xdr:colOff>
      <xdr:row>41</xdr:row>
      <xdr:rowOff>0</xdr:rowOff>
    </xdr:from>
    <xdr:to>
      <xdr:col>26</xdr:col>
      <xdr:colOff>28575</xdr:colOff>
      <xdr:row>41</xdr:row>
      <xdr:rowOff>9525</xdr:rowOff>
    </xdr:to>
    <xdr:pic>
      <xdr:nvPicPr>
        <xdr:cNvPr id="5" name="図 3" descr="http://aw.dw.impact-ad.jp/c/blue.velvet/?ac=70&amp;p=OSHIETExBADGE300_2&amp;w=300&amp;h=250&amp;if=0&amp;fv=3&amp;url=http%3A%2F%2Foshiete.goo.ne.jp%2Fqa%2F1099309.html&amp;ref=http%3A%2F%2Fsearch.yahoo.co.jp%2Fsearch%3Fp%3D%2523div%252F0%2521%2B%25E8%25A1%25A8%25E7%25A4%25BA%25E3%2581%2597%25E3%2581%25AA%25E3%2581%2584%26search.x%3D1%26fr%3Dtop_ga1_sa%26tid%3Dtop_ga1_sa%26ei%3DUTF-8%26aq%3D2%26oq%3D%2523div&amp;ss=51776368&amp;v=1.8.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59700" y="14887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38100</xdr:colOff>
      <xdr:row>41</xdr:row>
      <xdr:rowOff>0</xdr:rowOff>
    </xdr:from>
    <xdr:to>
      <xdr:col>26</xdr:col>
      <xdr:colOff>57150</xdr:colOff>
      <xdr:row>41</xdr:row>
      <xdr:rowOff>9525</xdr:rowOff>
    </xdr:to>
    <xdr:pic>
      <xdr:nvPicPr>
        <xdr:cNvPr id="6" name="図 4" descr="http://aw.dw.impact-ad.jp/c/blue.velvet/?ac=70&amp;p=OSHIETExLONG&amp;w=728&amp;h=90&amp;if=0&amp;fv=3&amp;url=http%3A%2F%2Foshiete.goo.ne.jp%2Fqa%2F1099309.html&amp;ref=http%3A%2F%2Fsearch.yahoo.co.jp%2Fsearch%3Fp%3D%2523div%252F0%2521%2B%25E8%25A1%25A8%25E7%25A4%25BA%25E3%2581%2597%25E3%2581%25AA%25E3%2581%2584%26search.x%3D1%26fr%3Dtop_ga1_sa%26tid%3Dtop_ga1_sa%26ei%3DUTF-8%26aq%3D2%26oq%3D%2523div&amp;ss=69883727&amp;v=1.8.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0" y="14887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56</xdr:row>
      <xdr:rowOff>0</xdr:rowOff>
    </xdr:from>
    <xdr:to>
      <xdr:col>24</xdr:col>
      <xdr:colOff>9525</xdr:colOff>
      <xdr:row>56</xdr:row>
      <xdr:rowOff>9525</xdr:rowOff>
    </xdr:to>
    <xdr:pic>
      <xdr:nvPicPr>
        <xdr:cNvPr id="7" name="図 2" descr="http://aw.dw.impact-ad.jp/c/blue.velvet/?ac=70&amp;p=OSHIETExBADGE300_1&amp;w=300&amp;h=250&amp;if=0&amp;fv=3&amp;url=http%3A%2F%2Foshiete.goo.ne.jp%2Fqa%2F1099309.html&amp;ref=http%3A%2F%2Fsearch.yahoo.co.jp%2Fsearch%3Fp%3D%2523div%252F0%2521%2B%25E8%25A1%25A8%25E7%25A4%25BA%25E3%2581%2597%25E3%2581%25AA%25E3%2581%2584%26search.x%3D1%26fr%3Dtop_ga1_sa%26tid%3Dtop_ga1_sa%26ei%3DUTF-8%26aq%3D2%26oq%3D%2523div&amp;ss=42868345&amp;v=1.8.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06950" y="20935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56</xdr:row>
      <xdr:rowOff>0</xdr:rowOff>
    </xdr:from>
    <xdr:to>
      <xdr:col>24</xdr:col>
      <xdr:colOff>9525</xdr:colOff>
      <xdr:row>56</xdr:row>
      <xdr:rowOff>9525</xdr:rowOff>
    </xdr:to>
    <xdr:pic>
      <xdr:nvPicPr>
        <xdr:cNvPr id="8" name="図 3" descr="http://aw.dw.impact-ad.jp/c/blue.velvet/?ac=70&amp;p=OSHIETExBADGE300_2&amp;w=300&amp;h=250&amp;if=0&amp;fv=3&amp;url=http%3A%2F%2Foshiete.goo.ne.jp%2Fqa%2F1099309.html&amp;ref=http%3A%2F%2Fsearch.yahoo.co.jp%2Fsearch%3Fp%3D%2523div%252F0%2521%2B%25E8%25A1%25A8%25E7%25A4%25BA%25E3%2581%2597%25E3%2581%25AA%25E3%2581%2584%26search.x%3D1%26fr%3Dtop_ga1_sa%26tid%3Dtop_ga1_sa%26ei%3DUTF-8%26aq%3D2%26oq%3D%2523div&amp;ss=51776368&amp;v=1.8.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06950" y="20935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56</xdr:row>
      <xdr:rowOff>0</xdr:rowOff>
    </xdr:from>
    <xdr:to>
      <xdr:col>24</xdr:col>
      <xdr:colOff>9525</xdr:colOff>
      <xdr:row>56</xdr:row>
      <xdr:rowOff>9525</xdr:rowOff>
    </xdr:to>
    <xdr:pic>
      <xdr:nvPicPr>
        <xdr:cNvPr id="9" name="図 4" descr="http://aw.dw.impact-ad.jp/c/blue.velvet/?ac=70&amp;p=OSHIETExLONG&amp;w=728&amp;h=90&amp;if=0&amp;fv=3&amp;url=http%3A%2F%2Foshiete.goo.ne.jp%2Fqa%2F1099309.html&amp;ref=http%3A%2F%2Fsearch.yahoo.co.jp%2Fsearch%3Fp%3D%2523div%252F0%2521%2B%25E8%25A1%25A8%25E7%25A4%25BA%25E3%2581%2597%25E3%2581%25AA%25E3%2581%2584%26search.x%3D1%26fr%3Dtop_ga1_sa%26tid%3Dtop_ga1_sa%26ei%3DUTF-8%26aq%3D2%26oq%3D%2523div&amp;ss=69883727&amp;v=1.8.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06950" y="20935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2"/>
  <dimension ref="B1:E18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9.5" customHeight="1"/>
  <cols>
    <col min="1" max="1" width="2.57421875" style="0" customWidth="1"/>
    <col min="2" max="2" width="3.7109375" style="0" customWidth="1"/>
    <col min="3" max="3" width="47.8515625" style="0" customWidth="1"/>
  </cols>
  <sheetData>
    <row r="1" spans="2:5" ht="19.5" customHeight="1">
      <c r="B1" s="137" t="s">
        <v>580</v>
      </c>
      <c r="D1" s="60"/>
      <c r="E1" s="60"/>
    </row>
    <row r="2" spans="2:5" ht="19.5" customHeight="1">
      <c r="B2" s="137"/>
      <c r="D2" s="60"/>
      <c r="E2" s="60"/>
    </row>
    <row r="3" spans="2:5" ht="19.5" customHeight="1">
      <c r="B3" t="s">
        <v>584</v>
      </c>
      <c r="C3" s="60"/>
      <c r="D3" s="60"/>
      <c r="E3" s="60"/>
    </row>
    <row r="4" spans="2:3" ht="19.5" customHeight="1" thickBot="1">
      <c r="B4" s="138" t="s">
        <v>30</v>
      </c>
      <c r="C4" s="138" t="s">
        <v>581</v>
      </c>
    </row>
    <row r="5" spans="2:3" ht="19.5" customHeight="1" thickTop="1">
      <c r="B5" s="139">
        <v>1</v>
      </c>
      <c r="C5" s="140" t="s">
        <v>580</v>
      </c>
    </row>
    <row r="6" spans="2:3" ht="19.5" customHeight="1">
      <c r="B6" s="141">
        <v>2</v>
      </c>
      <c r="C6" s="142" t="s">
        <v>630</v>
      </c>
    </row>
    <row r="7" spans="2:3" ht="19.5" customHeight="1">
      <c r="B7" s="141">
        <v>3</v>
      </c>
      <c r="C7" s="142" t="s">
        <v>658</v>
      </c>
    </row>
    <row r="8" spans="2:3" ht="19.5" customHeight="1">
      <c r="B8" s="206">
        <v>4</v>
      </c>
      <c r="C8" s="142" t="s">
        <v>582</v>
      </c>
    </row>
    <row r="9" spans="2:3" ht="19.5" customHeight="1">
      <c r="B9" s="206">
        <v>5</v>
      </c>
      <c r="C9" s="142" t="s">
        <v>574</v>
      </c>
    </row>
    <row r="10" spans="2:3" ht="19.5" customHeight="1">
      <c r="B10" s="206">
        <v>6</v>
      </c>
      <c r="C10" s="142" t="s">
        <v>555</v>
      </c>
    </row>
    <row r="11" spans="2:3" ht="19.5" customHeight="1">
      <c r="B11" s="206">
        <v>7</v>
      </c>
      <c r="C11" s="142" t="s">
        <v>657</v>
      </c>
    </row>
    <row r="12" spans="2:3" ht="19.5" customHeight="1">
      <c r="B12" s="206">
        <v>8</v>
      </c>
      <c r="C12" s="142" t="s">
        <v>26</v>
      </c>
    </row>
    <row r="13" spans="2:3" ht="19.5" customHeight="1">
      <c r="B13" s="206">
        <v>9</v>
      </c>
      <c r="C13" s="142" t="s">
        <v>651</v>
      </c>
    </row>
    <row r="14" spans="2:3" ht="19.5" customHeight="1">
      <c r="B14" s="206">
        <v>10</v>
      </c>
      <c r="C14" s="142" t="s">
        <v>659</v>
      </c>
    </row>
    <row r="15" spans="2:3" ht="19.5" customHeight="1">
      <c r="B15" s="206">
        <v>11</v>
      </c>
      <c r="C15" s="142" t="s">
        <v>660</v>
      </c>
    </row>
    <row r="16" spans="2:3" ht="19.5" customHeight="1">
      <c r="B16" s="206">
        <v>12</v>
      </c>
      <c r="C16" s="142" t="s">
        <v>29</v>
      </c>
    </row>
    <row r="17" spans="2:3" ht="19.5" customHeight="1">
      <c r="B17" s="206">
        <v>13</v>
      </c>
      <c r="C17" s="142" t="s">
        <v>556</v>
      </c>
    </row>
    <row r="18" spans="2:3" ht="19.5" customHeight="1">
      <c r="B18" s="206">
        <v>14</v>
      </c>
      <c r="C18" s="142" t="s">
        <v>661</v>
      </c>
    </row>
  </sheetData>
  <sheetProtection sheet="1" objects="1" scenarios="1"/>
  <hyperlinks>
    <hyperlink ref="C6" location="'基本情報入力（使い方）'!A1" display="基本情報入力（使い方）"/>
    <hyperlink ref="C7" location="経費明細表!A1" display="経費明細表"/>
    <hyperlink ref="C8" location="日本標準産業分類!A1" display="日本標準産業分類"/>
    <hyperlink ref="C9" location="'機械装置費（50万円以上）'!A1" display="機械装置費（50万円以上）"/>
    <hyperlink ref="C10" location="'機械装置費（50万円未満）'!A1" display="機械装置費（50万円未満）"/>
    <hyperlink ref="C11" location="原材料費!A1" display="原材料費"/>
    <hyperlink ref="C12" location="技術導入費!A1" display="技術導入費"/>
    <hyperlink ref="C13" location="外注加工費!A1" display="外注加工費（小規模型のみ）"/>
    <hyperlink ref="C14" location="委託費!A1" display="委託費"/>
    <hyperlink ref="C15" location="知的財産権等関連経費!A1" display="知的財産権等関連経費"/>
    <hyperlink ref="C16" location="運搬費!A1" display="運搬費"/>
    <hyperlink ref="C17" location="専門家経費!A1" display="専門家経費"/>
    <hyperlink ref="C18" location="クラウド利用費!A1" display="クラウド利用費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6">
    <tabColor rgb="FF92D050"/>
    <pageSetUpPr fitToPage="1"/>
  </sheetPr>
  <dimension ref="A1:S38"/>
  <sheetViews>
    <sheetView showGridLines="0" zoomScaleSheetLayoutView="80" workbookViewId="0" topLeftCell="A1">
      <pane ySplit="3" topLeftCell="A4" activePane="bottomLeft" state="frozen"/>
      <selection pane="topLeft" activeCell="I12" sqref="I12"/>
      <selection pane="bottomLeft" activeCell="A1" sqref="A1"/>
    </sheetView>
  </sheetViews>
  <sheetFormatPr defaultColWidth="9.140625" defaultRowHeight="15"/>
  <cols>
    <col min="1" max="4" width="3.7109375" style="1" customWidth="1"/>
    <col min="5" max="5" width="16.421875" style="85" customWidth="1"/>
    <col min="6" max="6" width="16.140625" style="80" customWidth="1"/>
    <col min="7" max="7" width="9.140625" style="1" customWidth="1"/>
    <col min="8" max="8" width="6.421875" style="1" customWidth="1"/>
    <col min="9" max="9" width="11.57421875" style="1" customWidth="1"/>
    <col min="10" max="10" width="11.57421875" style="101" customWidth="1"/>
    <col min="11" max="14" width="15.140625" style="1" customWidth="1"/>
    <col min="15" max="15" width="3.8515625" style="5" customWidth="1"/>
    <col min="16" max="16" width="5.28125" style="5" customWidth="1"/>
    <col min="17" max="16384" width="9.00390625" style="1" customWidth="1"/>
  </cols>
  <sheetData>
    <row r="1" spans="1:19" ht="13.5">
      <c r="A1" s="5"/>
      <c r="H1" s="5"/>
      <c r="J1" s="1"/>
      <c r="Q1" s="5"/>
      <c r="R1" s="86"/>
      <c r="S1" s="86"/>
    </row>
    <row r="2" spans="1:19" ht="13.5">
      <c r="A2" s="5"/>
      <c r="B2" s="246" t="s">
        <v>583</v>
      </c>
      <c r="H2" s="5"/>
      <c r="J2" s="1"/>
      <c r="Q2" s="5"/>
      <c r="R2" s="86"/>
      <c r="S2" s="86"/>
    </row>
    <row r="3" spans="1:19" ht="13.5">
      <c r="A3" s="5"/>
      <c r="H3" s="5"/>
      <c r="J3" s="1"/>
      <c r="Q3" s="5"/>
      <c r="R3" s="86"/>
      <c r="S3" s="86"/>
    </row>
    <row r="4" spans="1:6" ht="13.5" customHeight="1">
      <c r="A4" s="590" t="s">
        <v>757</v>
      </c>
      <c r="B4" s="590"/>
      <c r="C4" s="590"/>
      <c r="D4" s="590"/>
      <c r="E4" s="590"/>
      <c r="F4" s="5"/>
    </row>
    <row r="5" spans="1:15" ht="13.5" customHeight="1">
      <c r="A5" s="11"/>
      <c r="B5" s="11"/>
      <c r="C5" s="11"/>
      <c r="D5" s="11"/>
      <c r="E5" s="111"/>
      <c r="F5" s="5"/>
      <c r="O5" s="11"/>
    </row>
    <row r="6" spans="1:15" ht="13.5" customHeight="1">
      <c r="A6" s="11"/>
      <c r="B6" s="238" t="s">
        <v>669</v>
      </c>
      <c r="C6" s="239"/>
      <c r="D6" s="240"/>
      <c r="E6" s="241"/>
      <c r="F6" s="88" t="s">
        <v>15</v>
      </c>
      <c r="O6" s="11"/>
    </row>
    <row r="7" spans="1:15" ht="13.5" customHeight="1">
      <c r="A7" s="11"/>
      <c r="B7" s="11"/>
      <c r="C7" s="11"/>
      <c r="D7" s="11"/>
      <c r="E7" s="111"/>
      <c r="F7" s="133" t="s">
        <v>28</v>
      </c>
      <c r="O7" s="11"/>
    </row>
    <row r="8" spans="1:16" ht="13.5" customHeight="1">
      <c r="A8" s="11"/>
      <c r="B8" s="11"/>
      <c r="C8" s="11"/>
      <c r="D8" s="11"/>
      <c r="E8" s="111"/>
      <c r="F8" s="5"/>
      <c r="N8" s="1" t="s">
        <v>19</v>
      </c>
      <c r="O8" s="11"/>
      <c r="P8" s="89"/>
    </row>
    <row r="9" spans="1:15" ht="13.5" customHeight="1">
      <c r="A9" s="90"/>
      <c r="F9" s="5"/>
      <c r="K9" s="2" t="s">
        <v>31</v>
      </c>
      <c r="L9" s="8" t="str">
        <f>IF('基本情報入力（使い方）'!$C$11="","",'基本情報入力（使い方）'!$C$11)</f>
        <v>Ｂ金属株式会社</v>
      </c>
      <c r="O9" s="11"/>
    </row>
    <row r="10" spans="1:15" ht="13.5" customHeight="1" thickBot="1">
      <c r="A10" s="90"/>
      <c r="F10" s="5"/>
      <c r="O10" s="11"/>
    </row>
    <row r="11" spans="1:16" ht="27" customHeight="1">
      <c r="A11" s="591" t="s">
        <v>1</v>
      </c>
      <c r="B11" s="583" t="s">
        <v>2</v>
      </c>
      <c r="C11" s="583"/>
      <c r="D11" s="582"/>
      <c r="E11" s="112" t="s">
        <v>3</v>
      </c>
      <c r="F11" s="3" t="s">
        <v>4</v>
      </c>
      <c r="G11" s="3" t="s">
        <v>5</v>
      </c>
      <c r="H11" s="3" t="s">
        <v>6</v>
      </c>
      <c r="I11" s="3" t="s">
        <v>0</v>
      </c>
      <c r="J11" s="102" t="s">
        <v>0</v>
      </c>
      <c r="K11" s="581" t="s">
        <v>7</v>
      </c>
      <c r="L11" s="582"/>
      <c r="M11" s="581" t="s">
        <v>8</v>
      </c>
      <c r="N11" s="582"/>
      <c r="O11" s="595" t="s">
        <v>1</v>
      </c>
      <c r="P11" s="597" t="s">
        <v>39</v>
      </c>
    </row>
    <row r="12" spans="1:16" ht="42" customHeight="1" thickBot="1">
      <c r="A12" s="592"/>
      <c r="B12" s="92" t="s">
        <v>9</v>
      </c>
      <c r="C12" s="92" t="s">
        <v>10</v>
      </c>
      <c r="D12" s="93" t="s">
        <v>11</v>
      </c>
      <c r="E12" s="113"/>
      <c r="F12" s="95"/>
      <c r="G12" s="81"/>
      <c r="H12" s="81"/>
      <c r="I12" s="81" t="s">
        <v>12</v>
      </c>
      <c r="J12" s="103" t="s">
        <v>24</v>
      </c>
      <c r="K12" s="81" t="s">
        <v>13</v>
      </c>
      <c r="L12" s="4" t="s">
        <v>22</v>
      </c>
      <c r="M12" s="412" t="s">
        <v>744</v>
      </c>
      <c r="N12" s="4" t="s">
        <v>745</v>
      </c>
      <c r="O12" s="596"/>
      <c r="P12" s="598"/>
    </row>
    <row r="13" spans="1:16" ht="30.75" customHeight="1">
      <c r="A13" s="16">
        <v>1</v>
      </c>
      <c r="B13" s="586"/>
      <c r="C13" s="587"/>
      <c r="D13" s="587"/>
      <c r="E13" s="73" t="s">
        <v>609</v>
      </c>
      <c r="F13" s="74" t="s">
        <v>610</v>
      </c>
      <c r="G13" s="169">
        <v>5</v>
      </c>
      <c r="H13" s="162" t="s">
        <v>611</v>
      </c>
      <c r="I13" s="146">
        <f>IF(J13="","",ROUNDDOWN(J13*(1+P13/100),0))</f>
        <v>108000</v>
      </c>
      <c r="J13" s="148">
        <v>100000</v>
      </c>
      <c r="K13" s="146">
        <f>IF(L13="","",ROUNDDOWN(L13*(1+P13/100),0))</f>
        <v>540000</v>
      </c>
      <c r="L13" s="146">
        <f>IF(OR(J13="",G13=""),"",ROUNDDOWN(J13*G13,0))</f>
        <v>500000</v>
      </c>
      <c r="M13" s="147">
        <f aca="true" t="shared" si="0" ref="M13:M32">L13</f>
        <v>500000</v>
      </c>
      <c r="N13" s="160">
        <v>500000</v>
      </c>
      <c r="O13" s="12">
        <v>1</v>
      </c>
      <c r="P13" s="114">
        <v>8</v>
      </c>
    </row>
    <row r="14" spans="1:16" ht="30.75" customHeight="1">
      <c r="A14" s="17">
        <v>2</v>
      </c>
      <c r="B14" s="586"/>
      <c r="C14" s="587"/>
      <c r="D14" s="587"/>
      <c r="E14" s="75"/>
      <c r="F14" s="74"/>
      <c r="G14" s="169"/>
      <c r="H14" s="162"/>
      <c r="I14" s="146">
        <f aca="true" t="shared" si="1" ref="I14:I32">IF(J14="","",ROUNDDOWN(J14*(1+P14/100),0))</f>
      </c>
      <c r="J14" s="148"/>
      <c r="K14" s="146">
        <f aca="true" t="shared" si="2" ref="K14:K32">IF(L14="","",ROUNDDOWN(L14*(1+P14/100),0))</f>
      </c>
      <c r="L14" s="146">
        <f aca="true" t="shared" si="3" ref="L14:L32">IF(OR(J14="",G14=""),"",ROUNDDOWN(J14*G14,0))</f>
      </c>
      <c r="M14" s="147">
        <f t="shared" si="0"/>
      </c>
      <c r="N14" s="160" t="s">
        <v>747</v>
      </c>
      <c r="O14" s="13">
        <v>2</v>
      </c>
      <c r="P14" s="114">
        <v>8</v>
      </c>
    </row>
    <row r="15" spans="1:16" ht="30.75" customHeight="1">
      <c r="A15" s="16">
        <v>3</v>
      </c>
      <c r="B15" s="586"/>
      <c r="C15" s="587"/>
      <c r="D15" s="587"/>
      <c r="E15" s="75"/>
      <c r="F15" s="75"/>
      <c r="G15" s="169"/>
      <c r="H15" s="162"/>
      <c r="I15" s="146">
        <f t="shared" si="1"/>
      </c>
      <c r="J15" s="148"/>
      <c r="K15" s="146">
        <f t="shared" si="2"/>
      </c>
      <c r="L15" s="146">
        <f t="shared" si="3"/>
      </c>
      <c r="M15" s="147">
        <f t="shared" si="0"/>
      </c>
      <c r="N15" s="160" t="s">
        <v>747</v>
      </c>
      <c r="O15" s="12">
        <v>3</v>
      </c>
      <c r="P15" s="114">
        <v>8</v>
      </c>
    </row>
    <row r="16" spans="1:16" s="10" customFormat="1" ht="30.75" customHeight="1">
      <c r="A16" s="17">
        <v>4</v>
      </c>
      <c r="B16" s="586"/>
      <c r="C16" s="587"/>
      <c r="D16" s="587"/>
      <c r="E16" s="75"/>
      <c r="F16" s="75"/>
      <c r="G16" s="169"/>
      <c r="H16" s="162"/>
      <c r="I16" s="146">
        <f t="shared" si="1"/>
      </c>
      <c r="J16" s="148"/>
      <c r="K16" s="146">
        <f t="shared" si="2"/>
      </c>
      <c r="L16" s="146">
        <f t="shared" si="3"/>
      </c>
      <c r="M16" s="147">
        <f t="shared" si="0"/>
      </c>
      <c r="N16" s="160" t="s">
        <v>747</v>
      </c>
      <c r="O16" s="18">
        <v>4</v>
      </c>
      <c r="P16" s="114">
        <v>8</v>
      </c>
    </row>
    <row r="17" spans="1:16" s="10" customFormat="1" ht="30.75" customHeight="1">
      <c r="A17" s="16">
        <v>5</v>
      </c>
      <c r="B17" s="586"/>
      <c r="C17" s="587"/>
      <c r="D17" s="587"/>
      <c r="E17" s="75"/>
      <c r="F17" s="75"/>
      <c r="G17" s="169"/>
      <c r="H17" s="162"/>
      <c r="I17" s="146">
        <f t="shared" si="1"/>
      </c>
      <c r="J17" s="148"/>
      <c r="K17" s="146">
        <f t="shared" si="2"/>
      </c>
      <c r="L17" s="146">
        <f t="shared" si="3"/>
      </c>
      <c r="M17" s="147">
        <f t="shared" si="0"/>
      </c>
      <c r="N17" s="160" t="s">
        <v>747</v>
      </c>
      <c r="O17" s="19">
        <v>5</v>
      </c>
      <c r="P17" s="114">
        <v>8</v>
      </c>
    </row>
    <row r="18" spans="1:16" ht="30.75" customHeight="1">
      <c r="A18" s="17">
        <v>6</v>
      </c>
      <c r="B18" s="586"/>
      <c r="C18" s="587"/>
      <c r="D18" s="587"/>
      <c r="E18" s="75"/>
      <c r="F18" s="75"/>
      <c r="G18" s="169"/>
      <c r="H18" s="162"/>
      <c r="I18" s="146">
        <f t="shared" si="1"/>
      </c>
      <c r="J18" s="148"/>
      <c r="K18" s="146">
        <f t="shared" si="2"/>
      </c>
      <c r="L18" s="146">
        <f t="shared" si="3"/>
      </c>
      <c r="M18" s="147">
        <f t="shared" si="0"/>
      </c>
      <c r="N18" s="160" t="s">
        <v>747</v>
      </c>
      <c r="O18" s="13">
        <v>6</v>
      </c>
      <c r="P18" s="114">
        <v>8</v>
      </c>
    </row>
    <row r="19" spans="1:16" ht="30.75" customHeight="1">
      <c r="A19" s="16">
        <v>7</v>
      </c>
      <c r="B19" s="586"/>
      <c r="C19" s="587"/>
      <c r="D19" s="587"/>
      <c r="E19" s="75"/>
      <c r="F19" s="98"/>
      <c r="G19" s="169"/>
      <c r="H19" s="162"/>
      <c r="I19" s="146">
        <f t="shared" si="1"/>
      </c>
      <c r="J19" s="148"/>
      <c r="K19" s="146">
        <f t="shared" si="2"/>
      </c>
      <c r="L19" s="146">
        <f t="shared" si="3"/>
      </c>
      <c r="M19" s="147">
        <f t="shared" si="0"/>
      </c>
      <c r="N19" s="160" t="s">
        <v>747</v>
      </c>
      <c r="O19" s="12">
        <v>7</v>
      </c>
      <c r="P19" s="114">
        <v>8</v>
      </c>
    </row>
    <row r="20" spans="1:16" ht="30.75" customHeight="1">
      <c r="A20" s="17">
        <v>8</v>
      </c>
      <c r="B20" s="586"/>
      <c r="C20" s="587"/>
      <c r="D20" s="587"/>
      <c r="E20" s="75"/>
      <c r="F20" s="75"/>
      <c r="G20" s="169"/>
      <c r="H20" s="162"/>
      <c r="I20" s="146">
        <f t="shared" si="1"/>
      </c>
      <c r="J20" s="148"/>
      <c r="K20" s="146">
        <f t="shared" si="2"/>
      </c>
      <c r="L20" s="146">
        <f t="shared" si="3"/>
      </c>
      <c r="M20" s="147">
        <f t="shared" si="0"/>
      </c>
      <c r="N20" s="160" t="s">
        <v>747</v>
      </c>
      <c r="O20" s="13">
        <v>8</v>
      </c>
      <c r="P20" s="114">
        <v>8</v>
      </c>
    </row>
    <row r="21" spans="1:16" ht="30.75" customHeight="1">
      <c r="A21" s="16">
        <v>9</v>
      </c>
      <c r="B21" s="586"/>
      <c r="C21" s="587"/>
      <c r="D21" s="587"/>
      <c r="E21" s="75"/>
      <c r="F21" s="75"/>
      <c r="G21" s="169"/>
      <c r="H21" s="162"/>
      <c r="I21" s="146">
        <f t="shared" si="1"/>
      </c>
      <c r="J21" s="148"/>
      <c r="K21" s="146">
        <f t="shared" si="2"/>
      </c>
      <c r="L21" s="146">
        <f t="shared" si="3"/>
      </c>
      <c r="M21" s="147">
        <f t="shared" si="0"/>
      </c>
      <c r="N21" s="160" t="s">
        <v>747</v>
      </c>
      <c r="O21" s="12">
        <v>9</v>
      </c>
      <c r="P21" s="114">
        <v>8</v>
      </c>
    </row>
    <row r="22" spans="1:16" ht="30.75" customHeight="1">
      <c r="A22" s="17">
        <v>10</v>
      </c>
      <c r="B22" s="586"/>
      <c r="C22" s="587"/>
      <c r="D22" s="587"/>
      <c r="E22" s="75"/>
      <c r="F22" s="75"/>
      <c r="G22" s="169"/>
      <c r="H22" s="162"/>
      <c r="I22" s="146">
        <f t="shared" si="1"/>
      </c>
      <c r="J22" s="148"/>
      <c r="K22" s="146">
        <f t="shared" si="2"/>
      </c>
      <c r="L22" s="146">
        <f t="shared" si="3"/>
      </c>
      <c r="M22" s="147">
        <f t="shared" si="0"/>
      </c>
      <c r="N22" s="160" t="s">
        <v>747</v>
      </c>
      <c r="O22" s="13">
        <v>10</v>
      </c>
      <c r="P22" s="114">
        <v>8</v>
      </c>
    </row>
    <row r="23" spans="1:17" ht="30.75" customHeight="1">
      <c r="A23" s="16">
        <v>11</v>
      </c>
      <c r="B23" s="586"/>
      <c r="C23" s="587"/>
      <c r="D23" s="587"/>
      <c r="E23" s="75"/>
      <c r="F23" s="75"/>
      <c r="G23" s="169"/>
      <c r="H23" s="162"/>
      <c r="I23" s="146">
        <f t="shared" si="1"/>
      </c>
      <c r="J23" s="148"/>
      <c r="K23" s="146">
        <f t="shared" si="2"/>
      </c>
      <c r="L23" s="146">
        <f t="shared" si="3"/>
      </c>
      <c r="M23" s="147">
        <f t="shared" si="0"/>
      </c>
      <c r="N23" s="160" t="s">
        <v>747</v>
      </c>
      <c r="O23" s="12">
        <v>11</v>
      </c>
      <c r="P23" s="114">
        <v>8</v>
      </c>
      <c r="Q23" s="86"/>
    </row>
    <row r="24" spans="1:16" ht="30.75" customHeight="1">
      <c r="A24" s="17">
        <v>12</v>
      </c>
      <c r="B24" s="586"/>
      <c r="C24" s="587"/>
      <c r="D24" s="587"/>
      <c r="E24" s="75"/>
      <c r="F24" s="75"/>
      <c r="G24" s="169"/>
      <c r="H24" s="162"/>
      <c r="I24" s="146">
        <f t="shared" si="1"/>
      </c>
      <c r="J24" s="148"/>
      <c r="K24" s="146">
        <f t="shared" si="2"/>
      </c>
      <c r="L24" s="146">
        <f t="shared" si="3"/>
      </c>
      <c r="M24" s="147">
        <f t="shared" si="0"/>
      </c>
      <c r="N24" s="160" t="s">
        <v>747</v>
      </c>
      <c r="O24" s="13">
        <v>12</v>
      </c>
      <c r="P24" s="114">
        <v>8</v>
      </c>
    </row>
    <row r="25" spans="1:16" ht="30.75" customHeight="1">
      <c r="A25" s="16">
        <v>13</v>
      </c>
      <c r="B25" s="586"/>
      <c r="C25" s="587"/>
      <c r="D25" s="587"/>
      <c r="E25" s="75"/>
      <c r="F25" s="75"/>
      <c r="G25" s="169"/>
      <c r="H25" s="162"/>
      <c r="I25" s="146">
        <f t="shared" si="1"/>
      </c>
      <c r="J25" s="148"/>
      <c r="K25" s="146">
        <f t="shared" si="2"/>
      </c>
      <c r="L25" s="146">
        <f t="shared" si="3"/>
      </c>
      <c r="M25" s="147">
        <f t="shared" si="0"/>
      </c>
      <c r="N25" s="160" t="s">
        <v>747</v>
      </c>
      <c r="O25" s="12">
        <v>13</v>
      </c>
      <c r="P25" s="114">
        <v>8</v>
      </c>
    </row>
    <row r="26" spans="1:16" ht="30.75" customHeight="1">
      <c r="A26" s="17">
        <v>14</v>
      </c>
      <c r="B26" s="586"/>
      <c r="C26" s="587"/>
      <c r="D26" s="587"/>
      <c r="E26" s="76"/>
      <c r="F26" s="75"/>
      <c r="G26" s="169"/>
      <c r="H26" s="162"/>
      <c r="I26" s="146">
        <f t="shared" si="1"/>
      </c>
      <c r="J26" s="148"/>
      <c r="K26" s="146">
        <f t="shared" si="2"/>
      </c>
      <c r="L26" s="146">
        <f t="shared" si="3"/>
      </c>
      <c r="M26" s="147">
        <f t="shared" si="0"/>
      </c>
      <c r="N26" s="160" t="s">
        <v>747</v>
      </c>
      <c r="O26" s="13">
        <v>14</v>
      </c>
      <c r="P26" s="114">
        <v>8</v>
      </c>
    </row>
    <row r="27" spans="1:16" ht="30.75" customHeight="1">
      <c r="A27" s="16">
        <v>15</v>
      </c>
      <c r="B27" s="586"/>
      <c r="C27" s="587"/>
      <c r="D27" s="587"/>
      <c r="E27" s="76"/>
      <c r="F27" s="75"/>
      <c r="G27" s="169"/>
      <c r="H27" s="162"/>
      <c r="I27" s="146">
        <f t="shared" si="1"/>
      </c>
      <c r="J27" s="148"/>
      <c r="K27" s="146">
        <f t="shared" si="2"/>
      </c>
      <c r="L27" s="146">
        <f t="shared" si="3"/>
      </c>
      <c r="M27" s="147">
        <f t="shared" si="0"/>
      </c>
      <c r="N27" s="160" t="s">
        <v>747</v>
      </c>
      <c r="O27" s="12">
        <v>15</v>
      </c>
      <c r="P27" s="114">
        <v>8</v>
      </c>
    </row>
    <row r="28" spans="1:16" ht="30.75" customHeight="1">
      <c r="A28" s="17">
        <v>16</v>
      </c>
      <c r="B28" s="586"/>
      <c r="C28" s="587"/>
      <c r="D28" s="587"/>
      <c r="E28" s="75"/>
      <c r="F28" s="75"/>
      <c r="G28" s="169"/>
      <c r="H28" s="162"/>
      <c r="I28" s="146">
        <f t="shared" si="1"/>
      </c>
      <c r="J28" s="148"/>
      <c r="K28" s="146">
        <f t="shared" si="2"/>
      </c>
      <c r="L28" s="146">
        <f t="shared" si="3"/>
      </c>
      <c r="M28" s="147">
        <f t="shared" si="0"/>
      </c>
      <c r="N28" s="160" t="s">
        <v>747</v>
      </c>
      <c r="O28" s="13">
        <v>16</v>
      </c>
      <c r="P28" s="114">
        <v>8</v>
      </c>
    </row>
    <row r="29" spans="1:16" ht="30.75" customHeight="1">
      <c r="A29" s="16">
        <v>17</v>
      </c>
      <c r="B29" s="586"/>
      <c r="C29" s="587"/>
      <c r="D29" s="587"/>
      <c r="E29" s="75"/>
      <c r="F29" s="75"/>
      <c r="G29" s="169"/>
      <c r="H29" s="162"/>
      <c r="I29" s="146">
        <f t="shared" si="1"/>
      </c>
      <c r="J29" s="148"/>
      <c r="K29" s="146">
        <f t="shared" si="2"/>
      </c>
      <c r="L29" s="146">
        <f t="shared" si="3"/>
      </c>
      <c r="M29" s="147">
        <f t="shared" si="0"/>
      </c>
      <c r="N29" s="160" t="s">
        <v>747</v>
      </c>
      <c r="O29" s="12">
        <v>17</v>
      </c>
      <c r="P29" s="114">
        <v>8</v>
      </c>
    </row>
    <row r="30" spans="1:16" ht="30.75" customHeight="1">
      <c r="A30" s="17">
        <v>18</v>
      </c>
      <c r="B30" s="586"/>
      <c r="C30" s="587"/>
      <c r="D30" s="587"/>
      <c r="E30" s="75"/>
      <c r="F30" s="75"/>
      <c r="G30" s="169"/>
      <c r="H30" s="162"/>
      <c r="I30" s="146">
        <f t="shared" si="1"/>
      </c>
      <c r="J30" s="148"/>
      <c r="K30" s="146">
        <f t="shared" si="2"/>
      </c>
      <c r="L30" s="146">
        <f t="shared" si="3"/>
      </c>
      <c r="M30" s="147">
        <f t="shared" si="0"/>
      </c>
      <c r="N30" s="160" t="s">
        <v>747</v>
      </c>
      <c r="O30" s="13">
        <v>18</v>
      </c>
      <c r="P30" s="114">
        <v>8</v>
      </c>
    </row>
    <row r="31" spans="1:16" ht="30.75" customHeight="1">
      <c r="A31" s="16">
        <v>19</v>
      </c>
      <c r="B31" s="586"/>
      <c r="C31" s="587"/>
      <c r="D31" s="587"/>
      <c r="E31" s="76"/>
      <c r="F31" s="75"/>
      <c r="G31" s="169"/>
      <c r="H31" s="162"/>
      <c r="I31" s="146">
        <f t="shared" si="1"/>
      </c>
      <c r="J31" s="148"/>
      <c r="K31" s="146">
        <f t="shared" si="2"/>
      </c>
      <c r="L31" s="146">
        <f t="shared" si="3"/>
      </c>
      <c r="M31" s="147">
        <f t="shared" si="0"/>
      </c>
      <c r="N31" s="160" t="s">
        <v>747</v>
      </c>
      <c r="O31" s="12">
        <v>19</v>
      </c>
      <c r="P31" s="114">
        <v>8</v>
      </c>
    </row>
    <row r="32" spans="1:16" ht="30.75" customHeight="1" thickBot="1">
      <c r="A32" s="27">
        <v>20</v>
      </c>
      <c r="B32" s="593"/>
      <c r="C32" s="594"/>
      <c r="D32" s="594"/>
      <c r="E32" s="79"/>
      <c r="F32" s="79"/>
      <c r="G32" s="172"/>
      <c r="H32" s="164"/>
      <c r="I32" s="149">
        <f t="shared" si="1"/>
      </c>
      <c r="J32" s="150"/>
      <c r="K32" s="149">
        <f t="shared" si="2"/>
      </c>
      <c r="L32" s="149">
        <f t="shared" si="3"/>
      </c>
      <c r="M32" s="151">
        <f t="shared" si="0"/>
      </c>
      <c r="N32" s="161" t="s">
        <v>747</v>
      </c>
      <c r="O32" s="28">
        <v>20</v>
      </c>
      <c r="P32" s="115">
        <v>8</v>
      </c>
    </row>
    <row r="33" spans="1:15" ht="21" customHeight="1" thickBot="1">
      <c r="A33" s="588" t="s">
        <v>14</v>
      </c>
      <c r="B33" s="589"/>
      <c r="C33" s="589"/>
      <c r="D33" s="589"/>
      <c r="E33" s="589"/>
      <c r="F33" s="589"/>
      <c r="G33" s="589"/>
      <c r="H33" s="589"/>
      <c r="I33" s="589"/>
      <c r="J33" s="20"/>
      <c r="K33" s="157">
        <f>SUM(K13:K32)</f>
        <v>540000</v>
      </c>
      <c r="L33" s="157">
        <f>SUM(L13:L32)</f>
        <v>500000</v>
      </c>
      <c r="M33" s="157">
        <f>SUM(M13:M32)</f>
        <v>500000</v>
      </c>
      <c r="N33" s="159">
        <f>SUM(N13:N32)</f>
        <v>500000</v>
      </c>
      <c r="O33" s="14"/>
    </row>
    <row r="34" spans="1:15" ht="13.5" customHeight="1">
      <c r="A34" s="90"/>
      <c r="O34" s="11"/>
    </row>
    <row r="35" spans="2:15" ht="13.5" customHeight="1">
      <c r="B35" s="1" t="s">
        <v>16</v>
      </c>
      <c r="D35" s="90"/>
      <c r="E35" s="80" t="s">
        <v>32</v>
      </c>
      <c r="O35" s="11"/>
    </row>
    <row r="36" spans="1:16" s="80" customFormat="1" ht="13.5" customHeight="1">
      <c r="A36" s="1"/>
      <c r="B36" s="1"/>
      <c r="C36" s="1"/>
      <c r="D36" s="1"/>
      <c r="E36" s="80" t="s">
        <v>33</v>
      </c>
      <c r="G36" s="1"/>
      <c r="H36" s="1"/>
      <c r="I36" s="1"/>
      <c r="J36" s="101"/>
      <c r="K36" s="1"/>
      <c r="L36" s="1"/>
      <c r="M36" s="1"/>
      <c r="N36" s="1"/>
      <c r="O36" s="15"/>
      <c r="P36" s="5"/>
    </row>
    <row r="37" spans="1:16" s="80" customFormat="1" ht="13.5" customHeight="1">
      <c r="A37" s="1"/>
      <c r="B37" s="1" t="s">
        <v>17</v>
      </c>
      <c r="C37" s="1"/>
      <c r="D37" s="1"/>
      <c r="E37" s="80" t="s">
        <v>34</v>
      </c>
      <c r="G37" s="1"/>
      <c r="H37" s="1"/>
      <c r="I37" s="1"/>
      <c r="J37" s="101"/>
      <c r="K37" s="1"/>
      <c r="L37" s="1"/>
      <c r="M37" s="1"/>
      <c r="N37" s="1"/>
      <c r="O37" s="5"/>
      <c r="P37" s="5"/>
    </row>
    <row r="38" spans="1:16" s="80" customFormat="1" ht="13.5" customHeight="1">
      <c r="A38" s="1"/>
      <c r="B38" s="1" t="s">
        <v>18</v>
      </c>
      <c r="C38" s="1"/>
      <c r="D38" s="1"/>
      <c r="E38" s="80" t="s">
        <v>35</v>
      </c>
      <c r="G38" s="1"/>
      <c r="H38" s="1"/>
      <c r="I38" s="1"/>
      <c r="J38" s="101"/>
      <c r="K38" s="1"/>
      <c r="L38" s="1"/>
      <c r="M38" s="1"/>
      <c r="N38" s="1"/>
      <c r="O38" s="5"/>
      <c r="P38" s="5"/>
    </row>
  </sheetData>
  <sheetProtection sheet="1" objects="1" scenarios="1"/>
  <mergeCells count="28">
    <mergeCell ref="A4:E4"/>
    <mergeCell ref="A11:A12"/>
    <mergeCell ref="B11:D11"/>
    <mergeCell ref="K11:L11"/>
    <mergeCell ref="O11:O12"/>
    <mergeCell ref="P11:P12"/>
    <mergeCell ref="M11:N11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31:D31"/>
    <mergeCell ref="B32:D32"/>
    <mergeCell ref="A33:I33"/>
    <mergeCell ref="B25:D25"/>
    <mergeCell ref="B26:D26"/>
    <mergeCell ref="B27:D27"/>
    <mergeCell ref="B28:D28"/>
    <mergeCell ref="B29:D29"/>
    <mergeCell ref="B30:D30"/>
  </mergeCells>
  <dataValidations count="2">
    <dataValidation allowBlank="1" showInputMessage="1" showErrorMessage="1" imeMode="halfAlpha" sqref="I13:N32"/>
    <dataValidation allowBlank="1" showInputMessage="1" showErrorMessage="1" imeMode="hiragana" sqref="L9"/>
  </dataValidations>
  <hyperlinks>
    <hyperlink ref="B2" location="経費明細表!A1" display="戻る"/>
  </hyperlinks>
  <printOptions/>
  <pageMargins left="0.8661417322834646" right="0.7086614173228347" top="0.7480314960629921" bottom="0.7480314960629921" header="0.31496062992125984" footer="0.31496062992125984"/>
  <pageSetup fitToHeight="1" fitToWidth="1" horizontalDpi="600" verticalDpi="600" orientation="portrait" paperSize="9" scale="62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7">
    <tabColor rgb="FF92D050"/>
    <pageSetUpPr fitToPage="1"/>
  </sheetPr>
  <dimension ref="A1:S38"/>
  <sheetViews>
    <sheetView showGridLines="0" zoomScaleSheetLayoutView="80" workbookViewId="0" topLeftCell="A1">
      <pane ySplit="3" topLeftCell="A4" activePane="bottomLeft" state="frozen"/>
      <selection pane="topLeft" activeCell="I12" sqref="I12"/>
      <selection pane="bottomLeft" activeCell="A1" sqref="A1"/>
    </sheetView>
  </sheetViews>
  <sheetFormatPr defaultColWidth="9.140625" defaultRowHeight="15"/>
  <cols>
    <col min="1" max="4" width="3.7109375" style="1" customWidth="1"/>
    <col min="5" max="5" width="16.421875" style="80" customWidth="1"/>
    <col min="6" max="6" width="16.140625" style="80" customWidth="1"/>
    <col min="7" max="7" width="9.140625" style="1" customWidth="1"/>
    <col min="8" max="8" width="6.421875" style="1" customWidth="1"/>
    <col min="9" max="10" width="11.57421875" style="1" customWidth="1"/>
    <col min="11" max="14" width="15.140625" style="1" customWidth="1"/>
    <col min="15" max="15" width="3.8515625" style="5" customWidth="1"/>
    <col min="16" max="16" width="5.28125" style="5" customWidth="1"/>
    <col min="17" max="16384" width="9.00390625" style="1" customWidth="1"/>
  </cols>
  <sheetData>
    <row r="1" spans="1:19" ht="13.5">
      <c r="A1" s="5"/>
      <c r="E1" s="85"/>
      <c r="H1" s="5"/>
      <c r="Q1" s="5"/>
      <c r="R1" s="86"/>
      <c r="S1" s="86"/>
    </row>
    <row r="2" spans="1:19" ht="13.5">
      <c r="A2" s="5"/>
      <c r="B2" s="246" t="s">
        <v>583</v>
      </c>
      <c r="E2" s="85"/>
      <c r="H2" s="5"/>
      <c r="Q2" s="5"/>
      <c r="R2" s="86"/>
      <c r="S2" s="86"/>
    </row>
    <row r="3" spans="1:19" ht="13.5">
      <c r="A3" s="5"/>
      <c r="E3" s="85"/>
      <c r="H3" s="5"/>
      <c r="Q3" s="5"/>
      <c r="R3" s="86"/>
      <c r="S3" s="86"/>
    </row>
    <row r="4" spans="1:6" ht="13.5" customHeight="1">
      <c r="A4" s="590" t="s">
        <v>757</v>
      </c>
      <c r="B4" s="590"/>
      <c r="C4" s="590"/>
      <c r="D4" s="590"/>
      <c r="E4" s="590"/>
      <c r="F4" s="5"/>
    </row>
    <row r="5" spans="1:15" ht="13.5" customHeight="1">
      <c r="A5" s="11"/>
      <c r="B5" s="11"/>
      <c r="C5" s="11"/>
      <c r="D5" s="11"/>
      <c r="E5" s="87"/>
      <c r="F5" s="5"/>
      <c r="O5" s="11"/>
    </row>
    <row r="6" spans="1:15" ht="13.5" customHeight="1">
      <c r="A6" s="11"/>
      <c r="B6" s="238" t="s">
        <v>669</v>
      </c>
      <c r="C6" s="239"/>
      <c r="D6" s="240"/>
      <c r="E6" s="241"/>
      <c r="F6" s="88" t="s">
        <v>15</v>
      </c>
      <c r="O6" s="11"/>
    </row>
    <row r="7" spans="1:15" ht="13.5" customHeight="1">
      <c r="A7" s="11"/>
      <c r="B7" s="11"/>
      <c r="C7" s="11"/>
      <c r="D7" s="11"/>
      <c r="E7" s="87"/>
      <c r="F7" s="133" t="s">
        <v>27</v>
      </c>
      <c r="O7" s="87"/>
    </row>
    <row r="8" spans="1:16" ht="13.5" customHeight="1">
      <c r="A8" s="11"/>
      <c r="B8" s="11"/>
      <c r="C8" s="11"/>
      <c r="D8" s="11"/>
      <c r="E8" s="87"/>
      <c r="F8" s="5"/>
      <c r="N8" s="1" t="s">
        <v>19</v>
      </c>
      <c r="O8" s="11"/>
      <c r="P8" s="89"/>
    </row>
    <row r="9" spans="1:15" ht="13.5" customHeight="1">
      <c r="A9" s="90"/>
      <c r="F9" s="5"/>
      <c r="K9" s="2" t="s">
        <v>526</v>
      </c>
      <c r="L9" s="80" t="str">
        <f>IF('基本情報入力（使い方）'!$C$11="","",'基本情報入力（使い方）'!$C$11)</f>
        <v>Ｂ金属株式会社</v>
      </c>
      <c r="M9" s="59"/>
      <c r="N9" s="59"/>
      <c r="O9" s="11"/>
    </row>
    <row r="10" spans="1:15" ht="13.5" customHeight="1" thickBot="1">
      <c r="A10" s="90"/>
      <c r="F10" s="5"/>
      <c r="O10" s="11"/>
    </row>
    <row r="11" spans="1:16" ht="27" customHeight="1">
      <c r="A11" s="591" t="s">
        <v>1</v>
      </c>
      <c r="B11" s="583" t="s">
        <v>2</v>
      </c>
      <c r="C11" s="583"/>
      <c r="D11" s="582"/>
      <c r="E11" s="3" t="s">
        <v>3</v>
      </c>
      <c r="F11" s="3" t="s">
        <v>4</v>
      </c>
      <c r="G11" s="3" t="s">
        <v>5</v>
      </c>
      <c r="H11" s="3" t="s">
        <v>6</v>
      </c>
      <c r="I11" s="3" t="s">
        <v>0</v>
      </c>
      <c r="J11" s="3" t="s">
        <v>0</v>
      </c>
      <c r="K11" s="581" t="s">
        <v>7</v>
      </c>
      <c r="L11" s="582"/>
      <c r="M11" s="581" t="s">
        <v>8</v>
      </c>
      <c r="N11" s="582"/>
      <c r="O11" s="595" t="s">
        <v>1</v>
      </c>
      <c r="P11" s="597" t="s">
        <v>39</v>
      </c>
    </row>
    <row r="12" spans="1:16" ht="42" customHeight="1" thickBot="1">
      <c r="A12" s="592"/>
      <c r="B12" s="92" t="s">
        <v>9</v>
      </c>
      <c r="C12" s="92" t="s">
        <v>10</v>
      </c>
      <c r="D12" s="93" t="s">
        <v>11</v>
      </c>
      <c r="E12" s="94"/>
      <c r="F12" s="95"/>
      <c r="G12" s="81"/>
      <c r="H12" s="81"/>
      <c r="I12" s="81" t="s">
        <v>12</v>
      </c>
      <c r="J12" s="81" t="s">
        <v>24</v>
      </c>
      <c r="K12" s="81" t="s">
        <v>13</v>
      </c>
      <c r="L12" s="4" t="s">
        <v>22</v>
      </c>
      <c r="M12" s="412" t="s">
        <v>744</v>
      </c>
      <c r="N12" s="4" t="s">
        <v>745</v>
      </c>
      <c r="O12" s="596"/>
      <c r="P12" s="598"/>
    </row>
    <row r="13" spans="1:16" ht="30.75" customHeight="1">
      <c r="A13" s="16">
        <v>1</v>
      </c>
      <c r="B13" s="599"/>
      <c r="C13" s="600"/>
      <c r="D13" s="600"/>
      <c r="E13" s="96" t="s">
        <v>612</v>
      </c>
      <c r="F13" s="74" t="s">
        <v>613</v>
      </c>
      <c r="G13" s="169">
        <v>2</v>
      </c>
      <c r="H13" s="162" t="s">
        <v>611</v>
      </c>
      <c r="I13" s="146">
        <f>IF(J13="","",ROUNDDOWN(J13*(1+P13/100),0))</f>
        <v>583200</v>
      </c>
      <c r="J13" s="148">
        <v>540000</v>
      </c>
      <c r="K13" s="146">
        <f>IF(L13="","",ROUNDDOWN(L13*(1+P13/100),0))</f>
        <v>1166400</v>
      </c>
      <c r="L13" s="146">
        <f>IF(OR(J13="",G13=""),"",ROUNDDOWN(J13*G13,0))</f>
        <v>1080000</v>
      </c>
      <c r="M13" s="155">
        <f aca="true" t="shared" si="0" ref="M13:M32">L13</f>
        <v>1080000</v>
      </c>
      <c r="N13" s="413">
        <v>1080000</v>
      </c>
      <c r="O13" s="106">
        <v>1</v>
      </c>
      <c r="P13" s="107">
        <v>8</v>
      </c>
    </row>
    <row r="14" spans="1:16" ht="30.75" customHeight="1">
      <c r="A14" s="17">
        <v>2</v>
      </c>
      <c r="B14" s="586"/>
      <c r="C14" s="587"/>
      <c r="D14" s="587"/>
      <c r="E14" s="97"/>
      <c r="F14" s="75"/>
      <c r="G14" s="169"/>
      <c r="H14" s="162"/>
      <c r="I14" s="146">
        <f aca="true" t="shared" si="1" ref="I14:I32">IF(J14="","",ROUNDDOWN(J14*(1+P14/100),0))</f>
      </c>
      <c r="J14" s="148"/>
      <c r="K14" s="146">
        <f aca="true" t="shared" si="2" ref="K14:K32">IF(L14="","",ROUNDDOWN(L14*(1+P14/100),0))</f>
      </c>
      <c r="L14" s="146">
        <f aca="true" t="shared" si="3" ref="L14:L32">IF(OR(J14="",G14=""),"",ROUNDDOWN(J14*G14,0))</f>
      </c>
      <c r="M14" s="155">
        <f t="shared" si="0"/>
      </c>
      <c r="N14" s="413" t="s">
        <v>747</v>
      </c>
      <c r="O14" s="108">
        <v>2</v>
      </c>
      <c r="P14" s="107">
        <v>8</v>
      </c>
    </row>
    <row r="15" spans="1:16" ht="30.75" customHeight="1">
      <c r="A15" s="17">
        <v>3</v>
      </c>
      <c r="B15" s="586"/>
      <c r="C15" s="587"/>
      <c r="D15" s="587"/>
      <c r="E15" s="97"/>
      <c r="F15" s="75"/>
      <c r="G15" s="169"/>
      <c r="H15" s="162"/>
      <c r="I15" s="146">
        <f t="shared" si="1"/>
      </c>
      <c r="J15" s="148"/>
      <c r="K15" s="146">
        <f t="shared" si="2"/>
      </c>
      <c r="L15" s="146">
        <f t="shared" si="3"/>
      </c>
      <c r="M15" s="155">
        <f t="shared" si="0"/>
      </c>
      <c r="N15" s="413" t="s">
        <v>747</v>
      </c>
      <c r="O15" s="106">
        <v>3</v>
      </c>
      <c r="P15" s="107">
        <v>8</v>
      </c>
    </row>
    <row r="16" spans="1:16" ht="30.75" customHeight="1">
      <c r="A16" s="17">
        <v>4</v>
      </c>
      <c r="B16" s="586"/>
      <c r="C16" s="587"/>
      <c r="D16" s="587"/>
      <c r="E16" s="97"/>
      <c r="F16" s="75"/>
      <c r="G16" s="169"/>
      <c r="H16" s="162"/>
      <c r="I16" s="146">
        <f t="shared" si="1"/>
      </c>
      <c r="J16" s="148"/>
      <c r="K16" s="146">
        <f t="shared" si="2"/>
      </c>
      <c r="L16" s="146">
        <f t="shared" si="3"/>
      </c>
      <c r="M16" s="155">
        <f t="shared" si="0"/>
      </c>
      <c r="N16" s="413" t="s">
        <v>747</v>
      </c>
      <c r="O16" s="108">
        <v>4</v>
      </c>
      <c r="P16" s="107">
        <v>8</v>
      </c>
    </row>
    <row r="17" spans="1:16" ht="30.75" customHeight="1">
      <c r="A17" s="17">
        <v>5</v>
      </c>
      <c r="B17" s="586"/>
      <c r="C17" s="587"/>
      <c r="D17" s="587"/>
      <c r="E17" s="97"/>
      <c r="F17" s="75"/>
      <c r="G17" s="169"/>
      <c r="H17" s="162"/>
      <c r="I17" s="146">
        <f t="shared" si="1"/>
      </c>
      <c r="J17" s="148"/>
      <c r="K17" s="146">
        <f t="shared" si="2"/>
      </c>
      <c r="L17" s="146">
        <f t="shared" si="3"/>
      </c>
      <c r="M17" s="155">
        <f t="shared" si="0"/>
      </c>
      <c r="N17" s="413" t="s">
        <v>747</v>
      </c>
      <c r="O17" s="106">
        <v>5</v>
      </c>
      <c r="P17" s="107">
        <v>8</v>
      </c>
    </row>
    <row r="18" spans="1:16" ht="30.75" customHeight="1">
      <c r="A18" s="17">
        <v>6</v>
      </c>
      <c r="B18" s="586"/>
      <c r="C18" s="587"/>
      <c r="D18" s="587"/>
      <c r="E18" s="97"/>
      <c r="F18" s="75"/>
      <c r="G18" s="169"/>
      <c r="H18" s="162"/>
      <c r="I18" s="146">
        <f t="shared" si="1"/>
      </c>
      <c r="J18" s="148"/>
      <c r="K18" s="146">
        <f t="shared" si="2"/>
      </c>
      <c r="L18" s="146">
        <f t="shared" si="3"/>
      </c>
      <c r="M18" s="155">
        <f t="shared" si="0"/>
      </c>
      <c r="N18" s="413" t="s">
        <v>747</v>
      </c>
      <c r="O18" s="108">
        <v>6</v>
      </c>
      <c r="P18" s="107">
        <v>8</v>
      </c>
    </row>
    <row r="19" spans="1:16" ht="30.75" customHeight="1">
      <c r="A19" s="17">
        <v>7</v>
      </c>
      <c r="B19" s="586"/>
      <c r="C19" s="587"/>
      <c r="D19" s="587"/>
      <c r="E19" s="97"/>
      <c r="F19" s="98"/>
      <c r="G19" s="169"/>
      <c r="H19" s="162"/>
      <c r="I19" s="146">
        <f t="shared" si="1"/>
      </c>
      <c r="J19" s="148"/>
      <c r="K19" s="146">
        <f t="shared" si="2"/>
      </c>
      <c r="L19" s="146">
        <f t="shared" si="3"/>
      </c>
      <c r="M19" s="155">
        <f t="shared" si="0"/>
      </c>
      <c r="N19" s="413" t="s">
        <v>747</v>
      </c>
      <c r="O19" s="106">
        <v>7</v>
      </c>
      <c r="P19" s="107">
        <v>8</v>
      </c>
    </row>
    <row r="20" spans="1:16" ht="30.75" customHeight="1">
      <c r="A20" s="17">
        <v>8</v>
      </c>
      <c r="B20" s="586"/>
      <c r="C20" s="587"/>
      <c r="D20" s="587"/>
      <c r="E20" s="97"/>
      <c r="F20" s="75"/>
      <c r="G20" s="169"/>
      <c r="H20" s="162"/>
      <c r="I20" s="146">
        <f t="shared" si="1"/>
      </c>
      <c r="J20" s="148"/>
      <c r="K20" s="146">
        <f t="shared" si="2"/>
      </c>
      <c r="L20" s="146">
        <f t="shared" si="3"/>
      </c>
      <c r="M20" s="155">
        <f t="shared" si="0"/>
      </c>
      <c r="N20" s="413" t="s">
        <v>747</v>
      </c>
      <c r="O20" s="108">
        <v>8</v>
      </c>
      <c r="P20" s="107">
        <v>8</v>
      </c>
    </row>
    <row r="21" spans="1:16" ht="30.75" customHeight="1">
      <c r="A21" s="17">
        <v>9</v>
      </c>
      <c r="B21" s="586"/>
      <c r="C21" s="587"/>
      <c r="D21" s="587"/>
      <c r="E21" s="97"/>
      <c r="F21" s="75"/>
      <c r="G21" s="169"/>
      <c r="H21" s="162"/>
      <c r="I21" s="146">
        <f t="shared" si="1"/>
      </c>
      <c r="J21" s="148"/>
      <c r="K21" s="146">
        <f t="shared" si="2"/>
      </c>
      <c r="L21" s="146">
        <f t="shared" si="3"/>
      </c>
      <c r="M21" s="155">
        <f t="shared" si="0"/>
      </c>
      <c r="N21" s="413" t="s">
        <v>747</v>
      </c>
      <c r="O21" s="106">
        <v>9</v>
      </c>
      <c r="P21" s="107">
        <v>8</v>
      </c>
    </row>
    <row r="22" spans="1:16" ht="30.75" customHeight="1">
      <c r="A22" s="17">
        <v>10</v>
      </c>
      <c r="B22" s="586"/>
      <c r="C22" s="587"/>
      <c r="D22" s="587"/>
      <c r="E22" s="97"/>
      <c r="F22" s="75"/>
      <c r="G22" s="169"/>
      <c r="H22" s="162"/>
      <c r="I22" s="146">
        <f t="shared" si="1"/>
      </c>
      <c r="J22" s="148"/>
      <c r="K22" s="146">
        <f t="shared" si="2"/>
      </c>
      <c r="L22" s="146">
        <f t="shared" si="3"/>
      </c>
      <c r="M22" s="155">
        <f t="shared" si="0"/>
      </c>
      <c r="N22" s="413" t="s">
        <v>747</v>
      </c>
      <c r="O22" s="108">
        <v>10</v>
      </c>
      <c r="P22" s="107">
        <v>8</v>
      </c>
    </row>
    <row r="23" spans="1:16" ht="30.75" customHeight="1">
      <c r="A23" s="17">
        <v>11</v>
      </c>
      <c r="B23" s="586"/>
      <c r="C23" s="587"/>
      <c r="D23" s="587"/>
      <c r="E23" s="97"/>
      <c r="F23" s="75"/>
      <c r="G23" s="169"/>
      <c r="H23" s="162"/>
      <c r="I23" s="146">
        <f t="shared" si="1"/>
      </c>
      <c r="J23" s="148"/>
      <c r="K23" s="146">
        <f t="shared" si="2"/>
      </c>
      <c r="L23" s="146">
        <f t="shared" si="3"/>
      </c>
      <c r="M23" s="155">
        <f t="shared" si="0"/>
      </c>
      <c r="N23" s="413" t="s">
        <v>747</v>
      </c>
      <c r="O23" s="106">
        <v>11</v>
      </c>
      <c r="P23" s="107">
        <v>8</v>
      </c>
    </row>
    <row r="24" spans="1:16" ht="30.75" customHeight="1">
      <c r="A24" s="17">
        <v>12</v>
      </c>
      <c r="B24" s="586"/>
      <c r="C24" s="587"/>
      <c r="D24" s="587"/>
      <c r="E24" s="97"/>
      <c r="F24" s="75"/>
      <c r="G24" s="169"/>
      <c r="H24" s="162"/>
      <c r="I24" s="146">
        <f t="shared" si="1"/>
      </c>
      <c r="J24" s="148"/>
      <c r="K24" s="146">
        <f t="shared" si="2"/>
      </c>
      <c r="L24" s="146">
        <f t="shared" si="3"/>
      </c>
      <c r="M24" s="155">
        <f t="shared" si="0"/>
      </c>
      <c r="N24" s="413" t="s">
        <v>747</v>
      </c>
      <c r="O24" s="108">
        <v>12</v>
      </c>
      <c r="P24" s="107">
        <v>8</v>
      </c>
    </row>
    <row r="25" spans="1:16" ht="30.75" customHeight="1">
      <c r="A25" s="17">
        <v>13</v>
      </c>
      <c r="B25" s="586"/>
      <c r="C25" s="587"/>
      <c r="D25" s="587"/>
      <c r="E25" s="97"/>
      <c r="F25" s="75"/>
      <c r="G25" s="169"/>
      <c r="H25" s="162"/>
      <c r="I25" s="146">
        <f t="shared" si="1"/>
      </c>
      <c r="J25" s="148"/>
      <c r="K25" s="146">
        <f t="shared" si="2"/>
      </c>
      <c r="L25" s="146">
        <f t="shared" si="3"/>
      </c>
      <c r="M25" s="155">
        <f t="shared" si="0"/>
      </c>
      <c r="N25" s="413" t="s">
        <v>747</v>
      </c>
      <c r="O25" s="106">
        <v>13</v>
      </c>
      <c r="P25" s="107">
        <v>8</v>
      </c>
    </row>
    <row r="26" spans="1:16" ht="30.75" customHeight="1">
      <c r="A26" s="17">
        <v>14</v>
      </c>
      <c r="B26" s="586"/>
      <c r="C26" s="587"/>
      <c r="D26" s="587"/>
      <c r="E26" s="99"/>
      <c r="F26" s="75"/>
      <c r="G26" s="169"/>
      <c r="H26" s="162"/>
      <c r="I26" s="146">
        <f t="shared" si="1"/>
      </c>
      <c r="J26" s="148"/>
      <c r="K26" s="146">
        <f t="shared" si="2"/>
      </c>
      <c r="L26" s="146">
        <f t="shared" si="3"/>
      </c>
      <c r="M26" s="155">
        <f t="shared" si="0"/>
      </c>
      <c r="N26" s="413" t="s">
        <v>747</v>
      </c>
      <c r="O26" s="108">
        <v>14</v>
      </c>
      <c r="P26" s="107">
        <v>8</v>
      </c>
    </row>
    <row r="27" spans="1:16" ht="30.75" customHeight="1">
      <c r="A27" s="17">
        <v>15</v>
      </c>
      <c r="B27" s="586"/>
      <c r="C27" s="587"/>
      <c r="D27" s="587"/>
      <c r="E27" s="99"/>
      <c r="F27" s="75"/>
      <c r="G27" s="169"/>
      <c r="H27" s="162"/>
      <c r="I27" s="146">
        <f t="shared" si="1"/>
      </c>
      <c r="J27" s="148"/>
      <c r="K27" s="146">
        <f t="shared" si="2"/>
      </c>
      <c r="L27" s="146">
        <f t="shared" si="3"/>
      </c>
      <c r="M27" s="155">
        <f t="shared" si="0"/>
      </c>
      <c r="N27" s="413" t="s">
        <v>747</v>
      </c>
      <c r="O27" s="106">
        <v>15</v>
      </c>
      <c r="P27" s="107">
        <v>8</v>
      </c>
    </row>
    <row r="28" spans="1:16" ht="30.75" customHeight="1">
      <c r="A28" s="17">
        <v>16</v>
      </c>
      <c r="B28" s="586"/>
      <c r="C28" s="587"/>
      <c r="D28" s="587"/>
      <c r="E28" s="97"/>
      <c r="F28" s="75"/>
      <c r="G28" s="169"/>
      <c r="H28" s="162"/>
      <c r="I28" s="146">
        <f t="shared" si="1"/>
      </c>
      <c r="J28" s="148"/>
      <c r="K28" s="146">
        <f t="shared" si="2"/>
      </c>
      <c r="L28" s="146">
        <f t="shared" si="3"/>
      </c>
      <c r="M28" s="155">
        <f t="shared" si="0"/>
      </c>
      <c r="N28" s="413" t="s">
        <v>747</v>
      </c>
      <c r="O28" s="108">
        <v>16</v>
      </c>
      <c r="P28" s="107">
        <v>8</v>
      </c>
    </row>
    <row r="29" spans="1:16" ht="30.75" customHeight="1">
      <c r="A29" s="17">
        <v>17</v>
      </c>
      <c r="B29" s="586"/>
      <c r="C29" s="587"/>
      <c r="D29" s="587"/>
      <c r="E29" s="97"/>
      <c r="F29" s="75"/>
      <c r="G29" s="169"/>
      <c r="H29" s="162"/>
      <c r="I29" s="146">
        <f t="shared" si="1"/>
      </c>
      <c r="J29" s="148"/>
      <c r="K29" s="146">
        <f t="shared" si="2"/>
      </c>
      <c r="L29" s="146">
        <f t="shared" si="3"/>
      </c>
      <c r="M29" s="155">
        <f t="shared" si="0"/>
      </c>
      <c r="N29" s="413" t="s">
        <v>747</v>
      </c>
      <c r="O29" s="106">
        <v>17</v>
      </c>
      <c r="P29" s="107">
        <v>8</v>
      </c>
    </row>
    <row r="30" spans="1:16" ht="30.75" customHeight="1">
      <c r="A30" s="17">
        <v>18</v>
      </c>
      <c r="B30" s="586"/>
      <c r="C30" s="587"/>
      <c r="D30" s="587"/>
      <c r="E30" s="97"/>
      <c r="F30" s="75"/>
      <c r="G30" s="169"/>
      <c r="H30" s="162"/>
      <c r="I30" s="146">
        <f t="shared" si="1"/>
      </c>
      <c r="J30" s="148"/>
      <c r="K30" s="146">
        <f t="shared" si="2"/>
      </c>
      <c r="L30" s="146">
        <f t="shared" si="3"/>
      </c>
      <c r="M30" s="155">
        <f t="shared" si="0"/>
      </c>
      <c r="N30" s="413" t="s">
        <v>747</v>
      </c>
      <c r="O30" s="108">
        <v>18</v>
      </c>
      <c r="P30" s="107">
        <v>8</v>
      </c>
    </row>
    <row r="31" spans="1:16" ht="30.75" customHeight="1">
      <c r="A31" s="17">
        <v>19</v>
      </c>
      <c r="B31" s="586"/>
      <c r="C31" s="587"/>
      <c r="D31" s="587"/>
      <c r="E31" s="99"/>
      <c r="F31" s="75"/>
      <c r="G31" s="169"/>
      <c r="H31" s="162"/>
      <c r="I31" s="146">
        <f t="shared" si="1"/>
      </c>
      <c r="J31" s="148"/>
      <c r="K31" s="146">
        <f t="shared" si="2"/>
      </c>
      <c r="L31" s="146">
        <f t="shared" si="3"/>
      </c>
      <c r="M31" s="155">
        <f t="shared" si="0"/>
      </c>
      <c r="N31" s="413" t="s">
        <v>747</v>
      </c>
      <c r="O31" s="106">
        <v>19</v>
      </c>
      <c r="P31" s="107">
        <v>8</v>
      </c>
    </row>
    <row r="32" spans="1:16" ht="30.75" customHeight="1" thickBot="1">
      <c r="A32" s="27">
        <v>20</v>
      </c>
      <c r="B32" s="593"/>
      <c r="C32" s="594"/>
      <c r="D32" s="594"/>
      <c r="E32" s="100"/>
      <c r="F32" s="79"/>
      <c r="G32" s="172"/>
      <c r="H32" s="164"/>
      <c r="I32" s="149">
        <f t="shared" si="1"/>
      </c>
      <c r="J32" s="150"/>
      <c r="K32" s="149">
        <f t="shared" si="2"/>
      </c>
      <c r="L32" s="149">
        <f t="shared" si="3"/>
      </c>
      <c r="M32" s="156">
        <f t="shared" si="0"/>
      </c>
      <c r="N32" s="414" t="s">
        <v>747</v>
      </c>
      <c r="O32" s="109">
        <v>20</v>
      </c>
      <c r="P32" s="110">
        <v>8</v>
      </c>
    </row>
    <row r="33" spans="1:15" ht="21" customHeight="1" thickBot="1">
      <c r="A33" s="603" t="s">
        <v>14</v>
      </c>
      <c r="B33" s="604"/>
      <c r="C33" s="604"/>
      <c r="D33" s="604"/>
      <c r="E33" s="604"/>
      <c r="F33" s="604"/>
      <c r="G33" s="604"/>
      <c r="H33" s="604"/>
      <c r="I33" s="604"/>
      <c r="J33" s="82"/>
      <c r="K33" s="145">
        <f>SUM(K13:K32)</f>
        <v>1166400</v>
      </c>
      <c r="L33" s="145">
        <f>SUM(L13:L32)</f>
        <v>1080000</v>
      </c>
      <c r="M33" s="157">
        <f>SUM(M13:M32)</f>
        <v>1080000</v>
      </c>
      <c r="N33" s="159">
        <f>SUM(N13:N32)</f>
        <v>1080000</v>
      </c>
      <c r="O33" s="14"/>
    </row>
    <row r="34" spans="1:15" ht="13.5" customHeight="1">
      <c r="A34" s="90"/>
      <c r="O34" s="11"/>
    </row>
    <row r="35" spans="1:15" ht="13.5" customHeight="1">
      <c r="A35" s="90"/>
      <c r="B35" s="1" t="s">
        <v>16</v>
      </c>
      <c r="D35" s="90"/>
      <c r="E35" s="80" t="s">
        <v>32</v>
      </c>
      <c r="O35" s="11"/>
    </row>
    <row r="36" ht="13.5" customHeight="1">
      <c r="E36" s="80" t="s">
        <v>33</v>
      </c>
    </row>
    <row r="37" spans="2:5" ht="13.5" customHeight="1">
      <c r="B37" s="1" t="s">
        <v>17</v>
      </c>
      <c r="E37" s="80" t="s">
        <v>34</v>
      </c>
    </row>
    <row r="38" spans="2:5" ht="13.5" customHeight="1">
      <c r="B38" s="1" t="s">
        <v>18</v>
      </c>
      <c r="E38" s="80" t="s">
        <v>35</v>
      </c>
    </row>
  </sheetData>
  <sheetProtection sheet="1" objects="1" scenarios="1"/>
  <mergeCells count="28">
    <mergeCell ref="A4:E4"/>
    <mergeCell ref="A11:A12"/>
    <mergeCell ref="B11:D11"/>
    <mergeCell ref="K11:L11"/>
    <mergeCell ref="O11:O12"/>
    <mergeCell ref="P11:P12"/>
    <mergeCell ref="M11:N11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31:D31"/>
    <mergeCell ref="B32:D32"/>
    <mergeCell ref="A33:I33"/>
    <mergeCell ref="B25:D25"/>
    <mergeCell ref="B26:D26"/>
    <mergeCell ref="B27:D27"/>
    <mergeCell ref="B28:D28"/>
    <mergeCell ref="B29:D29"/>
    <mergeCell ref="B30:D30"/>
  </mergeCells>
  <dataValidations count="1">
    <dataValidation allowBlank="1" showInputMessage="1" showErrorMessage="1" imeMode="halfAlpha" sqref="I13:N32"/>
  </dataValidations>
  <hyperlinks>
    <hyperlink ref="B2" location="経費明細表!A1" display="戻る"/>
  </hyperlinks>
  <printOptions/>
  <pageMargins left="0.8661417322834646" right="0.7086614173228347" top="0.7480314960629921" bottom="0.7480314960629921" header="0.31496062992125984" footer="0.31496062992125984"/>
  <pageSetup fitToHeight="1" fitToWidth="1" horizontalDpi="600" verticalDpi="600" orientation="portrait" paperSize="9" scale="61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8">
    <tabColor rgb="FF92D050"/>
    <pageSetUpPr fitToPage="1"/>
  </sheetPr>
  <dimension ref="A1:S38"/>
  <sheetViews>
    <sheetView showGridLines="0" zoomScaleSheetLayoutView="80" zoomScalePageLayoutView="0" workbookViewId="0" topLeftCell="A1">
      <pane ySplit="3" topLeftCell="A4" activePane="bottomLeft" state="frozen"/>
      <selection pane="topLeft" activeCell="I12" sqref="I12"/>
      <selection pane="bottomLeft" activeCell="A1" sqref="A1"/>
    </sheetView>
  </sheetViews>
  <sheetFormatPr defaultColWidth="9.140625" defaultRowHeight="15"/>
  <cols>
    <col min="1" max="4" width="3.7109375" style="1" customWidth="1"/>
    <col min="5" max="5" width="16.421875" style="80" customWidth="1"/>
    <col min="6" max="6" width="16.140625" style="80" customWidth="1"/>
    <col min="7" max="7" width="9.140625" style="1" customWidth="1"/>
    <col min="8" max="8" width="6.421875" style="1" customWidth="1"/>
    <col min="9" max="10" width="11.57421875" style="1" customWidth="1"/>
    <col min="11" max="14" width="15.140625" style="1" customWidth="1"/>
    <col min="15" max="15" width="3.8515625" style="5" customWidth="1"/>
    <col min="16" max="16" width="5.28125" style="5" customWidth="1"/>
    <col min="17" max="16384" width="9.00390625" style="1" customWidth="1"/>
  </cols>
  <sheetData>
    <row r="1" spans="1:19" ht="13.5">
      <c r="A1" s="5"/>
      <c r="E1" s="85"/>
      <c r="H1" s="5"/>
      <c r="Q1" s="5"/>
      <c r="R1" s="86"/>
      <c r="S1" s="86"/>
    </row>
    <row r="2" spans="1:19" ht="13.5">
      <c r="A2" s="5"/>
      <c r="B2" s="246" t="s">
        <v>583</v>
      </c>
      <c r="E2" s="85"/>
      <c r="H2" s="5"/>
      <c r="Q2" s="5"/>
      <c r="R2" s="86"/>
      <c r="S2" s="86"/>
    </row>
    <row r="3" spans="1:19" ht="13.5">
      <c r="A3" s="5"/>
      <c r="E3" s="85"/>
      <c r="H3" s="5"/>
      <c r="Q3" s="5"/>
      <c r="R3" s="86"/>
      <c r="S3" s="86"/>
    </row>
    <row r="4" spans="1:6" ht="13.5" customHeight="1">
      <c r="A4" s="590" t="s">
        <v>757</v>
      </c>
      <c r="B4" s="590"/>
      <c r="C4" s="590"/>
      <c r="D4" s="590"/>
      <c r="E4" s="590"/>
      <c r="F4" s="5"/>
    </row>
    <row r="5" spans="1:15" ht="13.5" customHeight="1">
      <c r="A5" s="11"/>
      <c r="B5" s="11"/>
      <c r="C5" s="11"/>
      <c r="D5" s="11"/>
      <c r="E5" s="87"/>
      <c r="F5" s="5"/>
      <c r="O5" s="11"/>
    </row>
    <row r="6" spans="1:15" ht="13.5" customHeight="1">
      <c r="A6" s="11"/>
      <c r="B6" s="238" t="s">
        <v>669</v>
      </c>
      <c r="C6" s="239"/>
      <c r="D6" s="240"/>
      <c r="E6" s="241"/>
      <c r="F6" s="88" t="s">
        <v>15</v>
      </c>
      <c r="O6" s="11"/>
    </row>
    <row r="7" spans="1:15" ht="13.5" customHeight="1">
      <c r="A7" s="11"/>
      <c r="B7" s="11"/>
      <c r="C7" s="11"/>
      <c r="D7" s="11"/>
      <c r="E7" s="87"/>
      <c r="F7" s="133" t="s">
        <v>48</v>
      </c>
      <c r="O7" s="11"/>
    </row>
    <row r="8" spans="1:16" ht="13.5" customHeight="1">
      <c r="A8" s="11"/>
      <c r="B8" s="11"/>
      <c r="C8" s="11"/>
      <c r="D8" s="11"/>
      <c r="E8" s="87"/>
      <c r="F8" s="5"/>
      <c r="N8" s="1" t="s">
        <v>19</v>
      </c>
      <c r="O8" s="11"/>
      <c r="P8" s="89"/>
    </row>
    <row r="9" spans="1:15" ht="13.5" customHeight="1">
      <c r="A9" s="90"/>
      <c r="F9" s="5"/>
      <c r="K9" s="2" t="s">
        <v>526</v>
      </c>
      <c r="L9" s="80" t="str">
        <f>IF('基本情報入力（使い方）'!$C$11="","",'基本情報入力（使い方）'!$C$11)</f>
        <v>Ｂ金属株式会社</v>
      </c>
      <c r="M9" s="59"/>
      <c r="N9" s="59"/>
      <c r="O9" s="11"/>
    </row>
    <row r="10" spans="1:15" ht="13.5" customHeight="1" thickBot="1">
      <c r="A10" s="90"/>
      <c r="F10" s="5"/>
      <c r="O10" s="11"/>
    </row>
    <row r="11" spans="1:16" ht="27" customHeight="1">
      <c r="A11" s="591" t="s">
        <v>1</v>
      </c>
      <c r="B11" s="583" t="s">
        <v>2</v>
      </c>
      <c r="C11" s="583"/>
      <c r="D11" s="582"/>
      <c r="E11" s="3" t="s">
        <v>3</v>
      </c>
      <c r="F11" s="3" t="s">
        <v>4</v>
      </c>
      <c r="G11" s="3" t="s">
        <v>5</v>
      </c>
      <c r="H11" s="3" t="s">
        <v>6</v>
      </c>
      <c r="I11" s="3" t="s">
        <v>0</v>
      </c>
      <c r="J11" s="3" t="s">
        <v>0</v>
      </c>
      <c r="K11" s="581" t="s">
        <v>7</v>
      </c>
      <c r="L11" s="582"/>
      <c r="M11" s="581" t="s">
        <v>8</v>
      </c>
      <c r="N11" s="582"/>
      <c r="O11" s="595" t="s">
        <v>1</v>
      </c>
      <c r="P11" s="597" t="s">
        <v>39</v>
      </c>
    </row>
    <row r="12" spans="1:16" ht="42" customHeight="1" thickBot="1">
      <c r="A12" s="592"/>
      <c r="B12" s="92" t="s">
        <v>9</v>
      </c>
      <c r="C12" s="92" t="s">
        <v>10</v>
      </c>
      <c r="D12" s="93" t="s">
        <v>11</v>
      </c>
      <c r="E12" s="94"/>
      <c r="F12" s="95"/>
      <c r="G12" s="81"/>
      <c r="H12" s="81"/>
      <c r="I12" s="81" t="s">
        <v>12</v>
      </c>
      <c r="J12" s="81" t="s">
        <v>24</v>
      </c>
      <c r="K12" s="81" t="s">
        <v>13</v>
      </c>
      <c r="L12" s="4" t="s">
        <v>22</v>
      </c>
      <c r="M12" s="412" t="s">
        <v>744</v>
      </c>
      <c r="N12" s="4" t="s">
        <v>745</v>
      </c>
      <c r="O12" s="596"/>
      <c r="P12" s="598"/>
    </row>
    <row r="13" spans="1:16" ht="30.75" customHeight="1">
      <c r="A13" s="16">
        <v>1</v>
      </c>
      <c r="B13" s="586"/>
      <c r="C13" s="587"/>
      <c r="D13" s="605"/>
      <c r="E13" s="73" t="s">
        <v>614</v>
      </c>
      <c r="F13" s="73" t="s">
        <v>615</v>
      </c>
      <c r="G13" s="173">
        <v>1</v>
      </c>
      <c r="H13" s="165" t="s">
        <v>626</v>
      </c>
      <c r="I13" s="153">
        <f>IF(J13="","",ROUNDDOWN(J13*(1+P13/100),0))</f>
        <v>594000</v>
      </c>
      <c r="J13" s="154">
        <v>550000</v>
      </c>
      <c r="K13" s="153">
        <f>IF(L13="","",ROUNDDOWN(L13*(1+P13/100),0))</f>
        <v>594000</v>
      </c>
      <c r="L13" s="153">
        <f>IF(OR(J13="",G13=""),"",ROUNDDOWN(J13*G13,0))</f>
        <v>550000</v>
      </c>
      <c r="M13" s="153">
        <f aca="true" t="shared" si="0" ref="M13:M32">L13</f>
        <v>550000</v>
      </c>
      <c r="N13" s="154">
        <v>550000</v>
      </c>
      <c r="O13" s="12">
        <v>1</v>
      </c>
      <c r="P13" s="114">
        <v>8</v>
      </c>
    </row>
    <row r="14" spans="1:16" ht="30.75" customHeight="1">
      <c r="A14" s="17">
        <v>2</v>
      </c>
      <c r="B14" s="586"/>
      <c r="C14" s="587"/>
      <c r="D14" s="605"/>
      <c r="E14" s="75"/>
      <c r="F14" s="75"/>
      <c r="G14" s="169"/>
      <c r="H14" s="162"/>
      <c r="I14" s="146">
        <f aca="true" t="shared" si="1" ref="I14:I32">IF(J14="","",ROUNDDOWN(J14*(1+P14/100),0))</f>
      </c>
      <c r="J14" s="148"/>
      <c r="K14" s="146">
        <f aca="true" t="shared" si="2" ref="K14:K32">IF(L14="","",ROUNDDOWN(L14*(1+P14/100),0))</f>
      </c>
      <c r="L14" s="146">
        <f aca="true" t="shared" si="3" ref="L14:L32">IF(OR(J14="",G14=""),"",ROUNDDOWN(J14*G14,0))</f>
      </c>
      <c r="M14" s="147">
        <f t="shared" si="0"/>
      </c>
      <c r="N14" s="160" t="s">
        <v>747</v>
      </c>
      <c r="O14" s="13">
        <v>2</v>
      </c>
      <c r="P14" s="114">
        <v>8</v>
      </c>
    </row>
    <row r="15" spans="1:16" ht="30.75" customHeight="1">
      <c r="A15" s="17">
        <v>3</v>
      </c>
      <c r="B15" s="586"/>
      <c r="C15" s="587"/>
      <c r="D15" s="605"/>
      <c r="E15" s="75"/>
      <c r="F15" s="75"/>
      <c r="G15" s="169"/>
      <c r="H15" s="162"/>
      <c r="I15" s="146">
        <f t="shared" si="1"/>
      </c>
      <c r="J15" s="148"/>
      <c r="K15" s="146">
        <f t="shared" si="2"/>
      </c>
      <c r="L15" s="146">
        <f t="shared" si="3"/>
      </c>
      <c r="M15" s="147">
        <f t="shared" si="0"/>
      </c>
      <c r="N15" s="160" t="s">
        <v>747</v>
      </c>
      <c r="O15" s="12">
        <v>3</v>
      </c>
      <c r="P15" s="114">
        <v>8</v>
      </c>
    </row>
    <row r="16" spans="1:16" ht="30.75" customHeight="1">
      <c r="A16" s="17">
        <v>4</v>
      </c>
      <c r="B16" s="586"/>
      <c r="C16" s="587"/>
      <c r="D16" s="605"/>
      <c r="E16" s="75"/>
      <c r="F16" s="75"/>
      <c r="G16" s="169"/>
      <c r="H16" s="162"/>
      <c r="I16" s="146">
        <f t="shared" si="1"/>
      </c>
      <c r="J16" s="148"/>
      <c r="K16" s="146">
        <f t="shared" si="2"/>
      </c>
      <c r="L16" s="146">
        <f t="shared" si="3"/>
      </c>
      <c r="M16" s="147">
        <f t="shared" si="0"/>
      </c>
      <c r="N16" s="160" t="s">
        <v>747</v>
      </c>
      <c r="O16" s="13">
        <v>4</v>
      </c>
      <c r="P16" s="114">
        <v>8</v>
      </c>
    </row>
    <row r="17" spans="1:16" ht="30.75" customHeight="1">
      <c r="A17" s="17">
        <v>5</v>
      </c>
      <c r="B17" s="586"/>
      <c r="C17" s="587"/>
      <c r="D17" s="605"/>
      <c r="E17" s="75"/>
      <c r="F17" s="75"/>
      <c r="G17" s="169"/>
      <c r="H17" s="162"/>
      <c r="I17" s="146">
        <f t="shared" si="1"/>
      </c>
      <c r="J17" s="148"/>
      <c r="K17" s="146">
        <f t="shared" si="2"/>
      </c>
      <c r="L17" s="146">
        <f t="shared" si="3"/>
      </c>
      <c r="M17" s="147">
        <f t="shared" si="0"/>
      </c>
      <c r="N17" s="160" t="s">
        <v>747</v>
      </c>
      <c r="O17" s="12">
        <v>5</v>
      </c>
      <c r="P17" s="114">
        <v>8</v>
      </c>
    </row>
    <row r="18" spans="1:16" ht="30.75" customHeight="1">
      <c r="A18" s="17">
        <v>6</v>
      </c>
      <c r="B18" s="586"/>
      <c r="C18" s="587"/>
      <c r="D18" s="605"/>
      <c r="E18" s="75"/>
      <c r="F18" s="75"/>
      <c r="G18" s="169"/>
      <c r="H18" s="162"/>
      <c r="I18" s="146">
        <f t="shared" si="1"/>
      </c>
      <c r="J18" s="148"/>
      <c r="K18" s="146">
        <f t="shared" si="2"/>
      </c>
      <c r="L18" s="146">
        <f t="shared" si="3"/>
      </c>
      <c r="M18" s="147">
        <f t="shared" si="0"/>
      </c>
      <c r="N18" s="160" t="s">
        <v>747</v>
      </c>
      <c r="O18" s="13">
        <v>6</v>
      </c>
      <c r="P18" s="114">
        <v>8</v>
      </c>
    </row>
    <row r="19" spans="1:16" ht="30.75" customHeight="1">
      <c r="A19" s="17">
        <v>7</v>
      </c>
      <c r="B19" s="586"/>
      <c r="C19" s="587"/>
      <c r="D19" s="605"/>
      <c r="E19" s="75"/>
      <c r="F19" s="98"/>
      <c r="G19" s="169"/>
      <c r="H19" s="162"/>
      <c r="I19" s="146">
        <f t="shared" si="1"/>
      </c>
      <c r="J19" s="148"/>
      <c r="K19" s="146">
        <f t="shared" si="2"/>
      </c>
      <c r="L19" s="146">
        <f t="shared" si="3"/>
      </c>
      <c r="M19" s="147">
        <f t="shared" si="0"/>
      </c>
      <c r="N19" s="160" t="s">
        <v>747</v>
      </c>
      <c r="O19" s="12">
        <v>7</v>
      </c>
      <c r="P19" s="114">
        <v>8</v>
      </c>
    </row>
    <row r="20" spans="1:16" ht="30.75" customHeight="1">
      <c r="A20" s="17">
        <v>8</v>
      </c>
      <c r="B20" s="586"/>
      <c r="C20" s="587"/>
      <c r="D20" s="605"/>
      <c r="E20" s="75"/>
      <c r="F20" s="75"/>
      <c r="G20" s="169"/>
      <c r="H20" s="162"/>
      <c r="I20" s="146">
        <f t="shared" si="1"/>
      </c>
      <c r="J20" s="148"/>
      <c r="K20" s="146">
        <f t="shared" si="2"/>
      </c>
      <c r="L20" s="146">
        <f t="shared" si="3"/>
      </c>
      <c r="M20" s="147">
        <f t="shared" si="0"/>
      </c>
      <c r="N20" s="160" t="s">
        <v>747</v>
      </c>
      <c r="O20" s="13">
        <v>8</v>
      </c>
      <c r="P20" s="114">
        <v>8</v>
      </c>
    </row>
    <row r="21" spans="1:16" ht="30.75" customHeight="1">
      <c r="A21" s="17">
        <v>9</v>
      </c>
      <c r="B21" s="586"/>
      <c r="C21" s="587"/>
      <c r="D21" s="605"/>
      <c r="E21" s="75"/>
      <c r="F21" s="75"/>
      <c r="G21" s="169"/>
      <c r="H21" s="162"/>
      <c r="I21" s="146">
        <f t="shared" si="1"/>
      </c>
      <c r="J21" s="148"/>
      <c r="K21" s="146">
        <f t="shared" si="2"/>
      </c>
      <c r="L21" s="146">
        <f t="shared" si="3"/>
      </c>
      <c r="M21" s="147">
        <f t="shared" si="0"/>
      </c>
      <c r="N21" s="160" t="s">
        <v>747</v>
      </c>
      <c r="O21" s="12">
        <v>9</v>
      </c>
      <c r="P21" s="114">
        <v>8</v>
      </c>
    </row>
    <row r="22" spans="1:16" ht="30.75" customHeight="1">
      <c r="A22" s="17">
        <v>10</v>
      </c>
      <c r="B22" s="586"/>
      <c r="C22" s="587"/>
      <c r="D22" s="605"/>
      <c r="E22" s="75"/>
      <c r="F22" s="75"/>
      <c r="G22" s="169"/>
      <c r="H22" s="162"/>
      <c r="I22" s="146">
        <f t="shared" si="1"/>
      </c>
      <c r="J22" s="148"/>
      <c r="K22" s="146">
        <f t="shared" si="2"/>
      </c>
      <c r="L22" s="146">
        <f t="shared" si="3"/>
      </c>
      <c r="M22" s="147">
        <f t="shared" si="0"/>
      </c>
      <c r="N22" s="160" t="s">
        <v>747</v>
      </c>
      <c r="O22" s="13">
        <v>10</v>
      </c>
      <c r="P22" s="114">
        <v>8</v>
      </c>
    </row>
    <row r="23" spans="1:16" ht="30.75" customHeight="1">
      <c r="A23" s="17">
        <v>11</v>
      </c>
      <c r="B23" s="586"/>
      <c r="C23" s="587"/>
      <c r="D23" s="605"/>
      <c r="E23" s="75"/>
      <c r="F23" s="75"/>
      <c r="G23" s="169"/>
      <c r="H23" s="162"/>
      <c r="I23" s="146">
        <f t="shared" si="1"/>
      </c>
      <c r="J23" s="148"/>
      <c r="K23" s="146">
        <f t="shared" si="2"/>
      </c>
      <c r="L23" s="146">
        <f t="shared" si="3"/>
      </c>
      <c r="M23" s="147">
        <f t="shared" si="0"/>
      </c>
      <c r="N23" s="160" t="s">
        <v>747</v>
      </c>
      <c r="O23" s="12">
        <v>11</v>
      </c>
      <c r="P23" s="114">
        <v>8</v>
      </c>
    </row>
    <row r="24" spans="1:16" ht="30.75" customHeight="1">
      <c r="A24" s="17">
        <v>12</v>
      </c>
      <c r="B24" s="586"/>
      <c r="C24" s="587"/>
      <c r="D24" s="605"/>
      <c r="E24" s="75"/>
      <c r="F24" s="75"/>
      <c r="G24" s="169"/>
      <c r="H24" s="162"/>
      <c r="I24" s="146">
        <f t="shared" si="1"/>
      </c>
      <c r="J24" s="148"/>
      <c r="K24" s="146">
        <f t="shared" si="2"/>
      </c>
      <c r="L24" s="146">
        <f t="shared" si="3"/>
      </c>
      <c r="M24" s="147">
        <f t="shared" si="0"/>
      </c>
      <c r="N24" s="160" t="s">
        <v>747</v>
      </c>
      <c r="O24" s="13">
        <v>12</v>
      </c>
      <c r="P24" s="114">
        <v>8</v>
      </c>
    </row>
    <row r="25" spans="1:16" ht="30.75" customHeight="1">
      <c r="A25" s="17">
        <v>13</v>
      </c>
      <c r="B25" s="586"/>
      <c r="C25" s="587"/>
      <c r="D25" s="605"/>
      <c r="E25" s="75"/>
      <c r="F25" s="75"/>
      <c r="G25" s="169"/>
      <c r="H25" s="162"/>
      <c r="I25" s="146">
        <f t="shared" si="1"/>
      </c>
      <c r="J25" s="148"/>
      <c r="K25" s="146">
        <f t="shared" si="2"/>
      </c>
      <c r="L25" s="146">
        <f t="shared" si="3"/>
      </c>
      <c r="M25" s="147">
        <f t="shared" si="0"/>
      </c>
      <c r="N25" s="160" t="s">
        <v>747</v>
      </c>
      <c r="O25" s="12">
        <v>13</v>
      </c>
      <c r="P25" s="114">
        <v>8</v>
      </c>
    </row>
    <row r="26" spans="1:16" ht="30.75" customHeight="1">
      <c r="A26" s="17">
        <v>14</v>
      </c>
      <c r="B26" s="586"/>
      <c r="C26" s="587"/>
      <c r="D26" s="605"/>
      <c r="E26" s="105"/>
      <c r="F26" s="75"/>
      <c r="G26" s="169"/>
      <c r="H26" s="162"/>
      <c r="I26" s="146">
        <f t="shared" si="1"/>
      </c>
      <c r="J26" s="148"/>
      <c r="K26" s="146">
        <f t="shared" si="2"/>
      </c>
      <c r="L26" s="146">
        <f t="shared" si="3"/>
      </c>
      <c r="M26" s="147">
        <f t="shared" si="0"/>
      </c>
      <c r="N26" s="160" t="s">
        <v>747</v>
      </c>
      <c r="O26" s="13">
        <v>14</v>
      </c>
      <c r="P26" s="114">
        <v>8</v>
      </c>
    </row>
    <row r="27" spans="1:16" ht="30.75" customHeight="1">
      <c r="A27" s="17">
        <v>15</v>
      </c>
      <c r="B27" s="586"/>
      <c r="C27" s="587"/>
      <c r="D27" s="605"/>
      <c r="E27" s="105"/>
      <c r="F27" s="75"/>
      <c r="G27" s="169"/>
      <c r="H27" s="162"/>
      <c r="I27" s="146">
        <f t="shared" si="1"/>
      </c>
      <c r="J27" s="148"/>
      <c r="K27" s="146">
        <f t="shared" si="2"/>
      </c>
      <c r="L27" s="146">
        <f t="shared" si="3"/>
      </c>
      <c r="M27" s="147">
        <f t="shared" si="0"/>
      </c>
      <c r="N27" s="160" t="s">
        <v>747</v>
      </c>
      <c r="O27" s="12">
        <v>15</v>
      </c>
      <c r="P27" s="114">
        <v>8</v>
      </c>
    </row>
    <row r="28" spans="1:16" ht="30.75" customHeight="1">
      <c r="A28" s="17">
        <v>16</v>
      </c>
      <c r="B28" s="586"/>
      <c r="C28" s="587"/>
      <c r="D28" s="605"/>
      <c r="E28" s="75"/>
      <c r="F28" s="75"/>
      <c r="G28" s="169"/>
      <c r="H28" s="162"/>
      <c r="I28" s="146">
        <f t="shared" si="1"/>
      </c>
      <c r="J28" s="148"/>
      <c r="K28" s="146">
        <f t="shared" si="2"/>
      </c>
      <c r="L28" s="146">
        <f t="shared" si="3"/>
      </c>
      <c r="M28" s="147">
        <f t="shared" si="0"/>
      </c>
      <c r="N28" s="160" t="s">
        <v>747</v>
      </c>
      <c r="O28" s="13">
        <v>16</v>
      </c>
      <c r="P28" s="114">
        <v>8</v>
      </c>
    </row>
    <row r="29" spans="1:16" ht="30.75" customHeight="1">
      <c r="A29" s="17">
        <v>17</v>
      </c>
      <c r="B29" s="586"/>
      <c r="C29" s="587"/>
      <c r="D29" s="605"/>
      <c r="E29" s="75"/>
      <c r="F29" s="75"/>
      <c r="G29" s="169"/>
      <c r="H29" s="162"/>
      <c r="I29" s="146">
        <f t="shared" si="1"/>
      </c>
      <c r="J29" s="148"/>
      <c r="K29" s="146">
        <f t="shared" si="2"/>
      </c>
      <c r="L29" s="146">
        <f t="shared" si="3"/>
      </c>
      <c r="M29" s="147">
        <f t="shared" si="0"/>
      </c>
      <c r="N29" s="160" t="s">
        <v>747</v>
      </c>
      <c r="O29" s="12">
        <v>17</v>
      </c>
      <c r="P29" s="114">
        <v>8</v>
      </c>
    </row>
    <row r="30" spans="1:16" ht="30.75" customHeight="1">
      <c r="A30" s="17">
        <v>18</v>
      </c>
      <c r="B30" s="586"/>
      <c r="C30" s="587"/>
      <c r="D30" s="605"/>
      <c r="E30" s="75"/>
      <c r="F30" s="75"/>
      <c r="G30" s="169"/>
      <c r="H30" s="162"/>
      <c r="I30" s="146">
        <f t="shared" si="1"/>
      </c>
      <c r="J30" s="148"/>
      <c r="K30" s="146">
        <f t="shared" si="2"/>
      </c>
      <c r="L30" s="146">
        <f t="shared" si="3"/>
      </c>
      <c r="M30" s="147">
        <f t="shared" si="0"/>
      </c>
      <c r="N30" s="160" t="s">
        <v>747</v>
      </c>
      <c r="O30" s="13">
        <v>18</v>
      </c>
      <c r="P30" s="114">
        <v>8</v>
      </c>
    </row>
    <row r="31" spans="1:16" ht="30.75" customHeight="1">
      <c r="A31" s="17">
        <v>19</v>
      </c>
      <c r="B31" s="586"/>
      <c r="C31" s="587"/>
      <c r="D31" s="605"/>
      <c r="E31" s="105"/>
      <c r="F31" s="75"/>
      <c r="G31" s="169"/>
      <c r="H31" s="162"/>
      <c r="I31" s="146">
        <f t="shared" si="1"/>
      </c>
      <c r="J31" s="148"/>
      <c r="K31" s="146">
        <f t="shared" si="2"/>
      </c>
      <c r="L31" s="146">
        <f t="shared" si="3"/>
      </c>
      <c r="M31" s="147">
        <f t="shared" si="0"/>
      </c>
      <c r="N31" s="160" t="s">
        <v>747</v>
      </c>
      <c r="O31" s="12">
        <v>19</v>
      </c>
      <c r="P31" s="114">
        <v>8</v>
      </c>
    </row>
    <row r="32" spans="1:16" ht="30.75" customHeight="1" thickBot="1">
      <c r="A32" s="27">
        <v>20</v>
      </c>
      <c r="B32" s="606"/>
      <c r="C32" s="607"/>
      <c r="D32" s="607"/>
      <c r="E32" s="100"/>
      <c r="F32" s="79"/>
      <c r="G32" s="172"/>
      <c r="H32" s="164"/>
      <c r="I32" s="149">
        <f t="shared" si="1"/>
      </c>
      <c r="J32" s="150"/>
      <c r="K32" s="149">
        <f t="shared" si="2"/>
      </c>
      <c r="L32" s="149">
        <f t="shared" si="3"/>
      </c>
      <c r="M32" s="151">
        <f t="shared" si="0"/>
      </c>
      <c r="N32" s="161" t="s">
        <v>747</v>
      </c>
      <c r="O32" s="28">
        <v>20</v>
      </c>
      <c r="P32" s="115">
        <v>8</v>
      </c>
    </row>
    <row r="33" spans="1:15" ht="21" customHeight="1" thickBot="1">
      <c r="A33" s="603" t="s">
        <v>14</v>
      </c>
      <c r="B33" s="604"/>
      <c r="C33" s="604"/>
      <c r="D33" s="604"/>
      <c r="E33" s="604"/>
      <c r="F33" s="604"/>
      <c r="G33" s="604"/>
      <c r="H33" s="604"/>
      <c r="I33" s="604"/>
      <c r="J33" s="82"/>
      <c r="K33" s="152">
        <f>SUM(K13:K32)</f>
        <v>594000</v>
      </c>
      <c r="L33" s="143">
        <f>SUM(L13:L32)</f>
        <v>550000</v>
      </c>
      <c r="M33" s="152">
        <f>SUM(M13:M32)</f>
        <v>550000</v>
      </c>
      <c r="N33" s="417">
        <f>SUM(N13:N32)</f>
        <v>550000</v>
      </c>
      <c r="O33" s="14"/>
    </row>
    <row r="34" spans="1:15" ht="13.5" customHeight="1">
      <c r="A34" s="90"/>
      <c r="O34" s="11"/>
    </row>
    <row r="35" spans="1:15" ht="13.5" customHeight="1">
      <c r="A35" s="90"/>
      <c r="B35" s="1" t="s">
        <v>16</v>
      </c>
      <c r="D35" s="90"/>
      <c r="E35" s="80" t="s">
        <v>32</v>
      </c>
      <c r="O35" s="11"/>
    </row>
    <row r="36" ht="13.5" customHeight="1">
      <c r="E36" s="80" t="s">
        <v>33</v>
      </c>
    </row>
    <row r="37" spans="2:5" ht="13.5" customHeight="1">
      <c r="B37" s="1" t="s">
        <v>17</v>
      </c>
      <c r="E37" s="80" t="s">
        <v>34</v>
      </c>
    </row>
    <row r="38" spans="2:5" ht="13.5" customHeight="1">
      <c r="B38" s="1" t="s">
        <v>18</v>
      </c>
      <c r="E38" s="80" t="s">
        <v>35</v>
      </c>
    </row>
  </sheetData>
  <sheetProtection sheet="1" objects="1" scenarios="1"/>
  <mergeCells count="28">
    <mergeCell ref="A4:E4"/>
    <mergeCell ref="A11:A12"/>
    <mergeCell ref="B11:D11"/>
    <mergeCell ref="K11:L11"/>
    <mergeCell ref="O11:O12"/>
    <mergeCell ref="P11:P12"/>
    <mergeCell ref="M11:N11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31:D31"/>
    <mergeCell ref="B32:D32"/>
    <mergeCell ref="A33:I33"/>
    <mergeCell ref="B25:D25"/>
    <mergeCell ref="B26:D26"/>
    <mergeCell ref="B27:D27"/>
    <mergeCell ref="B28:D28"/>
    <mergeCell ref="B29:D29"/>
    <mergeCell ref="B30:D30"/>
  </mergeCells>
  <dataValidations count="1">
    <dataValidation allowBlank="1" showInputMessage="1" showErrorMessage="1" imeMode="halfAlpha" sqref="I13:N32 K33:N33"/>
  </dataValidations>
  <hyperlinks>
    <hyperlink ref="B2" location="経費明細表!A1" display="戻る"/>
  </hyperlinks>
  <printOptions/>
  <pageMargins left="0.8661417322834646" right="0.7086614173228347" top="0.7480314960629921" bottom="0.7480314960629921" header="0.31496062992125984" footer="0.31496062992125984"/>
  <pageSetup fitToHeight="1" fitToWidth="1" horizontalDpi="600" verticalDpi="600" orientation="portrait" paperSize="9" scale="62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9">
    <tabColor rgb="FF92D050"/>
    <pageSetUpPr fitToPage="1"/>
  </sheetPr>
  <dimension ref="A1:S38"/>
  <sheetViews>
    <sheetView showGridLines="0" zoomScaleSheetLayoutView="80" zoomScalePageLayoutView="0" workbookViewId="0" topLeftCell="A1">
      <pane ySplit="3" topLeftCell="A4" activePane="bottomLeft" state="frozen"/>
      <selection pane="topLeft" activeCell="I12" sqref="I12"/>
      <selection pane="bottomLeft" activeCell="A1" sqref="A1"/>
    </sheetView>
  </sheetViews>
  <sheetFormatPr defaultColWidth="9.140625" defaultRowHeight="15"/>
  <cols>
    <col min="1" max="4" width="3.7109375" style="1" customWidth="1"/>
    <col min="5" max="5" width="16.421875" style="80" customWidth="1"/>
    <col min="6" max="6" width="16.140625" style="80" customWidth="1"/>
    <col min="7" max="7" width="9.140625" style="1" customWidth="1"/>
    <col min="8" max="8" width="6.421875" style="1" customWidth="1"/>
    <col min="9" max="10" width="11.57421875" style="1" customWidth="1"/>
    <col min="11" max="14" width="15.140625" style="1" customWidth="1"/>
    <col min="15" max="15" width="3.8515625" style="5" customWidth="1"/>
    <col min="16" max="16" width="5.28125" style="5" customWidth="1"/>
    <col min="17" max="16384" width="9.00390625" style="1" customWidth="1"/>
  </cols>
  <sheetData>
    <row r="1" spans="1:19" ht="13.5">
      <c r="A1" s="5"/>
      <c r="E1" s="85"/>
      <c r="H1" s="5"/>
      <c r="Q1" s="5"/>
      <c r="R1" s="86"/>
      <c r="S1" s="86"/>
    </row>
    <row r="2" spans="1:19" ht="13.5">
      <c r="A2" s="5"/>
      <c r="B2" s="246" t="s">
        <v>583</v>
      </c>
      <c r="E2" s="85"/>
      <c r="H2" s="5"/>
      <c r="Q2" s="5"/>
      <c r="R2" s="86"/>
      <c r="S2" s="86"/>
    </row>
    <row r="3" spans="1:19" ht="13.5">
      <c r="A3" s="5"/>
      <c r="E3" s="85"/>
      <c r="H3" s="5"/>
      <c r="Q3" s="5"/>
      <c r="R3" s="86"/>
      <c r="S3" s="86"/>
    </row>
    <row r="4" spans="1:6" ht="13.5" customHeight="1">
      <c r="A4" s="590" t="s">
        <v>757</v>
      </c>
      <c r="B4" s="590"/>
      <c r="C4" s="590"/>
      <c r="D4" s="590"/>
      <c r="E4" s="590"/>
      <c r="F4" s="5"/>
    </row>
    <row r="5" spans="1:15" ht="13.5" customHeight="1">
      <c r="A5" s="11"/>
      <c r="B5" s="11"/>
      <c r="C5" s="11"/>
      <c r="D5" s="11"/>
      <c r="E5" s="87"/>
      <c r="F5" s="5"/>
      <c r="O5" s="11"/>
    </row>
    <row r="6" spans="1:15" ht="13.5" customHeight="1">
      <c r="A6" s="11"/>
      <c r="B6" s="238" t="s">
        <v>669</v>
      </c>
      <c r="C6" s="239"/>
      <c r="D6" s="240"/>
      <c r="E6" s="241"/>
      <c r="F6" s="88" t="s">
        <v>15</v>
      </c>
      <c r="O6" s="11"/>
    </row>
    <row r="7" spans="1:15" ht="13.5" customHeight="1">
      <c r="A7" s="11"/>
      <c r="B7" s="11"/>
      <c r="C7" s="11"/>
      <c r="D7" s="11"/>
      <c r="E7" s="87"/>
      <c r="F7" s="133" t="s">
        <v>29</v>
      </c>
      <c r="O7" s="11"/>
    </row>
    <row r="8" spans="1:16" ht="13.5" customHeight="1">
      <c r="A8" s="11"/>
      <c r="B8" s="11"/>
      <c r="C8" s="11"/>
      <c r="D8" s="11"/>
      <c r="E8" s="87"/>
      <c r="F8" s="5"/>
      <c r="N8" s="1" t="s">
        <v>19</v>
      </c>
      <c r="O8" s="11"/>
      <c r="P8" s="89"/>
    </row>
    <row r="9" spans="1:15" ht="13.5" customHeight="1">
      <c r="A9" s="90"/>
      <c r="F9" s="5"/>
      <c r="K9" s="2" t="s">
        <v>526</v>
      </c>
      <c r="L9" s="80" t="str">
        <f>IF('基本情報入力（使い方）'!$C$11="","",'基本情報入力（使い方）'!$C$11)</f>
        <v>Ｂ金属株式会社</v>
      </c>
      <c r="M9" s="91"/>
      <c r="N9" s="91"/>
      <c r="O9" s="11"/>
    </row>
    <row r="10" spans="1:15" ht="13.5" customHeight="1" thickBot="1">
      <c r="A10" s="90"/>
      <c r="F10" s="5"/>
      <c r="O10" s="11"/>
    </row>
    <row r="11" spans="1:16" ht="27" customHeight="1">
      <c r="A11" s="591" t="s">
        <v>1</v>
      </c>
      <c r="B11" s="583" t="s">
        <v>2</v>
      </c>
      <c r="C11" s="583"/>
      <c r="D11" s="582"/>
      <c r="E11" s="3" t="s">
        <v>3</v>
      </c>
      <c r="F11" s="3" t="s">
        <v>4</v>
      </c>
      <c r="G11" s="3" t="s">
        <v>5</v>
      </c>
      <c r="H11" s="3" t="s">
        <v>6</v>
      </c>
      <c r="I11" s="3" t="s">
        <v>0</v>
      </c>
      <c r="J11" s="3" t="s">
        <v>0</v>
      </c>
      <c r="K11" s="581" t="s">
        <v>7</v>
      </c>
      <c r="L11" s="582"/>
      <c r="M11" s="581" t="s">
        <v>8</v>
      </c>
      <c r="N11" s="582"/>
      <c r="O11" s="595" t="s">
        <v>1</v>
      </c>
      <c r="P11" s="597" t="s">
        <v>39</v>
      </c>
    </row>
    <row r="12" spans="1:16" ht="42" customHeight="1" thickBot="1">
      <c r="A12" s="592"/>
      <c r="B12" s="92" t="s">
        <v>9</v>
      </c>
      <c r="C12" s="92" t="s">
        <v>10</v>
      </c>
      <c r="D12" s="93" t="s">
        <v>11</v>
      </c>
      <c r="E12" s="94"/>
      <c r="F12" s="95"/>
      <c r="G12" s="81"/>
      <c r="H12" s="81"/>
      <c r="I12" s="81" t="s">
        <v>12</v>
      </c>
      <c r="J12" s="81" t="s">
        <v>24</v>
      </c>
      <c r="K12" s="81" t="s">
        <v>13</v>
      </c>
      <c r="L12" s="4" t="s">
        <v>22</v>
      </c>
      <c r="M12" s="412" t="s">
        <v>744</v>
      </c>
      <c r="N12" s="4" t="s">
        <v>745</v>
      </c>
      <c r="O12" s="596"/>
      <c r="P12" s="598"/>
    </row>
    <row r="13" spans="1:16" ht="30.75" customHeight="1">
      <c r="A13" s="16">
        <v>1</v>
      </c>
      <c r="B13" s="599"/>
      <c r="C13" s="600"/>
      <c r="D13" s="600"/>
      <c r="E13" s="96" t="s">
        <v>616</v>
      </c>
      <c r="F13" s="74" t="s">
        <v>617</v>
      </c>
      <c r="G13" s="169">
        <v>150</v>
      </c>
      <c r="H13" s="162" t="s">
        <v>618</v>
      </c>
      <c r="I13" s="146">
        <f>IF(J13="","",ROUNDDOWN(J13*(1+P13/100),0))</f>
        <v>6372</v>
      </c>
      <c r="J13" s="144">
        <v>5900</v>
      </c>
      <c r="K13" s="146">
        <f>IF(L13="","",ROUNDDOWN(L13*(1+P13/100),0))</f>
        <v>955800</v>
      </c>
      <c r="L13" s="146">
        <f>IF(OR(J13="",G13=""),"",ROUNDDOWN(J13*G13,0))</f>
        <v>885000</v>
      </c>
      <c r="M13" s="147">
        <f aca="true" t="shared" si="0" ref="M13:M32">L13</f>
        <v>885000</v>
      </c>
      <c r="N13" s="160">
        <v>885000</v>
      </c>
      <c r="O13" s="12">
        <v>1</v>
      </c>
      <c r="P13" s="114">
        <v>8</v>
      </c>
    </row>
    <row r="14" spans="1:16" ht="30.75" customHeight="1">
      <c r="A14" s="17">
        <v>2</v>
      </c>
      <c r="B14" s="586"/>
      <c r="C14" s="587"/>
      <c r="D14" s="587"/>
      <c r="E14" s="97"/>
      <c r="F14" s="75"/>
      <c r="G14" s="169"/>
      <c r="H14" s="162"/>
      <c r="I14" s="146">
        <f aca="true" t="shared" si="1" ref="I14:I32">IF(J14="","",ROUNDDOWN(J14*(1+P14/100),0))</f>
      </c>
      <c r="J14" s="148"/>
      <c r="K14" s="146">
        <f aca="true" t="shared" si="2" ref="K14:K32">IF(L14="","",ROUNDDOWN(L14*(1+P14/100),0))</f>
      </c>
      <c r="L14" s="146">
        <f aca="true" t="shared" si="3" ref="L14:L32">IF(OR(J14="",G14=""),"",ROUNDDOWN(J14*G14,0))</f>
      </c>
      <c r="M14" s="147">
        <f t="shared" si="0"/>
      </c>
      <c r="N14" s="160" t="s">
        <v>747</v>
      </c>
      <c r="O14" s="13">
        <v>2</v>
      </c>
      <c r="P14" s="114">
        <v>8</v>
      </c>
    </row>
    <row r="15" spans="1:16" ht="30.75" customHeight="1">
      <c r="A15" s="17">
        <v>3</v>
      </c>
      <c r="B15" s="586"/>
      <c r="C15" s="587"/>
      <c r="D15" s="587"/>
      <c r="E15" s="97"/>
      <c r="F15" s="75"/>
      <c r="G15" s="169"/>
      <c r="H15" s="162"/>
      <c r="I15" s="146">
        <f t="shared" si="1"/>
      </c>
      <c r="J15" s="148"/>
      <c r="K15" s="146">
        <f t="shared" si="2"/>
      </c>
      <c r="L15" s="146">
        <f t="shared" si="3"/>
      </c>
      <c r="M15" s="147">
        <f t="shared" si="0"/>
      </c>
      <c r="N15" s="160" t="s">
        <v>747</v>
      </c>
      <c r="O15" s="12">
        <v>3</v>
      </c>
      <c r="P15" s="114">
        <v>8</v>
      </c>
    </row>
    <row r="16" spans="1:16" ht="30.75" customHeight="1">
      <c r="A16" s="17">
        <v>4</v>
      </c>
      <c r="B16" s="586"/>
      <c r="C16" s="587"/>
      <c r="D16" s="587"/>
      <c r="E16" s="97"/>
      <c r="F16" s="75"/>
      <c r="G16" s="169"/>
      <c r="H16" s="162"/>
      <c r="I16" s="146">
        <f t="shared" si="1"/>
      </c>
      <c r="J16" s="148"/>
      <c r="K16" s="146">
        <f t="shared" si="2"/>
      </c>
      <c r="L16" s="146">
        <f t="shared" si="3"/>
      </c>
      <c r="M16" s="147">
        <f t="shared" si="0"/>
      </c>
      <c r="N16" s="160" t="s">
        <v>747</v>
      </c>
      <c r="O16" s="13">
        <v>4</v>
      </c>
      <c r="P16" s="114">
        <v>8</v>
      </c>
    </row>
    <row r="17" spans="1:16" ht="30.75" customHeight="1">
      <c r="A17" s="17">
        <v>5</v>
      </c>
      <c r="B17" s="586"/>
      <c r="C17" s="587"/>
      <c r="D17" s="587"/>
      <c r="E17" s="97"/>
      <c r="F17" s="75"/>
      <c r="G17" s="169"/>
      <c r="H17" s="162"/>
      <c r="I17" s="146">
        <f t="shared" si="1"/>
      </c>
      <c r="J17" s="148"/>
      <c r="K17" s="146">
        <f t="shared" si="2"/>
      </c>
      <c r="L17" s="146">
        <f t="shared" si="3"/>
      </c>
      <c r="M17" s="147">
        <f t="shared" si="0"/>
      </c>
      <c r="N17" s="160" t="s">
        <v>747</v>
      </c>
      <c r="O17" s="12">
        <v>5</v>
      </c>
      <c r="P17" s="114">
        <v>8</v>
      </c>
    </row>
    <row r="18" spans="1:16" ht="30.75" customHeight="1">
      <c r="A18" s="17">
        <v>6</v>
      </c>
      <c r="B18" s="586"/>
      <c r="C18" s="587"/>
      <c r="D18" s="587"/>
      <c r="E18" s="97"/>
      <c r="F18" s="75"/>
      <c r="G18" s="169"/>
      <c r="H18" s="162"/>
      <c r="I18" s="146">
        <f t="shared" si="1"/>
      </c>
      <c r="J18" s="148"/>
      <c r="K18" s="146">
        <f t="shared" si="2"/>
      </c>
      <c r="L18" s="146">
        <f t="shared" si="3"/>
      </c>
      <c r="M18" s="147">
        <f t="shared" si="0"/>
      </c>
      <c r="N18" s="160" t="s">
        <v>747</v>
      </c>
      <c r="O18" s="13">
        <v>6</v>
      </c>
      <c r="P18" s="114">
        <v>8</v>
      </c>
    </row>
    <row r="19" spans="1:16" ht="30.75" customHeight="1">
      <c r="A19" s="17">
        <v>7</v>
      </c>
      <c r="B19" s="586"/>
      <c r="C19" s="587"/>
      <c r="D19" s="587"/>
      <c r="E19" s="97"/>
      <c r="F19" s="98"/>
      <c r="G19" s="169"/>
      <c r="H19" s="162"/>
      <c r="I19" s="146">
        <f t="shared" si="1"/>
      </c>
      <c r="J19" s="148"/>
      <c r="K19" s="146">
        <f t="shared" si="2"/>
      </c>
      <c r="L19" s="146">
        <f t="shared" si="3"/>
      </c>
      <c r="M19" s="147">
        <f t="shared" si="0"/>
      </c>
      <c r="N19" s="160" t="s">
        <v>747</v>
      </c>
      <c r="O19" s="12">
        <v>7</v>
      </c>
      <c r="P19" s="114">
        <v>8</v>
      </c>
    </row>
    <row r="20" spans="1:16" ht="30.75" customHeight="1">
      <c r="A20" s="17">
        <v>8</v>
      </c>
      <c r="B20" s="586"/>
      <c r="C20" s="587"/>
      <c r="D20" s="587"/>
      <c r="E20" s="97"/>
      <c r="F20" s="75"/>
      <c r="G20" s="169"/>
      <c r="H20" s="162"/>
      <c r="I20" s="146">
        <f t="shared" si="1"/>
      </c>
      <c r="J20" s="148"/>
      <c r="K20" s="146">
        <f t="shared" si="2"/>
      </c>
      <c r="L20" s="146">
        <f t="shared" si="3"/>
      </c>
      <c r="M20" s="147">
        <f t="shared" si="0"/>
      </c>
      <c r="N20" s="160" t="s">
        <v>747</v>
      </c>
      <c r="O20" s="13">
        <v>8</v>
      </c>
      <c r="P20" s="114">
        <v>8</v>
      </c>
    </row>
    <row r="21" spans="1:16" ht="30.75" customHeight="1">
      <c r="A21" s="17">
        <v>9</v>
      </c>
      <c r="B21" s="586"/>
      <c r="C21" s="587"/>
      <c r="D21" s="587"/>
      <c r="E21" s="97"/>
      <c r="F21" s="75"/>
      <c r="G21" s="169"/>
      <c r="H21" s="162"/>
      <c r="I21" s="146">
        <f t="shared" si="1"/>
      </c>
      <c r="J21" s="148"/>
      <c r="K21" s="146">
        <f t="shared" si="2"/>
      </c>
      <c r="L21" s="146">
        <f t="shared" si="3"/>
      </c>
      <c r="M21" s="147">
        <f t="shared" si="0"/>
      </c>
      <c r="N21" s="160" t="s">
        <v>747</v>
      </c>
      <c r="O21" s="12">
        <v>9</v>
      </c>
      <c r="P21" s="114">
        <v>8</v>
      </c>
    </row>
    <row r="22" spans="1:16" ht="30.75" customHeight="1">
      <c r="A22" s="17">
        <v>10</v>
      </c>
      <c r="B22" s="586"/>
      <c r="C22" s="587"/>
      <c r="D22" s="587"/>
      <c r="E22" s="97"/>
      <c r="F22" s="75"/>
      <c r="G22" s="169"/>
      <c r="H22" s="162"/>
      <c r="I22" s="146">
        <f t="shared" si="1"/>
      </c>
      <c r="J22" s="148"/>
      <c r="K22" s="146">
        <f t="shared" si="2"/>
      </c>
      <c r="L22" s="146">
        <f t="shared" si="3"/>
      </c>
      <c r="M22" s="147">
        <f t="shared" si="0"/>
      </c>
      <c r="N22" s="160" t="s">
        <v>747</v>
      </c>
      <c r="O22" s="13">
        <v>10</v>
      </c>
      <c r="P22" s="114">
        <v>8</v>
      </c>
    </row>
    <row r="23" spans="1:16" ht="30.75" customHeight="1">
      <c r="A23" s="17">
        <v>11</v>
      </c>
      <c r="B23" s="586"/>
      <c r="C23" s="587"/>
      <c r="D23" s="587"/>
      <c r="E23" s="97"/>
      <c r="F23" s="75"/>
      <c r="G23" s="169"/>
      <c r="H23" s="162"/>
      <c r="I23" s="146">
        <f t="shared" si="1"/>
      </c>
      <c r="J23" s="148"/>
      <c r="K23" s="146">
        <f t="shared" si="2"/>
      </c>
      <c r="L23" s="146">
        <f t="shared" si="3"/>
      </c>
      <c r="M23" s="147">
        <f t="shared" si="0"/>
      </c>
      <c r="N23" s="160" t="s">
        <v>747</v>
      </c>
      <c r="O23" s="12">
        <v>11</v>
      </c>
      <c r="P23" s="114">
        <v>8</v>
      </c>
    </row>
    <row r="24" spans="1:16" ht="30.75" customHeight="1">
      <c r="A24" s="17">
        <v>12</v>
      </c>
      <c r="B24" s="586"/>
      <c r="C24" s="587"/>
      <c r="D24" s="587"/>
      <c r="E24" s="97"/>
      <c r="F24" s="75"/>
      <c r="G24" s="169"/>
      <c r="H24" s="162"/>
      <c r="I24" s="146">
        <f t="shared" si="1"/>
      </c>
      <c r="J24" s="148"/>
      <c r="K24" s="146">
        <f t="shared" si="2"/>
      </c>
      <c r="L24" s="146">
        <f t="shared" si="3"/>
      </c>
      <c r="M24" s="147">
        <f t="shared" si="0"/>
      </c>
      <c r="N24" s="160" t="s">
        <v>747</v>
      </c>
      <c r="O24" s="13">
        <v>12</v>
      </c>
      <c r="P24" s="114">
        <v>8</v>
      </c>
    </row>
    <row r="25" spans="1:16" ht="30.75" customHeight="1">
      <c r="A25" s="17">
        <v>13</v>
      </c>
      <c r="B25" s="586"/>
      <c r="C25" s="587"/>
      <c r="D25" s="587"/>
      <c r="E25" s="97"/>
      <c r="F25" s="75"/>
      <c r="G25" s="169"/>
      <c r="H25" s="162"/>
      <c r="I25" s="146">
        <f t="shared" si="1"/>
      </c>
      <c r="J25" s="148"/>
      <c r="K25" s="146">
        <f t="shared" si="2"/>
      </c>
      <c r="L25" s="146">
        <f t="shared" si="3"/>
      </c>
      <c r="M25" s="147">
        <f t="shared" si="0"/>
      </c>
      <c r="N25" s="160" t="s">
        <v>747</v>
      </c>
      <c r="O25" s="12">
        <v>13</v>
      </c>
      <c r="P25" s="114">
        <v>8</v>
      </c>
    </row>
    <row r="26" spans="1:16" ht="30.75" customHeight="1">
      <c r="A26" s="17">
        <v>14</v>
      </c>
      <c r="B26" s="586"/>
      <c r="C26" s="587"/>
      <c r="D26" s="587"/>
      <c r="E26" s="99"/>
      <c r="F26" s="75"/>
      <c r="G26" s="169"/>
      <c r="H26" s="162"/>
      <c r="I26" s="146">
        <f t="shared" si="1"/>
      </c>
      <c r="J26" s="148"/>
      <c r="K26" s="146">
        <f t="shared" si="2"/>
      </c>
      <c r="L26" s="146">
        <f t="shared" si="3"/>
      </c>
      <c r="M26" s="147">
        <f t="shared" si="0"/>
      </c>
      <c r="N26" s="160" t="s">
        <v>747</v>
      </c>
      <c r="O26" s="13">
        <v>14</v>
      </c>
      <c r="P26" s="114">
        <v>8</v>
      </c>
    </row>
    <row r="27" spans="1:16" ht="30.75" customHeight="1">
      <c r="A27" s="17">
        <v>15</v>
      </c>
      <c r="B27" s="586"/>
      <c r="C27" s="587"/>
      <c r="D27" s="587"/>
      <c r="E27" s="99"/>
      <c r="F27" s="75"/>
      <c r="G27" s="169"/>
      <c r="H27" s="162"/>
      <c r="I27" s="146">
        <f t="shared" si="1"/>
      </c>
      <c r="J27" s="148"/>
      <c r="K27" s="146">
        <f t="shared" si="2"/>
      </c>
      <c r="L27" s="146">
        <f t="shared" si="3"/>
      </c>
      <c r="M27" s="147">
        <f t="shared" si="0"/>
      </c>
      <c r="N27" s="160" t="s">
        <v>747</v>
      </c>
      <c r="O27" s="12">
        <v>15</v>
      </c>
      <c r="P27" s="114">
        <v>8</v>
      </c>
    </row>
    <row r="28" spans="1:16" ht="30.75" customHeight="1">
      <c r="A28" s="17">
        <v>16</v>
      </c>
      <c r="B28" s="586"/>
      <c r="C28" s="587"/>
      <c r="D28" s="587"/>
      <c r="E28" s="97"/>
      <c r="F28" s="75"/>
      <c r="G28" s="169"/>
      <c r="H28" s="162"/>
      <c r="I28" s="146">
        <f t="shared" si="1"/>
      </c>
      <c r="J28" s="148"/>
      <c r="K28" s="146">
        <f t="shared" si="2"/>
      </c>
      <c r="L28" s="146">
        <f t="shared" si="3"/>
      </c>
      <c r="M28" s="147">
        <f t="shared" si="0"/>
      </c>
      <c r="N28" s="160" t="s">
        <v>747</v>
      </c>
      <c r="O28" s="13">
        <v>16</v>
      </c>
      <c r="P28" s="114">
        <v>8</v>
      </c>
    </row>
    <row r="29" spans="1:16" ht="30.75" customHeight="1">
      <c r="A29" s="17">
        <v>17</v>
      </c>
      <c r="B29" s="586"/>
      <c r="C29" s="587"/>
      <c r="D29" s="587"/>
      <c r="E29" s="97"/>
      <c r="F29" s="75"/>
      <c r="G29" s="169"/>
      <c r="H29" s="162"/>
      <c r="I29" s="146">
        <f t="shared" si="1"/>
      </c>
      <c r="J29" s="148"/>
      <c r="K29" s="146">
        <f t="shared" si="2"/>
      </c>
      <c r="L29" s="146">
        <f t="shared" si="3"/>
      </c>
      <c r="M29" s="147">
        <f t="shared" si="0"/>
      </c>
      <c r="N29" s="160" t="s">
        <v>747</v>
      </c>
      <c r="O29" s="12">
        <v>17</v>
      </c>
      <c r="P29" s="114">
        <v>8</v>
      </c>
    </row>
    <row r="30" spans="1:16" ht="30.75" customHeight="1">
      <c r="A30" s="17">
        <v>18</v>
      </c>
      <c r="B30" s="586"/>
      <c r="C30" s="587"/>
      <c r="D30" s="587"/>
      <c r="E30" s="97"/>
      <c r="F30" s="75"/>
      <c r="G30" s="169"/>
      <c r="H30" s="162"/>
      <c r="I30" s="146">
        <f t="shared" si="1"/>
      </c>
      <c r="J30" s="148"/>
      <c r="K30" s="146">
        <f t="shared" si="2"/>
      </c>
      <c r="L30" s="146">
        <f t="shared" si="3"/>
      </c>
      <c r="M30" s="147">
        <f t="shared" si="0"/>
      </c>
      <c r="N30" s="160" t="s">
        <v>747</v>
      </c>
      <c r="O30" s="13">
        <v>18</v>
      </c>
      <c r="P30" s="114">
        <v>8</v>
      </c>
    </row>
    <row r="31" spans="1:16" ht="30.75" customHeight="1">
      <c r="A31" s="17">
        <v>19</v>
      </c>
      <c r="B31" s="586"/>
      <c r="C31" s="587"/>
      <c r="D31" s="587"/>
      <c r="E31" s="99"/>
      <c r="F31" s="75"/>
      <c r="G31" s="169"/>
      <c r="H31" s="162"/>
      <c r="I31" s="146">
        <f t="shared" si="1"/>
      </c>
      <c r="J31" s="148"/>
      <c r="K31" s="146">
        <f t="shared" si="2"/>
      </c>
      <c r="L31" s="146">
        <f t="shared" si="3"/>
      </c>
      <c r="M31" s="147">
        <f t="shared" si="0"/>
      </c>
      <c r="N31" s="160" t="s">
        <v>747</v>
      </c>
      <c r="O31" s="12">
        <v>19</v>
      </c>
      <c r="P31" s="114">
        <v>8</v>
      </c>
    </row>
    <row r="32" spans="1:16" ht="30.75" customHeight="1" thickBot="1">
      <c r="A32" s="27">
        <v>20</v>
      </c>
      <c r="B32" s="593"/>
      <c r="C32" s="594"/>
      <c r="D32" s="594"/>
      <c r="E32" s="100"/>
      <c r="F32" s="79"/>
      <c r="G32" s="172"/>
      <c r="H32" s="164"/>
      <c r="I32" s="149">
        <f t="shared" si="1"/>
      </c>
      <c r="J32" s="150"/>
      <c r="K32" s="149">
        <f t="shared" si="2"/>
      </c>
      <c r="L32" s="149">
        <f t="shared" si="3"/>
      </c>
      <c r="M32" s="151">
        <f t="shared" si="0"/>
      </c>
      <c r="N32" s="161" t="s">
        <v>747</v>
      </c>
      <c r="O32" s="28">
        <v>20</v>
      </c>
      <c r="P32" s="115">
        <v>8</v>
      </c>
    </row>
    <row r="33" spans="1:15" ht="21" customHeight="1" thickBot="1">
      <c r="A33" s="603" t="s">
        <v>14</v>
      </c>
      <c r="B33" s="604"/>
      <c r="C33" s="604"/>
      <c r="D33" s="604"/>
      <c r="E33" s="604"/>
      <c r="F33" s="604"/>
      <c r="G33" s="604"/>
      <c r="H33" s="604"/>
      <c r="I33" s="604"/>
      <c r="J33" s="82"/>
      <c r="K33" s="145">
        <f>SUM(K13:K32)</f>
        <v>955800</v>
      </c>
      <c r="L33" s="145">
        <f>SUM(L13:L32)</f>
        <v>885000</v>
      </c>
      <c r="M33" s="157">
        <f>SUM(M13:M32)</f>
        <v>885000</v>
      </c>
      <c r="N33" s="159">
        <f>SUM(N13:N32)</f>
        <v>885000</v>
      </c>
      <c r="O33" s="14"/>
    </row>
    <row r="34" spans="1:15" ht="13.5" customHeight="1">
      <c r="A34" s="90"/>
      <c r="O34" s="11"/>
    </row>
    <row r="35" spans="1:15" ht="13.5" customHeight="1">
      <c r="A35" s="90"/>
      <c r="B35" s="1" t="s">
        <v>16</v>
      </c>
      <c r="D35" s="90"/>
      <c r="E35" s="80" t="s">
        <v>32</v>
      </c>
      <c r="O35" s="11"/>
    </row>
    <row r="36" ht="13.5" customHeight="1">
      <c r="E36" s="80" t="s">
        <v>33</v>
      </c>
    </row>
    <row r="37" spans="2:5" ht="13.5" customHeight="1">
      <c r="B37" s="1" t="s">
        <v>17</v>
      </c>
      <c r="E37" s="80" t="s">
        <v>34</v>
      </c>
    </row>
    <row r="38" spans="2:5" ht="13.5" customHeight="1">
      <c r="B38" s="1" t="s">
        <v>18</v>
      </c>
      <c r="E38" s="80" t="s">
        <v>35</v>
      </c>
    </row>
  </sheetData>
  <sheetProtection sheet="1" objects="1" scenarios="1"/>
  <mergeCells count="28">
    <mergeCell ref="A4:E4"/>
    <mergeCell ref="A11:A12"/>
    <mergeCell ref="B11:D11"/>
    <mergeCell ref="K11:L11"/>
    <mergeCell ref="O11:O12"/>
    <mergeCell ref="P11:P12"/>
    <mergeCell ref="M11:N11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31:D31"/>
    <mergeCell ref="B32:D32"/>
    <mergeCell ref="A33:I33"/>
    <mergeCell ref="B25:D25"/>
    <mergeCell ref="B26:D26"/>
    <mergeCell ref="B27:D27"/>
    <mergeCell ref="B28:D28"/>
    <mergeCell ref="B29:D29"/>
    <mergeCell ref="B30:D30"/>
  </mergeCells>
  <dataValidations count="1">
    <dataValidation allowBlank="1" showInputMessage="1" showErrorMessage="1" imeMode="halfAlpha" sqref="I13:N32"/>
  </dataValidations>
  <hyperlinks>
    <hyperlink ref="B2" location="経費明細表!A1" display="戻る"/>
  </hyperlinks>
  <printOptions/>
  <pageMargins left="0.8661417322834646" right="0.7086614173228347" top="0.7480314960629921" bottom="0.7480314960629921" header="0.31496062992125984" footer="0.31496062992125984"/>
  <pageSetup fitToHeight="1" fitToWidth="1" horizontalDpi="600" verticalDpi="600" orientation="portrait" paperSize="9" scale="62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1">
    <tabColor rgb="FF92D050"/>
    <pageSetUpPr fitToPage="1"/>
  </sheetPr>
  <dimension ref="A1:S38"/>
  <sheetViews>
    <sheetView showGridLines="0" zoomScaleSheetLayoutView="80" zoomScalePageLayoutView="0" workbookViewId="0" topLeftCell="A1">
      <pane ySplit="3" topLeftCell="A4" activePane="bottomLeft" state="frozen"/>
      <selection pane="topLeft" activeCell="I12" sqref="I12"/>
      <selection pane="bottomLeft" activeCell="A1" sqref="A1"/>
    </sheetView>
  </sheetViews>
  <sheetFormatPr defaultColWidth="9.140625" defaultRowHeight="15"/>
  <cols>
    <col min="1" max="4" width="3.7109375" style="1" customWidth="1"/>
    <col min="5" max="5" width="16.421875" style="80" customWidth="1"/>
    <col min="6" max="6" width="16.140625" style="80" customWidth="1"/>
    <col min="7" max="7" width="9.140625" style="1" customWidth="1"/>
    <col min="8" max="8" width="6.421875" style="1" customWidth="1"/>
    <col min="9" max="10" width="11.57421875" style="1" customWidth="1"/>
    <col min="11" max="14" width="15.140625" style="1" customWidth="1"/>
    <col min="15" max="15" width="3.8515625" style="5" customWidth="1"/>
    <col min="16" max="16" width="5.28125" style="5" customWidth="1"/>
    <col min="17" max="16384" width="9.00390625" style="1" customWidth="1"/>
  </cols>
  <sheetData>
    <row r="1" spans="1:19" ht="13.5">
      <c r="A1" s="5"/>
      <c r="E1" s="85"/>
      <c r="H1" s="5"/>
      <c r="Q1" s="5"/>
      <c r="R1" s="86"/>
      <c r="S1" s="86"/>
    </row>
    <row r="2" spans="1:19" ht="13.5">
      <c r="A2" s="5"/>
      <c r="B2" s="246" t="s">
        <v>583</v>
      </c>
      <c r="E2" s="85"/>
      <c r="H2" s="5"/>
      <c r="Q2" s="5"/>
      <c r="R2" s="86"/>
      <c r="S2" s="86"/>
    </row>
    <row r="3" spans="1:19" ht="13.5">
      <c r="A3" s="5"/>
      <c r="E3" s="85"/>
      <c r="H3" s="5"/>
      <c r="Q3" s="5"/>
      <c r="R3" s="86"/>
      <c r="S3" s="86"/>
    </row>
    <row r="4" spans="1:6" ht="13.5" customHeight="1">
      <c r="A4" s="590" t="s">
        <v>757</v>
      </c>
      <c r="B4" s="590"/>
      <c r="C4" s="590"/>
      <c r="D4" s="590"/>
      <c r="E4" s="590"/>
      <c r="F4" s="5"/>
    </row>
    <row r="5" spans="1:15" ht="13.5" customHeight="1">
      <c r="A5" s="11"/>
      <c r="B5" s="11"/>
      <c r="C5" s="11"/>
      <c r="D5" s="11"/>
      <c r="E5" s="87"/>
      <c r="F5" s="5"/>
      <c r="O5" s="11"/>
    </row>
    <row r="6" spans="1:15" ht="13.5" customHeight="1">
      <c r="A6" s="11"/>
      <c r="B6" s="238" t="s">
        <v>669</v>
      </c>
      <c r="C6" s="239"/>
      <c r="D6" s="240"/>
      <c r="E6" s="241"/>
      <c r="F6" s="88" t="s">
        <v>15</v>
      </c>
      <c r="O6" s="11"/>
    </row>
    <row r="7" spans="1:15" ht="13.5" customHeight="1">
      <c r="A7" s="11"/>
      <c r="B7" s="11"/>
      <c r="C7" s="11"/>
      <c r="D7" s="11"/>
      <c r="E7" s="87"/>
      <c r="F7" s="133" t="s">
        <v>556</v>
      </c>
      <c r="O7" s="11"/>
    </row>
    <row r="8" spans="1:16" ht="13.5" customHeight="1">
      <c r="A8" s="11"/>
      <c r="B8" s="11"/>
      <c r="C8" s="11"/>
      <c r="D8" s="11"/>
      <c r="E8" s="87"/>
      <c r="F8" s="5"/>
      <c r="N8" s="1" t="s">
        <v>19</v>
      </c>
      <c r="O8" s="11"/>
      <c r="P8" s="89"/>
    </row>
    <row r="9" spans="1:15" ht="13.5" customHeight="1">
      <c r="A9" s="90"/>
      <c r="F9" s="5"/>
      <c r="K9" s="2" t="s">
        <v>526</v>
      </c>
      <c r="L9" s="80" t="str">
        <f>IF('基本情報入力（使い方）'!$C$11="","",'基本情報入力（使い方）'!$C$11)</f>
        <v>Ｂ金属株式会社</v>
      </c>
      <c r="M9" s="91"/>
      <c r="N9" s="91"/>
      <c r="O9" s="11"/>
    </row>
    <row r="10" spans="1:15" ht="13.5" customHeight="1" thickBot="1">
      <c r="A10" s="90"/>
      <c r="F10" s="5"/>
      <c r="O10" s="11"/>
    </row>
    <row r="11" spans="1:16" ht="27" customHeight="1">
      <c r="A11" s="591" t="s">
        <v>1</v>
      </c>
      <c r="B11" s="583" t="s">
        <v>2</v>
      </c>
      <c r="C11" s="583"/>
      <c r="D11" s="582"/>
      <c r="E11" s="3" t="s">
        <v>3</v>
      </c>
      <c r="F11" s="3" t="s">
        <v>4</v>
      </c>
      <c r="G11" s="3" t="s">
        <v>5</v>
      </c>
      <c r="H11" s="3" t="s">
        <v>6</v>
      </c>
      <c r="I11" s="3" t="s">
        <v>0</v>
      </c>
      <c r="J11" s="3" t="s">
        <v>0</v>
      </c>
      <c r="K11" s="581" t="s">
        <v>7</v>
      </c>
      <c r="L11" s="582"/>
      <c r="M11" s="581" t="s">
        <v>8</v>
      </c>
      <c r="N11" s="582"/>
      <c r="O11" s="595" t="s">
        <v>1</v>
      </c>
      <c r="P11" s="597" t="s">
        <v>39</v>
      </c>
    </row>
    <row r="12" spans="1:16" ht="42" customHeight="1" thickBot="1">
      <c r="A12" s="592"/>
      <c r="B12" s="92" t="s">
        <v>9</v>
      </c>
      <c r="C12" s="92" t="s">
        <v>10</v>
      </c>
      <c r="D12" s="93" t="s">
        <v>11</v>
      </c>
      <c r="E12" s="94"/>
      <c r="F12" s="95"/>
      <c r="G12" s="81"/>
      <c r="H12" s="81"/>
      <c r="I12" s="81" t="s">
        <v>12</v>
      </c>
      <c r="J12" s="81" t="s">
        <v>24</v>
      </c>
      <c r="K12" s="81" t="s">
        <v>13</v>
      </c>
      <c r="L12" s="4" t="s">
        <v>22</v>
      </c>
      <c r="M12" s="412" t="s">
        <v>744</v>
      </c>
      <c r="N12" s="4" t="s">
        <v>745</v>
      </c>
      <c r="O12" s="596"/>
      <c r="P12" s="598"/>
    </row>
    <row r="13" spans="1:16" ht="30.75" customHeight="1">
      <c r="A13" s="16">
        <v>1</v>
      </c>
      <c r="B13" s="599"/>
      <c r="C13" s="600"/>
      <c r="D13" s="600"/>
      <c r="E13" s="96" t="s">
        <v>619</v>
      </c>
      <c r="F13" s="73" t="s">
        <v>731</v>
      </c>
      <c r="G13" s="169">
        <v>18</v>
      </c>
      <c r="H13" s="162" t="s">
        <v>621</v>
      </c>
      <c r="I13" s="146">
        <f>IF(J13="","",ROUNDDOWN(J13*(1+P13/100),0))</f>
        <v>54000</v>
      </c>
      <c r="J13" s="144">
        <v>50000</v>
      </c>
      <c r="K13" s="146">
        <f>IF(L13="","",ROUNDDOWN(L13*(1+P13/100),0))</f>
        <v>972000</v>
      </c>
      <c r="L13" s="146">
        <f>IF(OR(J13="",G13=""),"",ROUNDDOWN(J13*G13,0))</f>
        <v>900000</v>
      </c>
      <c r="M13" s="147">
        <f aca="true" t="shared" si="0" ref="M13:M32">L13</f>
        <v>900000</v>
      </c>
      <c r="N13" s="160">
        <v>900000</v>
      </c>
      <c r="O13" s="12">
        <v>1</v>
      </c>
      <c r="P13" s="114">
        <v>8</v>
      </c>
    </row>
    <row r="14" spans="1:16" ht="30.75" customHeight="1">
      <c r="A14" s="17">
        <v>2</v>
      </c>
      <c r="B14" s="586"/>
      <c r="C14" s="587"/>
      <c r="D14" s="587"/>
      <c r="E14" s="97"/>
      <c r="F14" s="75"/>
      <c r="G14" s="169"/>
      <c r="H14" s="162"/>
      <c r="I14" s="146">
        <f aca="true" t="shared" si="1" ref="I14:I32">IF(J14="","",ROUNDDOWN(J14*(1+P14/100),0))</f>
      </c>
      <c r="J14" s="148"/>
      <c r="K14" s="146">
        <f aca="true" t="shared" si="2" ref="K14:K32">IF(L14="","",ROUNDDOWN(L14*(1+P14/100),0))</f>
      </c>
      <c r="L14" s="146">
        <f aca="true" t="shared" si="3" ref="L14:L32">IF(OR(J14="",G14=""),"",ROUNDDOWN(J14*G14,0))</f>
      </c>
      <c r="M14" s="147">
        <f t="shared" si="0"/>
      </c>
      <c r="N14" s="160" t="s">
        <v>747</v>
      </c>
      <c r="O14" s="13">
        <v>2</v>
      </c>
      <c r="P14" s="114">
        <v>8</v>
      </c>
    </row>
    <row r="15" spans="1:16" ht="30.75" customHeight="1">
      <c r="A15" s="17">
        <v>3</v>
      </c>
      <c r="B15" s="586"/>
      <c r="C15" s="587"/>
      <c r="D15" s="587"/>
      <c r="E15" s="97"/>
      <c r="F15" s="75"/>
      <c r="G15" s="169"/>
      <c r="H15" s="162"/>
      <c r="I15" s="146">
        <f t="shared" si="1"/>
      </c>
      <c r="J15" s="148"/>
      <c r="K15" s="146">
        <f t="shared" si="2"/>
      </c>
      <c r="L15" s="146">
        <f t="shared" si="3"/>
      </c>
      <c r="M15" s="147">
        <f t="shared" si="0"/>
      </c>
      <c r="N15" s="160" t="s">
        <v>747</v>
      </c>
      <c r="O15" s="12">
        <v>3</v>
      </c>
      <c r="P15" s="114">
        <v>8</v>
      </c>
    </row>
    <row r="16" spans="1:16" ht="30.75" customHeight="1">
      <c r="A16" s="17">
        <v>4</v>
      </c>
      <c r="B16" s="586"/>
      <c r="C16" s="587"/>
      <c r="D16" s="587"/>
      <c r="E16" s="97"/>
      <c r="F16" s="75"/>
      <c r="G16" s="169"/>
      <c r="H16" s="162"/>
      <c r="I16" s="146">
        <f t="shared" si="1"/>
      </c>
      <c r="J16" s="148"/>
      <c r="K16" s="146">
        <f t="shared" si="2"/>
      </c>
      <c r="L16" s="146">
        <f t="shared" si="3"/>
      </c>
      <c r="M16" s="147">
        <f t="shared" si="0"/>
      </c>
      <c r="N16" s="160" t="s">
        <v>747</v>
      </c>
      <c r="O16" s="13">
        <v>4</v>
      </c>
      <c r="P16" s="114">
        <v>8</v>
      </c>
    </row>
    <row r="17" spans="1:16" ht="30.75" customHeight="1">
      <c r="A17" s="17">
        <v>5</v>
      </c>
      <c r="B17" s="586"/>
      <c r="C17" s="587"/>
      <c r="D17" s="587"/>
      <c r="E17" s="97"/>
      <c r="F17" s="75"/>
      <c r="G17" s="169"/>
      <c r="H17" s="162"/>
      <c r="I17" s="146">
        <f t="shared" si="1"/>
      </c>
      <c r="J17" s="148"/>
      <c r="K17" s="146">
        <f t="shared" si="2"/>
      </c>
      <c r="L17" s="146">
        <f t="shared" si="3"/>
      </c>
      <c r="M17" s="147">
        <f t="shared" si="0"/>
      </c>
      <c r="N17" s="160" t="s">
        <v>747</v>
      </c>
      <c r="O17" s="12">
        <v>5</v>
      </c>
      <c r="P17" s="114">
        <v>8</v>
      </c>
    </row>
    <row r="18" spans="1:16" ht="30.75" customHeight="1">
      <c r="A18" s="17">
        <v>6</v>
      </c>
      <c r="B18" s="586"/>
      <c r="C18" s="587"/>
      <c r="D18" s="587"/>
      <c r="E18" s="97"/>
      <c r="F18" s="75"/>
      <c r="G18" s="169"/>
      <c r="H18" s="162"/>
      <c r="I18" s="146">
        <f t="shared" si="1"/>
      </c>
      <c r="J18" s="148"/>
      <c r="K18" s="146">
        <f t="shared" si="2"/>
      </c>
      <c r="L18" s="146">
        <f t="shared" si="3"/>
      </c>
      <c r="M18" s="147">
        <f t="shared" si="0"/>
      </c>
      <c r="N18" s="160" t="s">
        <v>747</v>
      </c>
      <c r="O18" s="13">
        <v>6</v>
      </c>
      <c r="P18" s="114">
        <v>8</v>
      </c>
    </row>
    <row r="19" spans="1:16" ht="30.75" customHeight="1">
      <c r="A19" s="17">
        <v>7</v>
      </c>
      <c r="B19" s="586"/>
      <c r="C19" s="587"/>
      <c r="D19" s="587"/>
      <c r="E19" s="97"/>
      <c r="F19" s="98"/>
      <c r="G19" s="169"/>
      <c r="H19" s="162"/>
      <c r="I19" s="146">
        <f t="shared" si="1"/>
      </c>
      <c r="J19" s="148"/>
      <c r="K19" s="146">
        <f t="shared" si="2"/>
      </c>
      <c r="L19" s="146">
        <f t="shared" si="3"/>
      </c>
      <c r="M19" s="147">
        <f t="shared" si="0"/>
      </c>
      <c r="N19" s="160" t="s">
        <v>747</v>
      </c>
      <c r="O19" s="12">
        <v>7</v>
      </c>
      <c r="P19" s="114">
        <v>8</v>
      </c>
    </row>
    <row r="20" spans="1:16" ht="30.75" customHeight="1">
      <c r="A20" s="17">
        <v>8</v>
      </c>
      <c r="B20" s="586"/>
      <c r="C20" s="587"/>
      <c r="D20" s="587"/>
      <c r="E20" s="97"/>
      <c r="F20" s="75"/>
      <c r="G20" s="169"/>
      <c r="H20" s="162"/>
      <c r="I20" s="146">
        <f t="shared" si="1"/>
      </c>
      <c r="J20" s="148"/>
      <c r="K20" s="146">
        <f t="shared" si="2"/>
      </c>
      <c r="L20" s="146">
        <f t="shared" si="3"/>
      </c>
      <c r="M20" s="147">
        <f t="shared" si="0"/>
      </c>
      <c r="N20" s="160" t="s">
        <v>747</v>
      </c>
      <c r="O20" s="13">
        <v>8</v>
      </c>
      <c r="P20" s="114">
        <v>8</v>
      </c>
    </row>
    <row r="21" spans="1:16" ht="30.75" customHeight="1">
      <c r="A21" s="17">
        <v>9</v>
      </c>
      <c r="B21" s="586"/>
      <c r="C21" s="587"/>
      <c r="D21" s="587"/>
      <c r="E21" s="97"/>
      <c r="F21" s="75"/>
      <c r="G21" s="169"/>
      <c r="H21" s="162"/>
      <c r="I21" s="146">
        <f t="shared" si="1"/>
      </c>
      <c r="J21" s="148"/>
      <c r="K21" s="146">
        <f t="shared" si="2"/>
      </c>
      <c r="L21" s="146">
        <f t="shared" si="3"/>
      </c>
      <c r="M21" s="147">
        <f t="shared" si="0"/>
      </c>
      <c r="N21" s="160" t="s">
        <v>747</v>
      </c>
      <c r="O21" s="12">
        <v>9</v>
      </c>
      <c r="P21" s="114">
        <v>8</v>
      </c>
    </row>
    <row r="22" spans="1:16" ht="30.75" customHeight="1">
      <c r="A22" s="17">
        <v>10</v>
      </c>
      <c r="B22" s="586"/>
      <c r="C22" s="587"/>
      <c r="D22" s="587"/>
      <c r="E22" s="97"/>
      <c r="F22" s="75"/>
      <c r="G22" s="169"/>
      <c r="H22" s="162"/>
      <c r="I22" s="146">
        <f t="shared" si="1"/>
      </c>
      <c r="J22" s="148"/>
      <c r="K22" s="146">
        <f t="shared" si="2"/>
      </c>
      <c r="L22" s="146">
        <f t="shared" si="3"/>
      </c>
      <c r="M22" s="147">
        <f t="shared" si="0"/>
      </c>
      <c r="N22" s="160" t="s">
        <v>747</v>
      </c>
      <c r="O22" s="13">
        <v>10</v>
      </c>
      <c r="P22" s="114">
        <v>8</v>
      </c>
    </row>
    <row r="23" spans="1:16" ht="30.75" customHeight="1">
      <c r="A23" s="17">
        <v>11</v>
      </c>
      <c r="B23" s="586"/>
      <c r="C23" s="587"/>
      <c r="D23" s="587"/>
      <c r="E23" s="97"/>
      <c r="F23" s="75"/>
      <c r="G23" s="169"/>
      <c r="H23" s="162"/>
      <c r="I23" s="146">
        <f t="shared" si="1"/>
      </c>
      <c r="J23" s="148"/>
      <c r="K23" s="146">
        <f t="shared" si="2"/>
      </c>
      <c r="L23" s="146">
        <f t="shared" si="3"/>
      </c>
      <c r="M23" s="147">
        <f t="shared" si="0"/>
      </c>
      <c r="N23" s="160" t="s">
        <v>747</v>
      </c>
      <c r="O23" s="12">
        <v>11</v>
      </c>
      <c r="P23" s="114">
        <v>8</v>
      </c>
    </row>
    <row r="24" spans="1:16" ht="30.75" customHeight="1">
      <c r="A24" s="17">
        <v>12</v>
      </c>
      <c r="B24" s="586"/>
      <c r="C24" s="587"/>
      <c r="D24" s="587"/>
      <c r="E24" s="97"/>
      <c r="F24" s="75"/>
      <c r="G24" s="169"/>
      <c r="H24" s="162"/>
      <c r="I24" s="146">
        <f t="shared" si="1"/>
      </c>
      <c r="J24" s="148"/>
      <c r="K24" s="146">
        <f t="shared" si="2"/>
      </c>
      <c r="L24" s="146">
        <f t="shared" si="3"/>
      </c>
      <c r="M24" s="147">
        <f t="shared" si="0"/>
      </c>
      <c r="N24" s="160" t="s">
        <v>747</v>
      </c>
      <c r="O24" s="13">
        <v>12</v>
      </c>
      <c r="P24" s="114">
        <v>8</v>
      </c>
    </row>
    <row r="25" spans="1:16" ht="30.75" customHeight="1">
      <c r="A25" s="17">
        <v>13</v>
      </c>
      <c r="B25" s="586"/>
      <c r="C25" s="587"/>
      <c r="D25" s="587"/>
      <c r="E25" s="97"/>
      <c r="F25" s="75"/>
      <c r="G25" s="169"/>
      <c r="H25" s="162"/>
      <c r="I25" s="146">
        <f t="shared" si="1"/>
      </c>
      <c r="J25" s="148"/>
      <c r="K25" s="146">
        <f t="shared" si="2"/>
      </c>
      <c r="L25" s="146">
        <f t="shared" si="3"/>
      </c>
      <c r="M25" s="147">
        <f t="shared" si="0"/>
      </c>
      <c r="N25" s="160" t="s">
        <v>747</v>
      </c>
      <c r="O25" s="12">
        <v>13</v>
      </c>
      <c r="P25" s="114">
        <v>8</v>
      </c>
    </row>
    <row r="26" spans="1:16" ht="30.75" customHeight="1">
      <c r="A26" s="17">
        <v>14</v>
      </c>
      <c r="B26" s="586"/>
      <c r="C26" s="587"/>
      <c r="D26" s="587"/>
      <c r="E26" s="99"/>
      <c r="F26" s="75"/>
      <c r="G26" s="169"/>
      <c r="H26" s="162"/>
      <c r="I26" s="146">
        <f t="shared" si="1"/>
      </c>
      <c r="J26" s="148"/>
      <c r="K26" s="146">
        <f t="shared" si="2"/>
      </c>
      <c r="L26" s="146">
        <f t="shared" si="3"/>
      </c>
      <c r="M26" s="147">
        <f t="shared" si="0"/>
      </c>
      <c r="N26" s="160" t="s">
        <v>747</v>
      </c>
      <c r="O26" s="13">
        <v>14</v>
      </c>
      <c r="P26" s="114">
        <v>8</v>
      </c>
    </row>
    <row r="27" spans="1:16" ht="30.75" customHeight="1">
      <c r="A27" s="17">
        <v>15</v>
      </c>
      <c r="B27" s="586"/>
      <c r="C27" s="587"/>
      <c r="D27" s="587"/>
      <c r="E27" s="99"/>
      <c r="F27" s="75"/>
      <c r="G27" s="169"/>
      <c r="H27" s="162"/>
      <c r="I27" s="146">
        <f t="shared" si="1"/>
      </c>
      <c r="J27" s="148"/>
      <c r="K27" s="146">
        <f t="shared" si="2"/>
      </c>
      <c r="L27" s="146">
        <f t="shared" si="3"/>
      </c>
      <c r="M27" s="147">
        <f t="shared" si="0"/>
      </c>
      <c r="N27" s="160" t="s">
        <v>747</v>
      </c>
      <c r="O27" s="12">
        <v>15</v>
      </c>
      <c r="P27" s="114">
        <v>8</v>
      </c>
    </row>
    <row r="28" spans="1:16" ht="30.75" customHeight="1">
      <c r="A28" s="17">
        <v>16</v>
      </c>
      <c r="B28" s="586"/>
      <c r="C28" s="587"/>
      <c r="D28" s="587"/>
      <c r="E28" s="97"/>
      <c r="F28" s="75"/>
      <c r="G28" s="169"/>
      <c r="H28" s="162"/>
      <c r="I28" s="146">
        <f t="shared" si="1"/>
      </c>
      <c r="J28" s="148"/>
      <c r="K28" s="146">
        <f t="shared" si="2"/>
      </c>
      <c r="L28" s="146">
        <f t="shared" si="3"/>
      </c>
      <c r="M28" s="147">
        <f t="shared" si="0"/>
      </c>
      <c r="N28" s="160" t="s">
        <v>747</v>
      </c>
      <c r="O28" s="13">
        <v>16</v>
      </c>
      <c r="P28" s="114">
        <v>8</v>
      </c>
    </row>
    <row r="29" spans="1:16" ht="30.75" customHeight="1">
      <c r="A29" s="17">
        <v>17</v>
      </c>
      <c r="B29" s="586"/>
      <c r="C29" s="587"/>
      <c r="D29" s="587"/>
      <c r="E29" s="97"/>
      <c r="F29" s="75"/>
      <c r="G29" s="169"/>
      <c r="H29" s="162"/>
      <c r="I29" s="146">
        <f t="shared" si="1"/>
      </c>
      <c r="J29" s="148"/>
      <c r="K29" s="146">
        <f t="shared" si="2"/>
      </c>
      <c r="L29" s="146">
        <f t="shared" si="3"/>
      </c>
      <c r="M29" s="147">
        <f t="shared" si="0"/>
      </c>
      <c r="N29" s="160" t="s">
        <v>747</v>
      </c>
      <c r="O29" s="12">
        <v>17</v>
      </c>
      <c r="P29" s="114">
        <v>8</v>
      </c>
    </row>
    <row r="30" spans="1:16" ht="30.75" customHeight="1">
      <c r="A30" s="17">
        <v>18</v>
      </c>
      <c r="B30" s="586"/>
      <c r="C30" s="587"/>
      <c r="D30" s="587"/>
      <c r="E30" s="97"/>
      <c r="F30" s="75"/>
      <c r="G30" s="169"/>
      <c r="H30" s="162"/>
      <c r="I30" s="146">
        <f t="shared" si="1"/>
      </c>
      <c r="J30" s="148"/>
      <c r="K30" s="146">
        <f t="shared" si="2"/>
      </c>
      <c r="L30" s="146">
        <f t="shared" si="3"/>
      </c>
      <c r="M30" s="147">
        <f t="shared" si="0"/>
      </c>
      <c r="N30" s="160" t="s">
        <v>747</v>
      </c>
      <c r="O30" s="13">
        <v>18</v>
      </c>
      <c r="P30" s="114">
        <v>8</v>
      </c>
    </row>
    <row r="31" spans="1:16" ht="30.75" customHeight="1">
      <c r="A31" s="17">
        <v>19</v>
      </c>
      <c r="B31" s="586"/>
      <c r="C31" s="587"/>
      <c r="D31" s="587"/>
      <c r="E31" s="99"/>
      <c r="F31" s="75"/>
      <c r="G31" s="169"/>
      <c r="H31" s="162"/>
      <c r="I31" s="146">
        <f t="shared" si="1"/>
      </c>
      <c r="J31" s="148"/>
      <c r="K31" s="146">
        <f t="shared" si="2"/>
      </c>
      <c r="L31" s="146">
        <f t="shared" si="3"/>
      </c>
      <c r="M31" s="147">
        <f t="shared" si="0"/>
      </c>
      <c r="N31" s="160" t="s">
        <v>747</v>
      </c>
      <c r="O31" s="12">
        <v>19</v>
      </c>
      <c r="P31" s="114">
        <v>8</v>
      </c>
    </row>
    <row r="32" spans="1:16" ht="30.75" customHeight="1" thickBot="1">
      <c r="A32" s="27">
        <v>20</v>
      </c>
      <c r="B32" s="593"/>
      <c r="C32" s="594"/>
      <c r="D32" s="594"/>
      <c r="E32" s="100"/>
      <c r="F32" s="79"/>
      <c r="G32" s="172"/>
      <c r="H32" s="164"/>
      <c r="I32" s="149">
        <f t="shared" si="1"/>
      </c>
      <c r="J32" s="150"/>
      <c r="K32" s="149">
        <f t="shared" si="2"/>
      </c>
      <c r="L32" s="149">
        <f t="shared" si="3"/>
      </c>
      <c r="M32" s="151">
        <f t="shared" si="0"/>
      </c>
      <c r="N32" s="161" t="s">
        <v>747</v>
      </c>
      <c r="O32" s="28">
        <v>20</v>
      </c>
      <c r="P32" s="115">
        <v>8</v>
      </c>
    </row>
    <row r="33" spans="1:15" ht="21" customHeight="1" thickBot="1">
      <c r="A33" s="603" t="s">
        <v>14</v>
      </c>
      <c r="B33" s="604"/>
      <c r="C33" s="604"/>
      <c r="D33" s="604"/>
      <c r="E33" s="604"/>
      <c r="F33" s="604"/>
      <c r="G33" s="604"/>
      <c r="H33" s="604"/>
      <c r="I33" s="604"/>
      <c r="J33" s="82"/>
      <c r="K33" s="145">
        <f>SUM(K13:K32)</f>
        <v>972000</v>
      </c>
      <c r="L33" s="145">
        <f>SUM(L13:L32)</f>
        <v>900000</v>
      </c>
      <c r="M33" s="157">
        <f>SUM(M13:M32)</f>
        <v>900000</v>
      </c>
      <c r="N33" s="159">
        <f>SUM(N13:N32)</f>
        <v>900000</v>
      </c>
      <c r="O33" s="14"/>
    </row>
    <row r="34" spans="1:15" ht="13.5" customHeight="1">
      <c r="A34" s="90"/>
      <c r="O34" s="11"/>
    </row>
    <row r="35" spans="1:15" ht="13.5" customHeight="1">
      <c r="A35" s="90"/>
      <c r="B35" s="1" t="s">
        <v>16</v>
      </c>
      <c r="D35" s="90"/>
      <c r="E35" s="80" t="s">
        <v>32</v>
      </c>
      <c r="O35" s="11"/>
    </row>
    <row r="36" ht="13.5" customHeight="1">
      <c r="E36" s="80" t="s">
        <v>33</v>
      </c>
    </row>
    <row r="37" spans="2:5" ht="13.5" customHeight="1">
      <c r="B37" s="1" t="s">
        <v>17</v>
      </c>
      <c r="E37" s="80" t="s">
        <v>34</v>
      </c>
    </row>
    <row r="38" spans="2:5" ht="13.5" customHeight="1">
      <c r="B38" s="1" t="s">
        <v>18</v>
      </c>
      <c r="E38" s="80" t="s">
        <v>35</v>
      </c>
    </row>
  </sheetData>
  <sheetProtection sheet="1" objects="1" scenarios="1"/>
  <mergeCells count="28">
    <mergeCell ref="A4:E4"/>
    <mergeCell ref="A11:A12"/>
    <mergeCell ref="B11:D11"/>
    <mergeCell ref="K11:L11"/>
    <mergeCell ref="O11:O12"/>
    <mergeCell ref="P11:P12"/>
    <mergeCell ref="M11:N11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31:D31"/>
    <mergeCell ref="B32:D32"/>
    <mergeCell ref="A33:I33"/>
    <mergeCell ref="B25:D25"/>
    <mergeCell ref="B26:D26"/>
    <mergeCell ref="B27:D27"/>
    <mergeCell ref="B28:D28"/>
    <mergeCell ref="B29:D29"/>
    <mergeCell ref="B30:D30"/>
  </mergeCells>
  <dataValidations count="1">
    <dataValidation allowBlank="1" showInputMessage="1" showErrorMessage="1" imeMode="halfAlpha" sqref="I13:N32"/>
  </dataValidations>
  <hyperlinks>
    <hyperlink ref="B2" location="経費明細表!A1" display="戻る"/>
  </hyperlinks>
  <printOptions/>
  <pageMargins left="0.8661417322834646" right="0.7086614173228347" top="0.7480314960629921" bottom="0.7480314960629921" header="0.31496062992125984" footer="0.31496062992125984"/>
  <pageSetup fitToHeight="1" fitToWidth="1" horizontalDpi="600" verticalDpi="600" orientation="portrait" paperSize="9" scale="62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0">
    <tabColor rgb="FF92D050"/>
    <pageSetUpPr fitToPage="1"/>
  </sheetPr>
  <dimension ref="A1:S38"/>
  <sheetViews>
    <sheetView showGridLines="0" zoomScaleSheetLayoutView="80" zoomScalePageLayoutView="0" workbookViewId="0" topLeftCell="A1">
      <pane ySplit="3" topLeftCell="A4" activePane="bottomLeft" state="frozen"/>
      <selection pane="topLeft" activeCell="I12" sqref="I12"/>
      <selection pane="bottomLeft" activeCell="A1" sqref="A1"/>
    </sheetView>
  </sheetViews>
  <sheetFormatPr defaultColWidth="9.140625" defaultRowHeight="15"/>
  <cols>
    <col min="1" max="4" width="3.7109375" style="1" customWidth="1"/>
    <col min="5" max="5" width="16.421875" style="80" customWidth="1"/>
    <col min="6" max="6" width="16.140625" style="80" customWidth="1"/>
    <col min="7" max="7" width="9.140625" style="1" customWidth="1"/>
    <col min="8" max="8" width="6.421875" style="1" customWidth="1"/>
    <col min="9" max="10" width="11.57421875" style="1" customWidth="1"/>
    <col min="11" max="14" width="15.140625" style="1" customWidth="1"/>
    <col min="15" max="15" width="3.8515625" style="5" customWidth="1"/>
    <col min="16" max="16" width="5.28125" style="5" customWidth="1"/>
    <col min="17" max="16384" width="9.00390625" style="1" customWidth="1"/>
  </cols>
  <sheetData>
    <row r="1" spans="1:19" ht="13.5">
      <c r="A1" s="5"/>
      <c r="E1" s="85"/>
      <c r="H1" s="5"/>
      <c r="Q1" s="5"/>
      <c r="R1" s="86"/>
      <c r="S1" s="86"/>
    </row>
    <row r="2" spans="1:19" ht="13.5">
      <c r="A2" s="5"/>
      <c r="B2" s="246" t="s">
        <v>583</v>
      </c>
      <c r="E2" s="85"/>
      <c r="H2" s="5"/>
      <c r="Q2" s="5"/>
      <c r="R2" s="86"/>
      <c r="S2" s="86"/>
    </row>
    <row r="3" spans="1:19" ht="13.5">
      <c r="A3" s="5"/>
      <c r="E3" s="85"/>
      <c r="H3" s="5"/>
      <c r="Q3" s="5"/>
      <c r="R3" s="86"/>
      <c r="S3" s="86"/>
    </row>
    <row r="4" spans="1:6" ht="13.5" customHeight="1">
      <c r="A4" s="590" t="s">
        <v>757</v>
      </c>
      <c r="B4" s="590"/>
      <c r="C4" s="590"/>
      <c r="D4" s="590"/>
      <c r="E4" s="590"/>
      <c r="F4" s="5"/>
    </row>
    <row r="5" spans="1:15" ht="13.5" customHeight="1">
      <c r="A5" s="11"/>
      <c r="B5" s="11"/>
      <c r="C5" s="11"/>
      <c r="D5" s="11"/>
      <c r="E5" s="87"/>
      <c r="F5" s="5"/>
      <c r="O5" s="11"/>
    </row>
    <row r="6" spans="1:15" ht="13.5" customHeight="1">
      <c r="A6" s="11"/>
      <c r="B6" s="238" t="s">
        <v>669</v>
      </c>
      <c r="C6" s="239"/>
      <c r="D6" s="240"/>
      <c r="E6" s="241"/>
      <c r="F6" s="88" t="s">
        <v>15</v>
      </c>
      <c r="O6" s="11"/>
    </row>
    <row r="7" spans="1:15" ht="13.5" customHeight="1">
      <c r="A7" s="11"/>
      <c r="B7" s="11"/>
      <c r="C7" s="11"/>
      <c r="D7" s="11"/>
      <c r="E7" s="87"/>
      <c r="F7" s="133" t="s">
        <v>557</v>
      </c>
      <c r="O7" s="11"/>
    </row>
    <row r="8" spans="1:16" ht="13.5" customHeight="1">
      <c r="A8" s="11"/>
      <c r="B8" s="11"/>
      <c r="C8" s="11"/>
      <c r="D8" s="11"/>
      <c r="E8" s="87"/>
      <c r="F8" s="5"/>
      <c r="N8" s="1" t="s">
        <v>19</v>
      </c>
      <c r="O8" s="11"/>
      <c r="P8" s="89"/>
    </row>
    <row r="9" spans="1:15" ht="13.5" customHeight="1">
      <c r="A9" s="90"/>
      <c r="F9" s="5"/>
      <c r="K9" s="2" t="s">
        <v>526</v>
      </c>
      <c r="L9" s="80" t="str">
        <f>IF('基本情報入力（使い方）'!$C$11="","",'基本情報入力（使い方）'!$C$11)</f>
        <v>Ｂ金属株式会社</v>
      </c>
      <c r="M9" s="91"/>
      <c r="N9" s="91"/>
      <c r="O9" s="11"/>
    </row>
    <row r="10" spans="1:15" ht="13.5" customHeight="1" thickBot="1">
      <c r="A10" s="90"/>
      <c r="F10" s="5"/>
      <c r="O10" s="11"/>
    </row>
    <row r="11" spans="1:16" ht="27" customHeight="1">
      <c r="A11" s="591" t="s">
        <v>1</v>
      </c>
      <c r="B11" s="583" t="s">
        <v>2</v>
      </c>
      <c r="C11" s="583"/>
      <c r="D11" s="582"/>
      <c r="E11" s="3" t="s">
        <v>3</v>
      </c>
      <c r="F11" s="3" t="s">
        <v>4</v>
      </c>
      <c r="G11" s="3" t="s">
        <v>5</v>
      </c>
      <c r="H11" s="3" t="s">
        <v>6</v>
      </c>
      <c r="I11" s="3" t="s">
        <v>0</v>
      </c>
      <c r="J11" s="3" t="s">
        <v>0</v>
      </c>
      <c r="K11" s="581" t="s">
        <v>7</v>
      </c>
      <c r="L11" s="582"/>
      <c r="M11" s="581" t="s">
        <v>8</v>
      </c>
      <c r="N11" s="582"/>
      <c r="O11" s="595" t="s">
        <v>1</v>
      </c>
      <c r="P11" s="597" t="s">
        <v>39</v>
      </c>
    </row>
    <row r="12" spans="1:16" ht="42" customHeight="1" thickBot="1">
      <c r="A12" s="592"/>
      <c r="B12" s="92" t="s">
        <v>9</v>
      </c>
      <c r="C12" s="92" t="s">
        <v>10</v>
      </c>
      <c r="D12" s="93" t="s">
        <v>11</v>
      </c>
      <c r="E12" s="94"/>
      <c r="F12" s="95"/>
      <c r="G12" s="81"/>
      <c r="H12" s="81"/>
      <c r="I12" s="81" t="s">
        <v>12</v>
      </c>
      <c r="J12" s="81" t="s">
        <v>24</v>
      </c>
      <c r="K12" s="81" t="s">
        <v>13</v>
      </c>
      <c r="L12" s="4" t="s">
        <v>22</v>
      </c>
      <c r="M12" s="412" t="s">
        <v>744</v>
      </c>
      <c r="N12" s="4" t="s">
        <v>745</v>
      </c>
      <c r="O12" s="596"/>
      <c r="P12" s="598"/>
    </row>
    <row r="13" spans="1:16" ht="30.75" customHeight="1">
      <c r="A13" s="16">
        <v>1</v>
      </c>
      <c r="B13" s="599"/>
      <c r="C13" s="600"/>
      <c r="D13" s="600"/>
      <c r="E13" s="96" t="s">
        <v>620</v>
      </c>
      <c r="F13" s="74" t="s">
        <v>622</v>
      </c>
      <c r="G13" s="169">
        <v>1</v>
      </c>
      <c r="H13" s="162" t="s">
        <v>626</v>
      </c>
      <c r="I13" s="146">
        <f>IF(J13="","",ROUNDDOWN(J13*(1+P13/100),0))</f>
        <v>108000</v>
      </c>
      <c r="J13" s="148">
        <v>100000</v>
      </c>
      <c r="K13" s="146">
        <f>IF(L13="","",ROUNDDOWN(L13*(1+P13/100),0))</f>
        <v>108000</v>
      </c>
      <c r="L13" s="146">
        <f>IF(OR(J13="",G13=""),"",ROUNDDOWN(J13*G13,0))</f>
        <v>100000</v>
      </c>
      <c r="M13" s="147">
        <f aca="true" t="shared" si="0" ref="M13:M32">L13</f>
        <v>100000</v>
      </c>
      <c r="N13" s="160">
        <v>100000</v>
      </c>
      <c r="O13" s="12">
        <v>1</v>
      </c>
      <c r="P13" s="114">
        <v>8</v>
      </c>
    </row>
    <row r="14" spans="1:16" ht="30.75" customHeight="1">
      <c r="A14" s="17">
        <v>2</v>
      </c>
      <c r="B14" s="586"/>
      <c r="C14" s="587"/>
      <c r="D14" s="587"/>
      <c r="E14" s="96" t="s">
        <v>620</v>
      </c>
      <c r="F14" s="75" t="s">
        <v>623</v>
      </c>
      <c r="G14" s="169">
        <v>1</v>
      </c>
      <c r="H14" s="162" t="s">
        <v>625</v>
      </c>
      <c r="I14" s="146">
        <f aca="true" t="shared" si="1" ref="I14:I32">IF(J14="","",ROUNDDOWN(J14*(1+P14/100),0))</f>
        <v>54000</v>
      </c>
      <c r="J14" s="148">
        <v>50000</v>
      </c>
      <c r="K14" s="146">
        <f aca="true" t="shared" si="2" ref="K14:K32">IF(L14="","",ROUNDDOWN(L14*(1+P14/100),0))</f>
        <v>54000</v>
      </c>
      <c r="L14" s="146">
        <f aca="true" t="shared" si="3" ref="L14:L32">IF(OR(J14="",G14=""),"",ROUNDDOWN(J14*G14,0))</f>
        <v>50000</v>
      </c>
      <c r="M14" s="147">
        <f t="shared" si="0"/>
        <v>50000</v>
      </c>
      <c r="N14" s="160">
        <v>50000</v>
      </c>
      <c r="O14" s="13">
        <v>2</v>
      </c>
      <c r="P14" s="114">
        <v>8</v>
      </c>
    </row>
    <row r="15" spans="1:16" ht="30.75" customHeight="1">
      <c r="A15" s="17">
        <v>3</v>
      </c>
      <c r="B15" s="586"/>
      <c r="C15" s="587"/>
      <c r="D15" s="587"/>
      <c r="E15" s="96" t="s">
        <v>620</v>
      </c>
      <c r="F15" s="75" t="s">
        <v>624</v>
      </c>
      <c r="G15" s="169">
        <v>15</v>
      </c>
      <c r="H15" s="162" t="s">
        <v>627</v>
      </c>
      <c r="I15" s="146">
        <f t="shared" si="1"/>
        <v>5400</v>
      </c>
      <c r="J15" s="148">
        <v>5000</v>
      </c>
      <c r="K15" s="146">
        <f t="shared" si="2"/>
        <v>81000</v>
      </c>
      <c r="L15" s="146">
        <f t="shared" si="3"/>
        <v>75000</v>
      </c>
      <c r="M15" s="147">
        <f t="shared" si="0"/>
        <v>75000</v>
      </c>
      <c r="N15" s="160">
        <v>75000</v>
      </c>
      <c r="O15" s="12">
        <v>3</v>
      </c>
      <c r="P15" s="114">
        <v>8</v>
      </c>
    </row>
    <row r="16" spans="1:16" ht="30.75" customHeight="1">
      <c r="A16" s="17">
        <v>4</v>
      </c>
      <c r="B16" s="586"/>
      <c r="C16" s="587"/>
      <c r="D16" s="587"/>
      <c r="E16" s="97"/>
      <c r="F16" s="75"/>
      <c r="G16" s="169"/>
      <c r="H16" s="162"/>
      <c r="I16" s="146">
        <f t="shared" si="1"/>
      </c>
      <c r="J16" s="148"/>
      <c r="K16" s="146">
        <f t="shared" si="2"/>
      </c>
      <c r="L16" s="146">
        <f t="shared" si="3"/>
      </c>
      <c r="M16" s="147">
        <f t="shared" si="0"/>
      </c>
      <c r="N16" s="160" t="s">
        <v>747</v>
      </c>
      <c r="O16" s="13">
        <v>4</v>
      </c>
      <c r="P16" s="114">
        <v>8</v>
      </c>
    </row>
    <row r="17" spans="1:16" ht="30.75" customHeight="1">
      <c r="A17" s="17">
        <v>5</v>
      </c>
      <c r="B17" s="586"/>
      <c r="C17" s="587"/>
      <c r="D17" s="587"/>
      <c r="E17" s="97"/>
      <c r="F17" s="75"/>
      <c r="G17" s="169"/>
      <c r="H17" s="162"/>
      <c r="I17" s="146">
        <f t="shared" si="1"/>
      </c>
      <c r="J17" s="148"/>
      <c r="K17" s="146">
        <f t="shared" si="2"/>
      </c>
      <c r="L17" s="146">
        <f t="shared" si="3"/>
      </c>
      <c r="M17" s="147">
        <f t="shared" si="0"/>
      </c>
      <c r="N17" s="160" t="s">
        <v>747</v>
      </c>
      <c r="O17" s="12">
        <v>5</v>
      </c>
      <c r="P17" s="114">
        <v>8</v>
      </c>
    </row>
    <row r="18" spans="1:16" ht="30.75" customHeight="1">
      <c r="A18" s="17">
        <v>6</v>
      </c>
      <c r="B18" s="586"/>
      <c r="C18" s="587"/>
      <c r="D18" s="587"/>
      <c r="E18" s="97"/>
      <c r="F18" s="75"/>
      <c r="G18" s="169"/>
      <c r="H18" s="162"/>
      <c r="I18" s="146">
        <f t="shared" si="1"/>
      </c>
      <c r="J18" s="148"/>
      <c r="K18" s="146">
        <f t="shared" si="2"/>
      </c>
      <c r="L18" s="146">
        <f t="shared" si="3"/>
      </c>
      <c r="M18" s="147">
        <f t="shared" si="0"/>
      </c>
      <c r="N18" s="160" t="s">
        <v>747</v>
      </c>
      <c r="O18" s="13">
        <v>6</v>
      </c>
      <c r="P18" s="114">
        <v>8</v>
      </c>
    </row>
    <row r="19" spans="1:16" ht="30.75" customHeight="1">
      <c r="A19" s="17">
        <v>7</v>
      </c>
      <c r="B19" s="586"/>
      <c r="C19" s="587"/>
      <c r="D19" s="587"/>
      <c r="E19" s="97"/>
      <c r="F19" s="98"/>
      <c r="G19" s="169"/>
      <c r="H19" s="162"/>
      <c r="I19" s="146">
        <f t="shared" si="1"/>
      </c>
      <c r="J19" s="148"/>
      <c r="K19" s="146">
        <f t="shared" si="2"/>
      </c>
      <c r="L19" s="146">
        <f t="shared" si="3"/>
      </c>
      <c r="M19" s="147">
        <f t="shared" si="0"/>
      </c>
      <c r="N19" s="160" t="s">
        <v>747</v>
      </c>
      <c r="O19" s="12">
        <v>7</v>
      </c>
      <c r="P19" s="114">
        <v>8</v>
      </c>
    </row>
    <row r="20" spans="1:16" ht="30.75" customHeight="1">
      <c r="A20" s="17">
        <v>8</v>
      </c>
      <c r="B20" s="586"/>
      <c r="C20" s="587"/>
      <c r="D20" s="587"/>
      <c r="E20" s="97"/>
      <c r="F20" s="75"/>
      <c r="G20" s="169"/>
      <c r="H20" s="162"/>
      <c r="I20" s="146">
        <f t="shared" si="1"/>
      </c>
      <c r="J20" s="148"/>
      <c r="K20" s="146">
        <f t="shared" si="2"/>
      </c>
      <c r="L20" s="146">
        <f t="shared" si="3"/>
      </c>
      <c r="M20" s="147">
        <f t="shared" si="0"/>
      </c>
      <c r="N20" s="160" t="s">
        <v>747</v>
      </c>
      <c r="O20" s="13">
        <v>8</v>
      </c>
      <c r="P20" s="114">
        <v>8</v>
      </c>
    </row>
    <row r="21" spans="1:16" ht="30.75" customHeight="1">
      <c r="A21" s="17">
        <v>9</v>
      </c>
      <c r="B21" s="586"/>
      <c r="C21" s="587"/>
      <c r="D21" s="587"/>
      <c r="E21" s="97"/>
      <c r="F21" s="75"/>
      <c r="G21" s="169"/>
      <c r="H21" s="162"/>
      <c r="I21" s="146">
        <f t="shared" si="1"/>
      </c>
      <c r="J21" s="148"/>
      <c r="K21" s="146">
        <f t="shared" si="2"/>
      </c>
      <c r="L21" s="146">
        <f t="shared" si="3"/>
      </c>
      <c r="M21" s="147">
        <f t="shared" si="0"/>
      </c>
      <c r="N21" s="160" t="s">
        <v>747</v>
      </c>
      <c r="O21" s="12">
        <v>9</v>
      </c>
      <c r="P21" s="114">
        <v>8</v>
      </c>
    </row>
    <row r="22" spans="1:16" ht="30.75" customHeight="1">
      <c r="A22" s="17">
        <v>10</v>
      </c>
      <c r="B22" s="586"/>
      <c r="C22" s="587"/>
      <c r="D22" s="587"/>
      <c r="E22" s="97"/>
      <c r="F22" s="75"/>
      <c r="G22" s="169"/>
      <c r="H22" s="162"/>
      <c r="I22" s="146">
        <f t="shared" si="1"/>
      </c>
      <c r="J22" s="148"/>
      <c r="K22" s="146">
        <f t="shared" si="2"/>
      </c>
      <c r="L22" s="146">
        <f t="shared" si="3"/>
      </c>
      <c r="M22" s="147">
        <f t="shared" si="0"/>
      </c>
      <c r="N22" s="160" t="s">
        <v>747</v>
      </c>
      <c r="O22" s="13">
        <v>10</v>
      </c>
      <c r="P22" s="114">
        <v>8</v>
      </c>
    </row>
    <row r="23" spans="1:16" ht="30.75" customHeight="1">
      <c r="A23" s="17">
        <v>11</v>
      </c>
      <c r="B23" s="586"/>
      <c r="C23" s="587"/>
      <c r="D23" s="587"/>
      <c r="E23" s="97"/>
      <c r="F23" s="75"/>
      <c r="G23" s="169"/>
      <c r="H23" s="162"/>
      <c r="I23" s="146">
        <f t="shared" si="1"/>
      </c>
      <c r="J23" s="148"/>
      <c r="K23" s="146">
        <f t="shared" si="2"/>
      </c>
      <c r="L23" s="146">
        <f t="shared" si="3"/>
      </c>
      <c r="M23" s="147">
        <f t="shared" si="0"/>
      </c>
      <c r="N23" s="160" t="s">
        <v>747</v>
      </c>
      <c r="O23" s="12">
        <v>11</v>
      </c>
      <c r="P23" s="114">
        <v>8</v>
      </c>
    </row>
    <row r="24" spans="1:16" ht="30.75" customHeight="1">
      <c r="A24" s="17">
        <v>12</v>
      </c>
      <c r="B24" s="586"/>
      <c r="C24" s="587"/>
      <c r="D24" s="587"/>
      <c r="E24" s="97"/>
      <c r="F24" s="75"/>
      <c r="G24" s="169"/>
      <c r="H24" s="162"/>
      <c r="I24" s="146">
        <f t="shared" si="1"/>
      </c>
      <c r="J24" s="148"/>
      <c r="K24" s="146">
        <f t="shared" si="2"/>
      </c>
      <c r="L24" s="146">
        <f t="shared" si="3"/>
      </c>
      <c r="M24" s="147">
        <f t="shared" si="0"/>
      </c>
      <c r="N24" s="160" t="s">
        <v>747</v>
      </c>
      <c r="O24" s="13">
        <v>12</v>
      </c>
      <c r="P24" s="114">
        <v>8</v>
      </c>
    </row>
    <row r="25" spans="1:16" ht="30.75" customHeight="1">
      <c r="A25" s="17">
        <v>13</v>
      </c>
      <c r="B25" s="586"/>
      <c r="C25" s="587"/>
      <c r="D25" s="587"/>
      <c r="E25" s="97"/>
      <c r="F25" s="75"/>
      <c r="G25" s="169"/>
      <c r="H25" s="162"/>
      <c r="I25" s="146">
        <f t="shared" si="1"/>
      </c>
      <c r="J25" s="148"/>
      <c r="K25" s="146">
        <f t="shared" si="2"/>
      </c>
      <c r="L25" s="146">
        <f t="shared" si="3"/>
      </c>
      <c r="M25" s="147">
        <f t="shared" si="0"/>
      </c>
      <c r="N25" s="160" t="s">
        <v>747</v>
      </c>
      <c r="O25" s="12">
        <v>13</v>
      </c>
      <c r="P25" s="114">
        <v>8</v>
      </c>
    </row>
    <row r="26" spans="1:16" ht="30.75" customHeight="1">
      <c r="A26" s="17">
        <v>14</v>
      </c>
      <c r="B26" s="586"/>
      <c r="C26" s="587"/>
      <c r="D26" s="587"/>
      <c r="E26" s="99"/>
      <c r="F26" s="75"/>
      <c r="G26" s="169"/>
      <c r="H26" s="162"/>
      <c r="I26" s="146">
        <f t="shared" si="1"/>
      </c>
      <c r="J26" s="148"/>
      <c r="K26" s="146">
        <f t="shared" si="2"/>
      </c>
      <c r="L26" s="146">
        <f t="shared" si="3"/>
      </c>
      <c r="M26" s="147">
        <f t="shared" si="0"/>
      </c>
      <c r="N26" s="160" t="s">
        <v>747</v>
      </c>
      <c r="O26" s="13">
        <v>14</v>
      </c>
      <c r="P26" s="114">
        <v>8</v>
      </c>
    </row>
    <row r="27" spans="1:16" ht="30.75" customHeight="1">
      <c r="A27" s="17">
        <v>15</v>
      </c>
      <c r="B27" s="586"/>
      <c r="C27" s="587"/>
      <c r="D27" s="587"/>
      <c r="E27" s="99"/>
      <c r="F27" s="75"/>
      <c r="G27" s="169"/>
      <c r="H27" s="162"/>
      <c r="I27" s="146">
        <f t="shared" si="1"/>
      </c>
      <c r="J27" s="148"/>
      <c r="K27" s="146">
        <f t="shared" si="2"/>
      </c>
      <c r="L27" s="146">
        <f t="shared" si="3"/>
      </c>
      <c r="M27" s="147">
        <f t="shared" si="0"/>
      </c>
      <c r="N27" s="160" t="s">
        <v>747</v>
      </c>
      <c r="O27" s="12">
        <v>15</v>
      </c>
      <c r="P27" s="114">
        <v>8</v>
      </c>
    </row>
    <row r="28" spans="1:16" ht="30.75" customHeight="1">
      <c r="A28" s="17">
        <v>16</v>
      </c>
      <c r="B28" s="586"/>
      <c r="C28" s="587"/>
      <c r="D28" s="587"/>
      <c r="E28" s="97"/>
      <c r="F28" s="75"/>
      <c r="G28" s="169"/>
      <c r="H28" s="162"/>
      <c r="I28" s="146">
        <f t="shared" si="1"/>
      </c>
      <c r="J28" s="148"/>
      <c r="K28" s="146">
        <f t="shared" si="2"/>
      </c>
      <c r="L28" s="146">
        <f t="shared" si="3"/>
      </c>
      <c r="M28" s="147">
        <f t="shared" si="0"/>
      </c>
      <c r="N28" s="160" t="s">
        <v>747</v>
      </c>
      <c r="O28" s="13">
        <v>16</v>
      </c>
      <c r="P28" s="114">
        <v>8</v>
      </c>
    </row>
    <row r="29" spans="1:16" ht="30.75" customHeight="1">
      <c r="A29" s="17">
        <v>17</v>
      </c>
      <c r="B29" s="586"/>
      <c r="C29" s="587"/>
      <c r="D29" s="587"/>
      <c r="E29" s="97"/>
      <c r="F29" s="75"/>
      <c r="G29" s="169"/>
      <c r="H29" s="162"/>
      <c r="I29" s="146">
        <f t="shared" si="1"/>
      </c>
      <c r="J29" s="148"/>
      <c r="K29" s="146">
        <f t="shared" si="2"/>
      </c>
      <c r="L29" s="146">
        <f t="shared" si="3"/>
      </c>
      <c r="M29" s="147">
        <f t="shared" si="0"/>
      </c>
      <c r="N29" s="160" t="s">
        <v>747</v>
      </c>
      <c r="O29" s="12">
        <v>17</v>
      </c>
      <c r="P29" s="114">
        <v>8</v>
      </c>
    </row>
    <row r="30" spans="1:16" ht="30.75" customHeight="1">
      <c r="A30" s="17">
        <v>18</v>
      </c>
      <c r="B30" s="586"/>
      <c r="C30" s="587"/>
      <c r="D30" s="587"/>
      <c r="E30" s="97"/>
      <c r="F30" s="75"/>
      <c r="G30" s="169"/>
      <c r="H30" s="162"/>
      <c r="I30" s="146">
        <f t="shared" si="1"/>
      </c>
      <c r="J30" s="148"/>
      <c r="K30" s="146">
        <f t="shared" si="2"/>
      </c>
      <c r="L30" s="146">
        <f t="shared" si="3"/>
      </c>
      <c r="M30" s="147">
        <f t="shared" si="0"/>
      </c>
      <c r="N30" s="160" t="s">
        <v>747</v>
      </c>
      <c r="O30" s="13">
        <v>18</v>
      </c>
      <c r="P30" s="114">
        <v>8</v>
      </c>
    </row>
    <row r="31" spans="1:16" ht="30.75" customHeight="1">
      <c r="A31" s="17">
        <v>19</v>
      </c>
      <c r="B31" s="586"/>
      <c r="C31" s="587"/>
      <c r="D31" s="587"/>
      <c r="E31" s="99"/>
      <c r="F31" s="75"/>
      <c r="G31" s="169"/>
      <c r="H31" s="162"/>
      <c r="I31" s="146">
        <f t="shared" si="1"/>
      </c>
      <c r="J31" s="148"/>
      <c r="K31" s="146">
        <f t="shared" si="2"/>
      </c>
      <c r="L31" s="146">
        <f t="shared" si="3"/>
      </c>
      <c r="M31" s="147">
        <f t="shared" si="0"/>
      </c>
      <c r="N31" s="160" t="s">
        <v>747</v>
      </c>
      <c r="O31" s="12">
        <v>19</v>
      </c>
      <c r="P31" s="114">
        <v>8</v>
      </c>
    </row>
    <row r="32" spans="1:16" ht="30.75" customHeight="1" thickBot="1">
      <c r="A32" s="27">
        <v>20</v>
      </c>
      <c r="B32" s="593"/>
      <c r="C32" s="594"/>
      <c r="D32" s="594"/>
      <c r="E32" s="100"/>
      <c r="F32" s="79"/>
      <c r="G32" s="172"/>
      <c r="H32" s="164"/>
      <c r="I32" s="149">
        <f t="shared" si="1"/>
      </c>
      <c r="J32" s="150"/>
      <c r="K32" s="149">
        <f t="shared" si="2"/>
      </c>
      <c r="L32" s="149">
        <f t="shared" si="3"/>
      </c>
      <c r="M32" s="151">
        <f t="shared" si="0"/>
      </c>
      <c r="N32" s="161" t="s">
        <v>747</v>
      </c>
      <c r="O32" s="28">
        <v>20</v>
      </c>
      <c r="P32" s="115">
        <v>8</v>
      </c>
    </row>
    <row r="33" spans="1:15" ht="21" customHeight="1" thickBot="1">
      <c r="A33" s="603" t="s">
        <v>14</v>
      </c>
      <c r="B33" s="604"/>
      <c r="C33" s="604"/>
      <c r="D33" s="604"/>
      <c r="E33" s="604"/>
      <c r="F33" s="604"/>
      <c r="G33" s="604"/>
      <c r="H33" s="604"/>
      <c r="I33" s="604"/>
      <c r="J33" s="82"/>
      <c r="K33" s="145">
        <f>SUM(K13:K32)</f>
        <v>243000</v>
      </c>
      <c r="L33" s="145">
        <f>SUM(L13:L32)</f>
        <v>225000</v>
      </c>
      <c r="M33" s="157">
        <f>SUM(M13:M32)</f>
        <v>225000</v>
      </c>
      <c r="N33" s="159">
        <f>SUM(N13:N32)</f>
        <v>225000</v>
      </c>
      <c r="O33" s="14"/>
    </row>
    <row r="34" spans="1:15" ht="13.5" customHeight="1">
      <c r="A34" s="90"/>
      <c r="O34" s="11"/>
    </row>
    <row r="35" spans="1:15" ht="13.5" customHeight="1">
      <c r="A35" s="90"/>
      <c r="B35" s="1" t="s">
        <v>16</v>
      </c>
      <c r="D35" s="90"/>
      <c r="E35" s="80" t="s">
        <v>32</v>
      </c>
      <c r="O35" s="11"/>
    </row>
    <row r="36" ht="13.5" customHeight="1">
      <c r="E36" s="80" t="s">
        <v>33</v>
      </c>
    </row>
    <row r="37" spans="2:5" ht="13.5" customHeight="1">
      <c r="B37" s="1" t="s">
        <v>17</v>
      </c>
      <c r="E37" s="80" t="s">
        <v>34</v>
      </c>
    </row>
    <row r="38" spans="2:5" ht="13.5" customHeight="1">
      <c r="B38" s="1" t="s">
        <v>18</v>
      </c>
      <c r="E38" s="80" t="s">
        <v>35</v>
      </c>
    </row>
  </sheetData>
  <sheetProtection sheet="1" objects="1" scenarios="1"/>
  <mergeCells count="28">
    <mergeCell ref="A4:E4"/>
    <mergeCell ref="A11:A12"/>
    <mergeCell ref="B11:D11"/>
    <mergeCell ref="K11:L11"/>
    <mergeCell ref="O11:O12"/>
    <mergeCell ref="P11:P12"/>
    <mergeCell ref="M11:N11"/>
    <mergeCell ref="B13:D13"/>
    <mergeCell ref="B16:D16"/>
    <mergeCell ref="B17:D17"/>
    <mergeCell ref="B18:D18"/>
    <mergeCell ref="B19:D19"/>
    <mergeCell ref="B14:D14"/>
    <mergeCell ref="B15:D15"/>
    <mergeCell ref="B32:D32"/>
    <mergeCell ref="A33:I33"/>
    <mergeCell ref="B25:D25"/>
    <mergeCell ref="B26:D26"/>
    <mergeCell ref="B27:D27"/>
    <mergeCell ref="B28:D28"/>
    <mergeCell ref="B29:D29"/>
    <mergeCell ref="B30:D30"/>
    <mergeCell ref="B20:D20"/>
    <mergeCell ref="B21:D21"/>
    <mergeCell ref="B24:D24"/>
    <mergeCell ref="B31:D31"/>
    <mergeCell ref="B22:D22"/>
    <mergeCell ref="B23:D23"/>
  </mergeCells>
  <dataValidations count="1">
    <dataValidation allowBlank="1" showInputMessage="1" showErrorMessage="1" imeMode="halfAlpha" sqref="I13:N32"/>
  </dataValidations>
  <hyperlinks>
    <hyperlink ref="B2" location="経費明細表!A1" display="戻る"/>
  </hyperlinks>
  <printOptions/>
  <pageMargins left="0.8661417322834646" right="0.7086614173228347" top="0.7480314960629921" bottom="0.7480314960629921" header="0.31496062992125984" footer="0.31496062992125984"/>
  <pageSetup fitToHeight="1" fitToWidth="1" horizontalDpi="600" verticalDpi="600" orientation="portrait" paperSize="9" scale="6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Q70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5"/>
  <cols>
    <col min="1" max="2" width="3.421875" style="22" customWidth="1"/>
    <col min="3" max="8" width="13.421875" style="22" customWidth="1"/>
    <col min="9" max="9" width="3.8515625" style="22" customWidth="1"/>
    <col min="10" max="10" width="14.421875" style="22" customWidth="1"/>
    <col min="11" max="11" width="13.7109375" style="22" customWidth="1"/>
    <col min="12" max="12" width="23.421875" style="22" customWidth="1"/>
    <col min="13" max="13" width="13.421875" style="22" customWidth="1"/>
    <col min="14" max="14" width="9.00390625" style="22" customWidth="1"/>
    <col min="15" max="15" width="17.8515625" style="22" customWidth="1"/>
    <col min="16" max="16" width="18.00390625" style="22" customWidth="1"/>
    <col min="17" max="17" width="9.421875" style="22" customWidth="1"/>
    <col min="18" max="16384" width="9.00390625" style="22" customWidth="1"/>
  </cols>
  <sheetData>
    <row r="1" spans="1:13" s="60" customFormat="1" ht="14.25">
      <c r="A1" s="60" t="s">
        <v>47</v>
      </c>
      <c r="M1" s="176"/>
    </row>
    <row r="2" s="60" customFormat="1" ht="14.25">
      <c r="M2" s="61"/>
    </row>
    <row r="3" spans="1:17" s="60" customFormat="1" ht="14.25">
      <c r="A3" s="62" t="s">
        <v>552</v>
      </c>
      <c r="N3" s="69"/>
      <c r="O3" s="69"/>
      <c r="P3" s="69"/>
      <c r="Q3" s="69"/>
    </row>
    <row r="4" spans="3:17" s="60" customFormat="1" ht="15" customHeight="1">
      <c r="C4" s="60" t="s">
        <v>717</v>
      </c>
      <c r="K4" s="70"/>
      <c r="N4" s="69"/>
      <c r="O4" s="69"/>
      <c r="P4" s="69"/>
      <c r="Q4" s="69"/>
    </row>
    <row r="5" spans="3:17" s="60" customFormat="1" ht="15" customHeight="1">
      <c r="C5" s="60" t="s">
        <v>718</v>
      </c>
      <c r="K5" s="70"/>
      <c r="N5" s="69"/>
      <c r="O5" s="69"/>
      <c r="P5" s="69"/>
      <c r="Q5" s="69"/>
    </row>
    <row r="6" spans="3:17" s="60" customFormat="1" ht="15" customHeight="1">
      <c r="C6" s="415"/>
      <c r="D6" s="60" t="s">
        <v>751</v>
      </c>
      <c r="N6" s="69"/>
      <c r="O6" s="69"/>
      <c r="P6" s="69"/>
      <c r="Q6" s="69"/>
    </row>
    <row r="7" spans="14:17" s="60" customFormat="1" ht="15" customHeight="1">
      <c r="N7" s="69"/>
      <c r="O7" s="69"/>
      <c r="P7" s="69"/>
      <c r="Q7" s="69"/>
    </row>
    <row r="8" spans="1:17" s="60" customFormat="1" ht="15" customHeight="1">
      <c r="A8" s="62" t="s">
        <v>563</v>
      </c>
      <c r="C8" s="62"/>
      <c r="N8" s="69"/>
      <c r="O8" s="69"/>
      <c r="P8" s="69"/>
      <c r="Q8" s="69"/>
    </row>
    <row r="9" spans="1:17" s="60" customFormat="1" ht="15" customHeight="1">
      <c r="A9" s="62"/>
      <c r="C9" s="62"/>
      <c r="N9" s="69"/>
      <c r="O9" s="69"/>
      <c r="P9" s="69"/>
      <c r="Q9" s="69"/>
    </row>
    <row r="10" spans="1:17" s="60" customFormat="1" ht="15" customHeight="1">
      <c r="A10" s="60">
        <v>1</v>
      </c>
      <c r="B10" s="60" t="s">
        <v>551</v>
      </c>
      <c r="N10" s="69"/>
      <c r="O10" s="69"/>
      <c r="P10" s="69"/>
      <c r="Q10" s="69"/>
    </row>
    <row r="11" spans="3:17" s="60" customFormat="1" ht="15" customHeight="1">
      <c r="C11" s="441" t="s">
        <v>701</v>
      </c>
      <c r="D11" s="442"/>
      <c r="E11" s="442"/>
      <c r="F11" s="442"/>
      <c r="G11" s="442"/>
      <c r="H11" s="443"/>
      <c r="J11" s="6"/>
      <c r="N11" s="69"/>
      <c r="O11" s="69"/>
      <c r="P11" s="69"/>
      <c r="Q11" s="69"/>
    </row>
    <row r="12" spans="6:17" s="60" customFormat="1" ht="15" customHeight="1">
      <c r="F12" s="63"/>
      <c r="G12" s="63"/>
      <c r="H12" s="63"/>
      <c r="I12" s="64"/>
      <c r="J12" s="65"/>
      <c r="N12" s="69"/>
      <c r="O12" s="69"/>
      <c r="P12" s="69"/>
      <c r="Q12" s="69"/>
    </row>
    <row r="13" spans="1:17" s="60" customFormat="1" ht="15" customHeight="1">
      <c r="A13" s="60">
        <v>2</v>
      </c>
      <c r="B13" s="23" t="s">
        <v>548</v>
      </c>
      <c r="D13" s="23"/>
      <c r="E13" s="23"/>
      <c r="F13" s="23"/>
      <c r="G13" s="23"/>
      <c r="H13" s="23"/>
      <c r="I13" s="23"/>
      <c r="N13" s="69"/>
      <c r="O13" s="69"/>
      <c r="P13" s="69"/>
      <c r="Q13" s="69"/>
    </row>
    <row r="14" spans="3:14" s="60" customFormat="1" ht="15" customHeight="1">
      <c r="C14" s="69"/>
      <c r="D14" s="69"/>
      <c r="F14" s="69"/>
      <c r="G14" s="69"/>
      <c r="H14" s="69"/>
      <c r="I14" s="69"/>
      <c r="N14" s="66"/>
    </row>
    <row r="15" spans="3:14" s="60" customFormat="1" ht="15" customHeight="1">
      <c r="C15" s="210">
        <v>2</v>
      </c>
      <c r="D15" s="191"/>
      <c r="E15" s="192"/>
      <c r="F15" s="192"/>
      <c r="G15" s="192"/>
      <c r="H15" s="193"/>
      <c r="I15" s="69"/>
      <c r="N15" s="66"/>
    </row>
    <row r="16" spans="3:14" s="60" customFormat="1" ht="15" customHeight="1">
      <c r="C16" s="194"/>
      <c r="D16" s="195"/>
      <c r="E16" s="196"/>
      <c r="F16" s="196"/>
      <c r="G16" s="196"/>
      <c r="H16" s="197"/>
      <c r="I16" s="69"/>
      <c r="N16" s="66"/>
    </row>
    <row r="17" spans="3:14" s="60" customFormat="1" ht="15" customHeight="1">
      <c r="C17" s="198"/>
      <c r="D17" s="199"/>
      <c r="E17" s="199"/>
      <c r="F17" s="199"/>
      <c r="G17" s="199"/>
      <c r="H17" s="200"/>
      <c r="N17" s="66"/>
    </row>
    <row r="18" spans="2:13" s="60" customFormat="1" ht="15" customHeight="1">
      <c r="B18" s="64"/>
      <c r="C18" s="203"/>
      <c r="D18" s="69"/>
      <c r="F18" s="69"/>
      <c r="G18" s="69"/>
      <c r="H18" s="69"/>
      <c r="I18" s="69"/>
      <c r="J18" s="69"/>
      <c r="M18" s="66"/>
    </row>
    <row r="19" spans="3:9" s="66" customFormat="1" ht="15" customHeight="1">
      <c r="C19" s="201"/>
      <c r="D19" s="201"/>
      <c r="E19" s="201"/>
      <c r="F19" s="201"/>
      <c r="G19" s="201"/>
      <c r="H19" s="201"/>
      <c r="I19" s="202"/>
    </row>
    <row r="20" spans="1:17" s="60" customFormat="1" ht="15" customHeight="1">
      <c r="A20" s="184"/>
      <c r="B20" s="184"/>
      <c r="C20" s="185"/>
      <c r="D20" s="185"/>
      <c r="E20" s="65"/>
      <c r="F20" s="65"/>
      <c r="G20" s="65"/>
      <c r="H20" s="65"/>
      <c r="I20" s="65"/>
      <c r="N20" s="69"/>
      <c r="O20" s="69"/>
      <c r="P20" s="69"/>
      <c r="Q20" s="69"/>
    </row>
    <row r="21" spans="1:17" s="60" customFormat="1" ht="15" customHeight="1">
      <c r="A21" s="184"/>
      <c r="B21" s="184"/>
      <c r="C21" s="451">
        <v>2</v>
      </c>
      <c r="D21" s="451"/>
      <c r="E21" s="450"/>
      <c r="F21" s="450"/>
      <c r="G21" s="450"/>
      <c r="H21" s="450"/>
      <c r="I21" s="65"/>
      <c r="N21" s="69"/>
      <c r="O21" s="69"/>
      <c r="P21" s="69"/>
      <c r="Q21" s="69"/>
    </row>
    <row r="22" spans="1:17" s="60" customFormat="1" ht="15" customHeight="1">
      <c r="A22" s="184"/>
      <c r="B22" s="184"/>
      <c r="C22" s="451"/>
      <c r="D22" s="451"/>
      <c r="E22" s="450"/>
      <c r="F22" s="450"/>
      <c r="G22" s="450"/>
      <c r="H22" s="450"/>
      <c r="I22" s="65"/>
      <c r="N22" s="69"/>
      <c r="O22" s="69"/>
      <c r="P22" s="69"/>
      <c r="Q22" s="69"/>
    </row>
    <row r="23" spans="1:17" s="60" customFormat="1" ht="15" customHeight="1">
      <c r="A23" s="184"/>
      <c r="B23" s="184"/>
      <c r="C23" s="451"/>
      <c r="D23" s="451"/>
      <c r="E23" s="450"/>
      <c r="F23" s="450"/>
      <c r="G23" s="450"/>
      <c r="H23" s="450"/>
      <c r="I23" s="65"/>
      <c r="N23" s="69"/>
      <c r="O23" s="69"/>
      <c r="P23" s="69"/>
      <c r="Q23" s="69"/>
    </row>
    <row r="24" spans="1:17" s="60" customFormat="1" ht="15" customHeight="1">
      <c r="A24" s="184"/>
      <c r="B24" s="184"/>
      <c r="C24" s="451">
        <v>1</v>
      </c>
      <c r="D24" s="451"/>
      <c r="E24" s="450"/>
      <c r="F24" s="450"/>
      <c r="G24" s="450"/>
      <c r="H24" s="450"/>
      <c r="I24" s="69"/>
      <c r="N24" s="69"/>
      <c r="O24" s="69"/>
      <c r="P24" s="69"/>
      <c r="Q24" s="69"/>
    </row>
    <row r="25" spans="1:17" s="60" customFormat="1" ht="15" customHeight="1">
      <c r="A25" s="184"/>
      <c r="B25" s="184"/>
      <c r="C25" s="451"/>
      <c r="D25" s="451"/>
      <c r="E25" s="450"/>
      <c r="F25" s="450"/>
      <c r="G25" s="450"/>
      <c r="H25" s="450"/>
      <c r="I25" s="69"/>
      <c r="N25" s="69"/>
      <c r="O25" s="69"/>
      <c r="P25" s="69"/>
      <c r="Q25" s="69"/>
    </row>
    <row r="26" spans="3:14" s="60" customFormat="1" ht="15" customHeight="1">
      <c r="C26" s="186"/>
      <c r="D26" s="69"/>
      <c r="F26" s="69"/>
      <c r="G26" s="69"/>
      <c r="H26" s="69"/>
      <c r="I26" s="69"/>
      <c r="N26" s="66"/>
    </row>
    <row r="27" spans="1:16" s="60" customFormat="1" ht="14.25">
      <c r="A27" s="389">
        <v>3</v>
      </c>
      <c r="B27" s="24" t="s">
        <v>715</v>
      </c>
      <c r="D27" s="24"/>
      <c r="E27" s="24"/>
      <c r="P27" s="67"/>
    </row>
    <row r="28" spans="2:16" s="60" customFormat="1" ht="14.25">
      <c r="B28" s="24"/>
      <c r="D28" s="24"/>
      <c r="E28" s="24"/>
      <c r="P28" s="67"/>
    </row>
    <row r="29" spans="3:10" s="60" customFormat="1" ht="14.25">
      <c r="C29" s="447"/>
      <c r="D29" s="448"/>
      <c r="E29" s="448"/>
      <c r="F29" s="448"/>
      <c r="G29" s="448"/>
      <c r="H29" s="449"/>
      <c r="I29" s="63"/>
      <c r="J29" s="6"/>
    </row>
    <row r="30" spans="3:10" s="60" customFormat="1" ht="14.25">
      <c r="C30" s="24"/>
      <c r="D30" s="24"/>
      <c r="E30" s="24"/>
      <c r="F30" s="24"/>
      <c r="G30" s="24"/>
      <c r="H30" s="63"/>
      <c r="I30" s="63"/>
      <c r="J30" s="65"/>
    </row>
    <row r="31" spans="1:7" s="60" customFormat="1" ht="14.25">
      <c r="A31" s="389">
        <v>4</v>
      </c>
      <c r="B31" s="24" t="s">
        <v>716</v>
      </c>
      <c r="D31" s="24"/>
      <c r="E31" s="24"/>
      <c r="F31" s="24"/>
      <c r="G31" s="24"/>
    </row>
    <row r="32" spans="2:7" s="60" customFormat="1" ht="14.25">
      <c r="B32" s="24"/>
      <c r="D32" s="24"/>
      <c r="E32" s="24"/>
      <c r="F32" s="24"/>
      <c r="G32" s="24"/>
    </row>
    <row r="33" spans="3:10" s="60" customFormat="1" ht="14.25">
      <c r="C33" s="444"/>
      <c r="D33" s="445"/>
      <c r="E33" s="445"/>
      <c r="F33" s="445"/>
      <c r="G33" s="445"/>
      <c r="H33" s="446"/>
      <c r="J33" s="6"/>
    </row>
    <row r="34" spans="3:10" s="60" customFormat="1" ht="14.25">
      <c r="C34" s="444"/>
      <c r="D34" s="445"/>
      <c r="E34" s="445"/>
      <c r="F34" s="445"/>
      <c r="G34" s="445"/>
      <c r="H34" s="446"/>
      <c r="I34" s="63"/>
      <c r="J34" s="6"/>
    </row>
    <row r="35" spans="4:10" s="60" customFormat="1" ht="14.25">
      <c r="D35" s="24"/>
      <c r="E35" s="24"/>
      <c r="F35" s="24"/>
      <c r="G35" s="24"/>
      <c r="H35" s="26"/>
      <c r="I35" s="63"/>
      <c r="J35" s="65"/>
    </row>
    <row r="36" spans="3:10" s="60" customFormat="1" ht="14.25">
      <c r="C36" s="24" t="s">
        <v>44</v>
      </c>
      <c r="D36" s="24"/>
      <c r="E36" s="24"/>
      <c r="F36" s="24"/>
      <c r="G36" s="24"/>
      <c r="H36" s="26"/>
      <c r="I36" s="63"/>
      <c r="J36" s="65"/>
    </row>
    <row r="37" spans="3:10" s="60" customFormat="1" ht="14.25">
      <c r="C37" s="24"/>
      <c r="D37" s="24"/>
      <c r="E37" s="24"/>
      <c r="F37" s="24"/>
      <c r="G37" s="24"/>
      <c r="H37" s="26"/>
      <c r="I37" s="63"/>
      <c r="J37" s="65"/>
    </row>
    <row r="38" spans="1:2" s="60" customFormat="1" ht="14.25">
      <c r="A38" s="60">
        <v>5</v>
      </c>
      <c r="B38" s="60" t="s">
        <v>750</v>
      </c>
    </row>
    <row r="39" s="60" customFormat="1" ht="15" customHeight="1">
      <c r="B39" s="60" t="s">
        <v>553</v>
      </c>
    </row>
    <row r="40" spans="2:5" s="60" customFormat="1" ht="14.25">
      <c r="B40" s="66" t="s">
        <v>758</v>
      </c>
      <c r="C40" s="66"/>
      <c r="D40" s="66"/>
      <c r="E40" s="66"/>
    </row>
    <row r="41" spans="2:5" s="60" customFormat="1" ht="14.25">
      <c r="B41" s="71"/>
      <c r="C41" s="72" t="s">
        <v>558</v>
      </c>
      <c r="D41" s="71"/>
      <c r="E41" s="71"/>
    </row>
    <row r="42" spans="2:5" s="60" customFormat="1" ht="14.25">
      <c r="B42" s="71"/>
      <c r="C42" s="72" t="s">
        <v>559</v>
      </c>
      <c r="D42" s="71"/>
      <c r="E42" s="71"/>
    </row>
    <row r="43" spans="2:5" s="60" customFormat="1" ht="14.25">
      <c r="B43" s="71"/>
      <c r="C43" s="72" t="s">
        <v>657</v>
      </c>
      <c r="D43" s="71"/>
      <c r="E43" s="71"/>
    </row>
    <row r="44" spans="2:5" s="60" customFormat="1" ht="14.25">
      <c r="B44" s="71"/>
      <c r="C44" s="72" t="s">
        <v>692</v>
      </c>
      <c r="D44" s="71"/>
      <c r="E44" s="71"/>
    </row>
    <row r="45" spans="2:5" s="60" customFormat="1" ht="14.25">
      <c r="B45" s="71"/>
      <c r="C45" s="72" t="s">
        <v>651</v>
      </c>
      <c r="D45" s="71"/>
      <c r="E45" s="71"/>
    </row>
    <row r="46" spans="2:5" s="60" customFormat="1" ht="14.25">
      <c r="B46" s="71"/>
      <c r="C46" s="72" t="s">
        <v>659</v>
      </c>
      <c r="D46" s="72"/>
      <c r="E46" s="71"/>
    </row>
    <row r="47" spans="2:5" s="60" customFormat="1" ht="14.25">
      <c r="B47" s="71"/>
      <c r="C47" s="72" t="s">
        <v>660</v>
      </c>
      <c r="D47" s="72"/>
      <c r="E47" s="71"/>
    </row>
    <row r="48" spans="2:5" s="60" customFormat="1" ht="14.25">
      <c r="B48" s="71"/>
      <c r="C48" s="72" t="s">
        <v>693</v>
      </c>
      <c r="D48" s="72"/>
      <c r="E48" s="71"/>
    </row>
    <row r="49" spans="2:5" s="60" customFormat="1" ht="14.25">
      <c r="B49" s="71"/>
      <c r="C49" s="72" t="s">
        <v>694</v>
      </c>
      <c r="D49" s="72"/>
      <c r="E49" s="71"/>
    </row>
    <row r="50" spans="2:5" s="60" customFormat="1" ht="14.25">
      <c r="B50" s="71"/>
      <c r="C50" s="72" t="s">
        <v>661</v>
      </c>
      <c r="D50" s="72"/>
      <c r="E50" s="71"/>
    </row>
    <row r="51" s="60" customFormat="1" ht="14.25"/>
    <row r="52" spans="3:8" s="60" customFormat="1" ht="14.25">
      <c r="C52" s="60" t="s">
        <v>45</v>
      </c>
      <c r="H52" s="68"/>
    </row>
    <row r="53" s="60" customFormat="1" ht="14.25">
      <c r="C53" s="60" t="s">
        <v>549</v>
      </c>
    </row>
    <row r="54" s="60" customFormat="1" ht="14.25">
      <c r="C54" s="60" t="s">
        <v>573</v>
      </c>
    </row>
    <row r="55" s="60" customFormat="1" ht="14.25">
      <c r="C55" s="60" t="s">
        <v>46</v>
      </c>
    </row>
    <row r="56" s="60" customFormat="1" ht="14.25">
      <c r="C56" s="60" t="s">
        <v>550</v>
      </c>
    </row>
    <row r="57" s="60" customFormat="1" ht="14.25"/>
    <row r="58" spans="1:11" s="21" customFormat="1" ht="18" customHeight="1">
      <c r="A58" s="60">
        <v>6</v>
      </c>
      <c r="B58" s="25" t="s">
        <v>720</v>
      </c>
      <c r="D58" s="55"/>
      <c r="E58" s="43"/>
      <c r="F58" s="43"/>
      <c r="G58" s="43"/>
      <c r="H58" s="55"/>
      <c r="I58" s="42"/>
      <c r="K58" s="44"/>
    </row>
    <row r="59" ht="18" customHeight="1">
      <c r="C59" s="205" t="s">
        <v>764</v>
      </c>
    </row>
    <row r="60" ht="18" customHeight="1">
      <c r="C60" s="205" t="s">
        <v>759</v>
      </c>
    </row>
    <row r="61" s="205" customFormat="1" ht="18" customHeight="1">
      <c r="C61" s="205" t="s">
        <v>760</v>
      </c>
    </row>
    <row r="62" ht="18" customHeight="1">
      <c r="C62" s="205" t="s">
        <v>765</v>
      </c>
    </row>
    <row r="63" s="21" customFormat="1" ht="18" customHeight="1">
      <c r="C63" s="205" t="s">
        <v>754</v>
      </c>
    </row>
    <row r="64" s="21" customFormat="1" ht="18" customHeight="1">
      <c r="C64" s="21" t="s">
        <v>756</v>
      </c>
    </row>
    <row r="65" s="21" customFormat="1" ht="18" customHeight="1">
      <c r="C65" s="205" t="s">
        <v>721</v>
      </c>
    </row>
    <row r="66" s="21" customFormat="1" ht="18" customHeight="1"/>
    <row r="67" spans="1:2" s="401" customFormat="1" ht="18" customHeight="1">
      <c r="A67" s="65">
        <v>7</v>
      </c>
      <c r="B67" s="65" t="s">
        <v>761</v>
      </c>
    </row>
    <row r="68" spans="1:2" s="401" customFormat="1" ht="18" customHeight="1">
      <c r="A68" s="65"/>
      <c r="B68" s="65" t="s">
        <v>762</v>
      </c>
    </row>
    <row r="69" s="401" customFormat="1" ht="18" customHeight="1">
      <c r="C69" s="32" t="s">
        <v>753</v>
      </c>
    </row>
    <row r="70" s="21" customFormat="1" ht="18" customHeight="1">
      <c r="C70" s="32" t="s">
        <v>749</v>
      </c>
    </row>
    <row r="71" s="21" customFormat="1" ht="18" customHeight="1"/>
    <row r="72" s="21" customFormat="1" ht="13.5"/>
    <row r="73" s="21" customFormat="1" ht="18" customHeight="1"/>
    <row r="74" s="21" customFormat="1" ht="18" customHeight="1"/>
    <row r="75" s="21" customFormat="1" ht="18" customHeight="1"/>
    <row r="76" s="21" customFormat="1" ht="18" customHeight="1"/>
    <row r="77" s="21" customFormat="1" ht="18" customHeight="1"/>
    <row r="78" s="21" customFormat="1" ht="18" customHeight="1"/>
    <row r="79" s="21" customFormat="1" ht="18" customHeight="1"/>
    <row r="80" s="21" customFormat="1" ht="18" customHeight="1"/>
    <row r="81" s="21" customFormat="1" ht="18" customHeight="1"/>
    <row r="82" s="21" customFormat="1" ht="18" customHeight="1"/>
    <row r="83" ht="18" customHeight="1"/>
  </sheetData>
  <sheetProtection sheet="1" objects="1" scenarios="1"/>
  <mergeCells count="7">
    <mergeCell ref="C11:H11"/>
    <mergeCell ref="C34:H34"/>
    <mergeCell ref="C33:H33"/>
    <mergeCell ref="C29:H29"/>
    <mergeCell ref="G21:H25"/>
    <mergeCell ref="E21:F25"/>
    <mergeCell ref="C21:D25"/>
  </mergeCells>
  <hyperlinks>
    <hyperlink ref="C43" location="原材料費!A1" display="　　原材料費"/>
    <hyperlink ref="C44" location="技術導入費!A1" display="　　技術導入費"/>
    <hyperlink ref="C45" location="外注加工費!A1" display="　　外注加工費"/>
    <hyperlink ref="C46" location="委託費!A1" display="　　委託費"/>
    <hyperlink ref="C47" location="知的財産権等関連経費!A1" display="知的財産関連経費"/>
    <hyperlink ref="C48" location="運搬費!A1" display="運搬費"/>
    <hyperlink ref="C49" location="専門家経費!A1" display="専門家経費"/>
    <hyperlink ref="C50" location="クラウド利用費!A1" display="クラウド利用費"/>
    <hyperlink ref="C41" location="'機械装置費（50万円以上）'!A1" display="機械装置費（50万円以上）"/>
    <hyperlink ref="C42" location="'機械装置費（50万円未満）'!A1" display="機械装置費（50万円未満）"/>
  </hyperlinks>
  <printOptions horizontalCentered="1"/>
  <pageMargins left="0.7086614173228347" right="0.7086614173228347" top="0.7480314960629921" bottom="0.1968503937007874" header="0.31496062992125984" footer="0.31496062992125984"/>
  <pageSetup fitToHeight="5" horizontalDpi="600" verticalDpi="600" orientation="portrait" paperSize="9" scale="48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B2:M14"/>
  <sheetViews>
    <sheetView zoomScalePageLayoutView="0" workbookViewId="0" topLeftCell="B1">
      <selection activeCell="F8" sqref="F8"/>
    </sheetView>
  </sheetViews>
  <sheetFormatPr defaultColWidth="9.140625" defaultRowHeight="15"/>
  <cols>
    <col min="2" max="2" width="3.140625" style="204" bestFit="1" customWidth="1"/>
    <col min="3" max="3" width="25.140625" style="0" customWidth="1"/>
    <col min="5" max="5" width="3.140625" style="204" bestFit="1" customWidth="1"/>
    <col min="6" max="6" width="27.8515625" style="205" customWidth="1"/>
    <col min="7" max="7" width="25.140625" style="0" customWidth="1"/>
    <col min="8" max="8" width="12.421875" style="207" bestFit="1" customWidth="1"/>
    <col min="9" max="9" width="12.421875" style="209" bestFit="1" customWidth="1"/>
    <col min="11" max="11" width="3.140625" style="0" bestFit="1" customWidth="1"/>
    <col min="12" max="12" width="40.8515625" style="0" bestFit="1" customWidth="1"/>
    <col min="13" max="13" width="22.00390625" style="0" bestFit="1" customWidth="1"/>
  </cols>
  <sheetData>
    <row r="2" spans="2:13" ht="13.5">
      <c r="B2" s="190" t="s">
        <v>638</v>
      </c>
      <c r="C2" s="190" t="s">
        <v>637</v>
      </c>
      <c r="E2" s="190" t="s">
        <v>638</v>
      </c>
      <c r="F2" s="452" t="s">
        <v>637</v>
      </c>
      <c r="G2" s="453"/>
      <c r="H2" s="187" t="s">
        <v>636</v>
      </c>
      <c r="I2" s="187" t="s">
        <v>652</v>
      </c>
      <c r="K2" s="141" t="s">
        <v>638</v>
      </c>
      <c r="L2" s="141" t="s">
        <v>639</v>
      </c>
      <c r="M2" s="141" t="s">
        <v>648</v>
      </c>
    </row>
    <row r="3" spans="2:13" ht="13.5">
      <c r="B3" s="190">
        <v>1</v>
      </c>
      <c r="C3" s="188" t="s">
        <v>649</v>
      </c>
      <c r="E3" s="190">
        <v>1</v>
      </c>
      <c r="F3" s="188" t="s">
        <v>633</v>
      </c>
      <c r="G3" s="188"/>
      <c r="H3" s="189">
        <v>10000000</v>
      </c>
      <c r="I3" s="189">
        <v>1000000</v>
      </c>
      <c r="K3" s="188">
        <v>1</v>
      </c>
      <c r="L3" s="188" t="s">
        <v>635</v>
      </c>
      <c r="M3" s="188" t="s">
        <v>647</v>
      </c>
    </row>
    <row r="4" spans="2:13" ht="13.5">
      <c r="B4" s="190">
        <v>2</v>
      </c>
      <c r="C4" s="188" t="s">
        <v>650</v>
      </c>
      <c r="E4" s="206">
        <v>2</v>
      </c>
      <c r="F4" s="188" t="s">
        <v>631</v>
      </c>
      <c r="G4" s="188" t="s">
        <v>653</v>
      </c>
      <c r="H4" s="189">
        <v>5000000</v>
      </c>
      <c r="I4" s="189">
        <v>1000000</v>
      </c>
      <c r="K4" s="188">
        <v>2</v>
      </c>
      <c r="L4" s="188" t="s">
        <v>634</v>
      </c>
      <c r="M4" s="188" t="s">
        <v>634</v>
      </c>
    </row>
    <row r="5" spans="5:9" ht="13.5">
      <c r="E5" s="206">
        <v>3</v>
      </c>
      <c r="F5" s="188" t="s">
        <v>752</v>
      </c>
      <c r="G5" s="188" t="s">
        <v>654</v>
      </c>
      <c r="H5" s="189">
        <v>5000000</v>
      </c>
      <c r="I5" s="189">
        <v>1000000</v>
      </c>
    </row>
    <row r="6" spans="5:9" ht="13.5">
      <c r="E6" s="206">
        <v>4</v>
      </c>
      <c r="F6" s="188" t="s">
        <v>632</v>
      </c>
      <c r="G6" s="188" t="s">
        <v>655</v>
      </c>
      <c r="H6" s="189">
        <v>30000000</v>
      </c>
      <c r="I6" s="189">
        <v>1000000</v>
      </c>
    </row>
    <row r="7" spans="5:9" ht="13.5">
      <c r="E7" s="206">
        <v>5</v>
      </c>
      <c r="F7" s="188" t="s">
        <v>632</v>
      </c>
      <c r="G7" s="188" t="s">
        <v>656</v>
      </c>
      <c r="H7" s="189">
        <v>30000000</v>
      </c>
      <c r="I7" s="189">
        <v>1000000</v>
      </c>
    </row>
    <row r="8" spans="5:7" ht="13.5">
      <c r="E8" s="208"/>
      <c r="G8" s="205"/>
    </row>
    <row r="9" spans="5:7" ht="13.5">
      <c r="E9" s="208"/>
      <c r="G9" s="205"/>
    </row>
    <row r="10" spans="5:7" ht="13.5">
      <c r="E10" s="208"/>
      <c r="G10" s="205"/>
    </row>
    <row r="11" spans="5:7" ht="13.5">
      <c r="E11" s="208"/>
      <c r="G11" s="205"/>
    </row>
    <row r="12" spans="5:7" ht="13.5">
      <c r="E12" s="208"/>
      <c r="G12" s="205"/>
    </row>
    <row r="13" spans="5:7" ht="13.5">
      <c r="E13" s="208"/>
      <c r="G13" s="205"/>
    </row>
    <row r="14" spans="5:7" ht="13.5">
      <c r="E14" s="208"/>
      <c r="G14" s="205"/>
    </row>
  </sheetData>
  <sheetProtection/>
  <mergeCells count="1">
    <mergeCell ref="F2:G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7">
    <tabColor rgb="FFFFC000"/>
    <pageSetUpPr fitToPage="1"/>
  </sheetPr>
  <dimension ref="A1:BL111"/>
  <sheetViews>
    <sheetView showGridLines="0" zoomScale="85" zoomScaleNormal="85" zoomScaleSheetLayoutView="70" zoomScalePageLayoutView="0" workbookViewId="0" topLeftCell="A1">
      <selection activeCell="B5" sqref="B5"/>
    </sheetView>
  </sheetViews>
  <sheetFormatPr defaultColWidth="9.140625" defaultRowHeight="15"/>
  <cols>
    <col min="1" max="1" width="3.57421875" style="256" customWidth="1"/>
    <col min="2" max="2" width="11.57421875" style="256" customWidth="1"/>
    <col min="3" max="3" width="20.421875" style="256" customWidth="1"/>
    <col min="4" max="4" width="3.421875" style="256" hidden="1" customWidth="1"/>
    <col min="5" max="5" width="16.57421875" style="256" customWidth="1"/>
    <col min="6" max="6" width="5.57421875" style="256" hidden="1" customWidth="1"/>
    <col min="7" max="7" width="16.57421875" style="256" customWidth="1"/>
    <col min="8" max="8" width="4.7109375" style="256" hidden="1" customWidth="1"/>
    <col min="9" max="9" width="16.57421875" style="256" customWidth="1"/>
    <col min="10" max="10" width="5.140625" style="256" hidden="1" customWidth="1"/>
    <col min="11" max="11" width="16.57421875" style="256" customWidth="1"/>
    <col min="12" max="12" width="5.57421875" style="256" hidden="1" customWidth="1"/>
    <col min="13" max="13" width="16.57421875" style="256" customWidth="1"/>
    <col min="14" max="14" width="5.57421875" style="256" hidden="1" customWidth="1"/>
    <col min="15" max="15" width="16.57421875" style="256" customWidth="1"/>
    <col min="16" max="16" width="5.57421875" style="256" hidden="1" customWidth="1"/>
    <col min="17" max="17" width="16.57421875" style="256" customWidth="1"/>
    <col min="18" max="18" width="5.57421875" style="256" hidden="1" customWidth="1"/>
    <col min="19" max="19" width="16.57421875" style="256" customWidth="1"/>
    <col min="20" max="20" width="5.421875" style="256" hidden="1" customWidth="1"/>
    <col min="21" max="21" width="16.57421875" style="256" customWidth="1"/>
    <col min="22" max="22" width="5.28125" style="256" customWidth="1"/>
    <col min="23" max="23" width="47.140625" style="256" bestFit="1" customWidth="1"/>
    <col min="24" max="24" width="25.421875" style="259" customWidth="1"/>
    <col min="25" max="25" width="18.57421875" style="259" customWidth="1"/>
    <col min="26" max="26" width="25.421875" style="259" customWidth="1"/>
    <col min="27" max="27" width="32.421875" style="259" customWidth="1"/>
    <col min="28" max="28" width="26.28125" style="256" customWidth="1"/>
    <col min="29" max="29" width="18.28125" style="256" customWidth="1"/>
    <col min="30" max="31" width="19.7109375" style="352" customWidth="1"/>
    <col min="32" max="33" width="20.421875" style="256" customWidth="1"/>
    <col min="34" max="35" width="16.8515625" style="256" customWidth="1"/>
    <col min="36" max="37" width="21.8515625" style="256" customWidth="1"/>
    <col min="38" max="38" width="35.28125" style="256" customWidth="1"/>
    <col min="39" max="39" width="19.28125" style="256" customWidth="1"/>
    <col min="40" max="40" width="5.7109375" style="256" customWidth="1"/>
    <col min="41" max="41" width="35.28125" style="256" customWidth="1"/>
    <col min="42" max="42" width="19.28125" style="256" customWidth="1"/>
    <col min="43" max="43" width="5.7109375" style="256" customWidth="1"/>
    <col min="44" max="44" width="35.28125" style="256" customWidth="1"/>
    <col min="45" max="45" width="19.28125" style="256" customWidth="1"/>
    <col min="46" max="46" width="5.7109375" style="256" customWidth="1"/>
    <col min="47" max="47" width="35.28125" style="256" customWidth="1"/>
    <col min="48" max="48" width="19.28125" style="256" customWidth="1"/>
    <col min="49" max="49" width="5.7109375" style="256" customWidth="1"/>
    <col min="50" max="51" width="11.140625" style="256" bestFit="1" customWidth="1"/>
    <col min="52" max="52" width="6.7109375" style="256" bestFit="1" customWidth="1"/>
    <col min="53" max="53" width="45.57421875" style="256" bestFit="1" customWidth="1"/>
    <col min="54" max="54" width="10.28125" style="256" bestFit="1" customWidth="1"/>
    <col min="55" max="55" width="9.421875" style="256" bestFit="1" customWidth="1"/>
    <col min="56" max="56" width="4.57421875" style="256" bestFit="1" customWidth="1"/>
    <col min="57" max="57" width="8.421875" style="256" bestFit="1" customWidth="1"/>
    <col min="58" max="58" width="4.57421875" style="256" bestFit="1" customWidth="1"/>
    <col min="59" max="59" width="15.421875" style="256" bestFit="1" customWidth="1"/>
    <col min="60" max="60" width="4.57421875" style="256" bestFit="1" customWidth="1"/>
    <col min="61" max="61" width="18.28125" style="256" bestFit="1" customWidth="1"/>
    <col min="62" max="62" width="6.8515625" style="256" bestFit="1" customWidth="1"/>
    <col min="63" max="63" width="14.00390625" style="256" customWidth="1"/>
    <col min="64" max="64" width="13.8515625" style="256" customWidth="1"/>
    <col min="65" max="65" width="17.28125" style="256" customWidth="1"/>
    <col min="66" max="16384" width="9.00390625" style="256" customWidth="1"/>
  </cols>
  <sheetData>
    <row r="1" spans="1:25" s="251" customFormat="1" ht="13.5">
      <c r="A1" s="250"/>
      <c r="E1" s="252"/>
      <c r="F1" s="253"/>
      <c r="H1" s="250"/>
      <c r="M1" s="252"/>
      <c r="N1" s="253"/>
      <c r="P1" s="250"/>
      <c r="R1" s="250"/>
      <c r="V1" s="250"/>
      <c r="W1" s="250"/>
      <c r="Y1" s="254"/>
    </row>
    <row r="2" spans="1:25" s="251" customFormat="1" ht="13.5">
      <c r="A2" s="250"/>
      <c r="B2" s="246"/>
      <c r="E2" s="252"/>
      <c r="F2" s="253"/>
      <c r="H2" s="250"/>
      <c r="M2" s="252"/>
      <c r="N2" s="253"/>
      <c r="P2" s="250"/>
      <c r="R2" s="250"/>
      <c r="V2" s="250"/>
      <c r="W2" s="250"/>
      <c r="Y2" s="254"/>
    </row>
    <row r="3" spans="1:35" s="251" customFormat="1" ht="24">
      <c r="A3" s="250"/>
      <c r="E3" s="252"/>
      <c r="F3" s="253"/>
      <c r="H3" s="250"/>
      <c r="M3" s="252"/>
      <c r="N3" s="253"/>
      <c r="P3" s="250"/>
      <c r="R3" s="250"/>
      <c r="V3" s="250"/>
      <c r="W3" s="250"/>
      <c r="Y3" s="254"/>
      <c r="AC3" s="369"/>
      <c r="AD3" s="369"/>
      <c r="AE3" s="369"/>
      <c r="AF3" s="369"/>
      <c r="AG3" s="369"/>
      <c r="AI3" s="255"/>
    </row>
    <row r="4" spans="2:43" ht="24">
      <c r="B4" s="368" t="s">
        <v>719</v>
      </c>
      <c r="C4" s="258"/>
      <c r="D4" s="258"/>
      <c r="E4" s="258"/>
      <c r="F4" s="258"/>
      <c r="G4" s="259"/>
      <c r="H4" s="259"/>
      <c r="I4" s="259"/>
      <c r="J4" s="259"/>
      <c r="K4" s="259"/>
      <c r="L4" s="258"/>
      <c r="M4" s="258"/>
      <c r="N4" s="258"/>
      <c r="O4" s="259"/>
      <c r="P4" s="259"/>
      <c r="Q4" s="259"/>
      <c r="R4" s="259"/>
      <c r="S4" s="259"/>
      <c r="T4" s="259"/>
      <c r="U4" s="259"/>
      <c r="AC4" s="511" t="str">
        <f>"（事業者名　：　"&amp;'基本情報入力（使い方）'!C11&amp;")"</f>
        <v>（事業者名　：　Ｂ金属株式会社)</v>
      </c>
      <c r="AD4" s="511"/>
      <c r="AE4" s="511"/>
      <c r="AF4" s="511"/>
      <c r="AG4" s="511"/>
      <c r="AH4" s="255"/>
      <c r="AQ4" s="260"/>
    </row>
    <row r="5" spans="2:34" ht="24">
      <c r="B5" s="257"/>
      <c r="D5" s="463"/>
      <c r="E5" s="463"/>
      <c r="F5" s="463"/>
      <c r="G5" s="463"/>
      <c r="L5" s="463"/>
      <c r="M5" s="463"/>
      <c r="N5" s="463"/>
      <c r="O5" s="463"/>
      <c r="X5" s="261" t="s">
        <v>527</v>
      </c>
      <c r="Y5" s="262"/>
      <c r="Z5" s="262"/>
      <c r="AA5" s="256"/>
      <c r="AC5" s="263" t="s">
        <v>571</v>
      </c>
      <c r="AD5" s="256"/>
      <c r="AE5" s="264" t="s">
        <v>572</v>
      </c>
      <c r="AF5" s="265"/>
      <c r="AG5" s="265"/>
      <c r="AH5" s="255"/>
    </row>
    <row r="6" spans="2:63" s="251" customFormat="1" ht="24">
      <c r="B6" s="377"/>
      <c r="C6" s="43"/>
      <c r="D6" s="378"/>
      <c r="E6" s="378"/>
      <c r="F6" s="378"/>
      <c r="G6" s="378"/>
      <c r="H6" s="378"/>
      <c r="I6" s="378"/>
      <c r="J6" s="378"/>
      <c r="K6" s="378"/>
      <c r="L6" s="379"/>
      <c r="M6" s="380"/>
      <c r="N6" s="380"/>
      <c r="O6" s="380"/>
      <c r="P6" s="380"/>
      <c r="Q6" s="380"/>
      <c r="R6" s="380"/>
      <c r="S6" s="380"/>
      <c r="T6" s="380"/>
      <c r="U6" s="381" t="s">
        <v>713</v>
      </c>
      <c r="V6" s="256"/>
      <c r="W6" s="256"/>
      <c r="X6" s="542" t="s">
        <v>37</v>
      </c>
      <c r="Y6" s="268" t="s">
        <v>570</v>
      </c>
      <c r="Z6" s="269"/>
      <c r="AA6" s="270"/>
      <c r="AB6" s="256"/>
      <c r="AC6" s="534" t="s">
        <v>37</v>
      </c>
      <c r="AD6" s="488" t="s">
        <v>646</v>
      </c>
      <c r="AE6" s="489"/>
      <c r="AF6" s="489"/>
      <c r="AG6" s="490"/>
      <c r="AH6" s="255"/>
      <c r="AI6" s="256"/>
      <c r="AJ6" s="256"/>
      <c r="AK6" s="256"/>
      <c r="AL6" s="256"/>
      <c r="AM6" s="256"/>
      <c r="AN6" s="256"/>
      <c r="AO6" s="256"/>
      <c r="AP6" s="256"/>
      <c r="AQ6" s="256"/>
      <c r="AR6" s="256"/>
      <c r="AS6" s="256"/>
      <c r="AT6" s="256"/>
      <c r="AU6" s="256"/>
      <c r="AV6" s="256"/>
      <c r="AW6" s="256"/>
      <c r="AX6" s="256"/>
      <c r="AY6" s="256"/>
      <c r="AZ6" s="256"/>
      <c r="BA6" s="256"/>
      <c r="BB6" s="256"/>
      <c r="BC6" s="256"/>
      <c r="BD6" s="256"/>
      <c r="BE6" s="256"/>
      <c r="BF6" s="256"/>
      <c r="BG6" s="256"/>
      <c r="BH6" s="256"/>
      <c r="BI6" s="256"/>
      <c r="BJ6" s="256"/>
      <c r="BK6" s="256"/>
    </row>
    <row r="7" spans="1:63" s="251" customFormat="1" ht="33" customHeight="1">
      <c r="A7" s="259"/>
      <c r="B7" s="564" t="s">
        <v>714</v>
      </c>
      <c r="C7" s="545"/>
      <c r="D7" s="547" t="str">
        <f>"（事業者名　：　"&amp;'基本情報入力（使い方）'!C11&amp;")　　"&amp;事業類型&amp;"　"&amp;Y18</f>
        <v>（事業者名　：　Ｂ金属株式会社)　　ものづくり技術　小規模型（試作開発等）</v>
      </c>
      <c r="E7" s="548"/>
      <c r="F7" s="548"/>
      <c r="G7" s="548"/>
      <c r="H7" s="548"/>
      <c r="I7" s="548"/>
      <c r="J7" s="548"/>
      <c r="K7" s="548"/>
      <c r="L7" s="548"/>
      <c r="M7" s="548"/>
      <c r="N7" s="548"/>
      <c r="O7" s="548"/>
      <c r="P7" s="548"/>
      <c r="Q7" s="548"/>
      <c r="R7" s="548"/>
      <c r="S7" s="548"/>
      <c r="T7" s="548"/>
      <c r="U7" s="549"/>
      <c r="W7" s="256"/>
      <c r="X7" s="543"/>
      <c r="Y7" s="531" t="str">
        <f>事業類型&amp;":"&amp;$Y$18</f>
        <v>ものづくり技術:小規模型（試作開発等）</v>
      </c>
      <c r="Z7" s="532"/>
      <c r="AA7" s="533"/>
      <c r="AB7" s="256"/>
      <c r="AC7" s="535"/>
      <c r="AD7" s="491"/>
      <c r="AE7" s="492"/>
      <c r="AF7" s="492"/>
      <c r="AG7" s="493"/>
      <c r="AH7" s="255"/>
      <c r="AI7" s="256"/>
      <c r="AJ7" s="256"/>
      <c r="AK7" s="256"/>
      <c r="AL7" s="256"/>
      <c r="AM7" s="256"/>
      <c r="AN7" s="256"/>
      <c r="AO7" s="256"/>
      <c r="AP7" s="256"/>
      <c r="AQ7" s="256"/>
      <c r="AR7" s="256"/>
      <c r="AS7" s="256"/>
      <c r="AT7" s="256"/>
      <c r="AU7" s="256"/>
      <c r="AV7" s="256"/>
      <c r="AW7" s="256"/>
      <c r="AX7" s="256"/>
      <c r="AY7" s="256"/>
      <c r="AZ7" s="256"/>
      <c r="BA7" s="256"/>
      <c r="BB7" s="256"/>
      <c r="BC7" s="256"/>
      <c r="BD7" s="256"/>
      <c r="BE7" s="256"/>
      <c r="BF7" s="256"/>
      <c r="BG7" s="256"/>
      <c r="BH7" s="256"/>
      <c r="BI7" s="256"/>
      <c r="BJ7" s="256"/>
      <c r="BK7" s="256"/>
    </row>
    <row r="8" spans="2:33" ht="30" customHeight="1">
      <c r="B8" s="575" t="s">
        <v>740</v>
      </c>
      <c r="C8" s="576"/>
      <c r="D8" s="564" t="s">
        <v>704</v>
      </c>
      <c r="E8" s="545"/>
      <c r="F8" s="545"/>
      <c r="G8" s="545"/>
      <c r="H8" s="545"/>
      <c r="I8" s="545"/>
      <c r="J8" s="545"/>
      <c r="K8" s="572"/>
      <c r="L8" s="544" t="s">
        <v>705</v>
      </c>
      <c r="M8" s="545"/>
      <c r="N8" s="545"/>
      <c r="O8" s="545"/>
      <c r="P8" s="545"/>
      <c r="Q8" s="545"/>
      <c r="R8" s="545"/>
      <c r="S8" s="545"/>
      <c r="T8" s="545"/>
      <c r="U8" s="546"/>
      <c r="V8" s="385"/>
      <c r="X8" s="271"/>
      <c r="Y8" s="268" t="s">
        <v>733</v>
      </c>
      <c r="Z8" s="272"/>
      <c r="AA8" s="273"/>
      <c r="AC8" s="274" t="s">
        <v>686</v>
      </c>
      <c r="AD8" s="494" t="s">
        <v>689</v>
      </c>
      <c r="AE8" s="495"/>
      <c r="AF8" s="495"/>
      <c r="AG8" s="496"/>
    </row>
    <row r="9" spans="2:33" ht="30" customHeight="1">
      <c r="B9" s="577"/>
      <c r="C9" s="578"/>
      <c r="D9" s="431"/>
      <c r="E9" s="573" t="s">
        <v>737</v>
      </c>
      <c r="F9" s="574"/>
      <c r="G9" s="574"/>
      <c r="H9" s="458" t="s">
        <v>738</v>
      </c>
      <c r="I9" s="573"/>
      <c r="J9" s="458" t="s">
        <v>739</v>
      </c>
      <c r="K9" s="459"/>
      <c r="L9" s="432"/>
      <c r="M9" s="573" t="s">
        <v>737</v>
      </c>
      <c r="N9" s="574"/>
      <c r="O9" s="574"/>
      <c r="P9" s="433"/>
      <c r="Q9" s="434"/>
      <c r="R9" s="433"/>
      <c r="S9" s="433" t="s">
        <v>738</v>
      </c>
      <c r="T9" s="433"/>
      <c r="U9" s="433" t="s">
        <v>739</v>
      </c>
      <c r="V9" s="386"/>
      <c r="X9" s="213" t="str">
        <f>AW27</f>
        <v>○</v>
      </c>
      <c r="Y9" s="280"/>
      <c r="Z9" s="281"/>
      <c r="AA9" s="242">
        <f>K22</f>
        <v>5000000</v>
      </c>
      <c r="AC9" s="214" t="str">
        <f>IF(OR(AD28="×",AD29="×",AD30="×",AD31="×",AD32="×",AD33="×",AD34="×",AD35="×",AD36="×",AD37="×"),"×","○")</f>
        <v>○</v>
      </c>
      <c r="AD9" s="497"/>
      <c r="AE9" s="498"/>
      <c r="AF9" s="498"/>
      <c r="AG9" s="499"/>
    </row>
    <row r="10" spans="1:34" ht="30" customHeight="1">
      <c r="A10" s="267"/>
      <c r="B10" s="577"/>
      <c r="C10" s="578"/>
      <c r="D10" s="569" t="s">
        <v>736</v>
      </c>
      <c r="E10" s="570"/>
      <c r="F10" s="570"/>
      <c r="G10" s="571"/>
      <c r="H10" s="464" t="s">
        <v>566</v>
      </c>
      <c r="I10" s="465"/>
      <c r="J10" s="466" t="s">
        <v>743</v>
      </c>
      <c r="K10" s="467"/>
      <c r="L10" s="562" t="s">
        <v>564</v>
      </c>
      <c r="M10" s="563"/>
      <c r="N10" s="464" t="s">
        <v>565</v>
      </c>
      <c r="O10" s="465"/>
      <c r="P10" s="536" t="s">
        <v>706</v>
      </c>
      <c r="Q10" s="537"/>
      <c r="R10" s="537"/>
      <c r="S10" s="538"/>
      <c r="T10" s="536" t="s">
        <v>707</v>
      </c>
      <c r="U10" s="538"/>
      <c r="V10" s="387"/>
      <c r="X10" s="271"/>
      <c r="Y10" s="268" t="s">
        <v>652</v>
      </c>
      <c r="Z10" s="272"/>
      <c r="AA10" s="273"/>
      <c r="AC10" s="287" t="s">
        <v>687</v>
      </c>
      <c r="AD10" s="500" t="s">
        <v>763</v>
      </c>
      <c r="AE10" s="501"/>
      <c r="AF10" s="501"/>
      <c r="AG10" s="502"/>
      <c r="AH10" s="288"/>
    </row>
    <row r="11" spans="2:34" ht="30" customHeight="1">
      <c r="B11" s="579"/>
      <c r="C11" s="580"/>
      <c r="D11" s="468" t="s">
        <v>708</v>
      </c>
      <c r="E11" s="469"/>
      <c r="F11" s="468" t="s">
        <v>709</v>
      </c>
      <c r="G11" s="469"/>
      <c r="H11" s="468" t="s">
        <v>710</v>
      </c>
      <c r="I11" s="469"/>
      <c r="J11" s="567" t="s">
        <v>735</v>
      </c>
      <c r="K11" s="568"/>
      <c r="L11" s="473" t="s">
        <v>711</v>
      </c>
      <c r="M11" s="474"/>
      <c r="N11" s="468" t="s">
        <v>742</v>
      </c>
      <c r="O11" s="469"/>
      <c r="P11" s="478" t="s">
        <v>741</v>
      </c>
      <c r="Q11" s="478"/>
      <c r="R11" s="478" t="s">
        <v>712</v>
      </c>
      <c r="S11" s="478"/>
      <c r="T11" s="479" t="s">
        <v>735</v>
      </c>
      <c r="U11" s="480"/>
      <c r="V11" s="388"/>
      <c r="X11" s="215" t="str">
        <f>AW28</f>
        <v>○</v>
      </c>
      <c r="Y11" s="280"/>
      <c r="Z11" s="281"/>
      <c r="AA11" s="242">
        <f>補助下限額</f>
        <v>1000000</v>
      </c>
      <c r="AC11" s="214" t="str">
        <f>IF(OR(AE28="×",AE29="×",AE30="×",AE31="×",AE32="×",AE33="×",AE34="×",AE35="×",AE36="×",AE37="×"),"×","○")</f>
        <v>○</v>
      </c>
      <c r="AD11" s="503"/>
      <c r="AE11" s="504"/>
      <c r="AF11" s="504"/>
      <c r="AG11" s="505"/>
      <c r="AH11" s="216"/>
    </row>
    <row r="12" spans="2:35" ht="30" customHeight="1">
      <c r="B12" s="565" t="s">
        <v>682</v>
      </c>
      <c r="C12" s="566"/>
      <c r="D12" s="275"/>
      <c r="E12" s="371">
        <v>2160000</v>
      </c>
      <c r="F12" s="425"/>
      <c r="G12" s="374">
        <v>2000000</v>
      </c>
      <c r="H12" s="426"/>
      <c r="I12" s="374">
        <v>2000000</v>
      </c>
      <c r="J12" s="426"/>
      <c r="K12" s="382">
        <v>1333333</v>
      </c>
      <c r="L12" s="408"/>
      <c r="M12" s="276">
        <f>'機械装置費（50万円以上）'!K33</f>
        <v>2138400</v>
      </c>
      <c r="N12" s="277"/>
      <c r="O12" s="278">
        <f>'機械装置費（50万円以上）'!L33</f>
        <v>1980000</v>
      </c>
      <c r="P12" s="279"/>
      <c r="Q12" s="278">
        <f>'機械装置費（50万円以上）'!M33</f>
        <v>1980000</v>
      </c>
      <c r="R12" s="402"/>
      <c r="S12" s="374">
        <v>1980000</v>
      </c>
      <c r="T12" s="279"/>
      <c r="U12" s="278">
        <f>AA28</f>
        <v>1320000</v>
      </c>
      <c r="AC12" s="289" t="s">
        <v>688</v>
      </c>
      <c r="AD12" s="268" t="s">
        <v>697</v>
      </c>
      <c r="AE12" s="272"/>
      <c r="AF12" s="272"/>
      <c r="AG12" s="290"/>
      <c r="AI12" s="216"/>
    </row>
    <row r="13" spans="2:37" ht="30" customHeight="1">
      <c r="B13" s="460" t="s">
        <v>683</v>
      </c>
      <c r="C13" s="461"/>
      <c r="D13" s="282"/>
      <c r="E13" s="372">
        <v>3456000</v>
      </c>
      <c r="F13" s="427"/>
      <c r="G13" s="375">
        <v>3200000</v>
      </c>
      <c r="H13" s="428"/>
      <c r="I13" s="375">
        <v>3200000</v>
      </c>
      <c r="J13" s="428"/>
      <c r="K13" s="383">
        <v>2133328</v>
      </c>
      <c r="L13" s="409"/>
      <c r="M13" s="283">
        <f>'機械装置費（50万円未満）'!K33</f>
        <v>3456000</v>
      </c>
      <c r="N13" s="284"/>
      <c r="O13" s="285">
        <f>'機械装置費（50万円未満）'!L33</f>
        <v>3200000</v>
      </c>
      <c r="P13" s="286"/>
      <c r="Q13" s="285">
        <f>'機械装置費（50万円未満）'!M33</f>
        <v>3200000</v>
      </c>
      <c r="R13" s="403"/>
      <c r="S13" s="375">
        <v>3200000</v>
      </c>
      <c r="T13" s="286"/>
      <c r="U13" s="285">
        <f aca="true" t="shared" si="0" ref="U13:U21">AA29</f>
        <v>2133333</v>
      </c>
      <c r="AB13" s="259"/>
      <c r="AC13" s="213" t="str">
        <f>AW29</f>
        <v> </v>
      </c>
      <c r="AD13" s="508" t="str">
        <f>"("&amp;AU29&amp;")"</f>
        <v>(判定対象外)</v>
      </c>
      <c r="AE13" s="509"/>
      <c r="AF13" s="509"/>
      <c r="AG13" s="510"/>
      <c r="AI13" s="216"/>
      <c r="AJ13" s="259"/>
      <c r="AK13" s="259"/>
    </row>
    <row r="14" spans="2:35" ht="30" customHeight="1" thickBot="1">
      <c r="B14" s="460" t="s">
        <v>662</v>
      </c>
      <c r="C14" s="461"/>
      <c r="D14" s="282"/>
      <c r="E14" s="372">
        <v>554526</v>
      </c>
      <c r="F14" s="427"/>
      <c r="G14" s="375">
        <v>513450</v>
      </c>
      <c r="H14" s="428"/>
      <c r="I14" s="375">
        <v>513450</v>
      </c>
      <c r="J14" s="428"/>
      <c r="K14" s="383">
        <v>77349</v>
      </c>
      <c r="L14" s="409"/>
      <c r="M14" s="283">
        <f>'原材料費'!K33</f>
        <v>735966</v>
      </c>
      <c r="N14" s="284"/>
      <c r="O14" s="285">
        <f>'原材料費'!L33</f>
        <v>681450</v>
      </c>
      <c r="P14" s="286"/>
      <c r="Q14" s="285">
        <f>'原材料費'!M33</f>
        <v>681450</v>
      </c>
      <c r="R14" s="403">
        <f>IF(I22&gt;Q22,IF(Q22=S22,"","×"),IF(I22=S22,"","×"))</f>
      </c>
      <c r="S14" s="375">
        <v>681450</v>
      </c>
      <c r="T14" s="286"/>
      <c r="U14" s="285">
        <f t="shared" si="0"/>
        <v>103346</v>
      </c>
      <c r="X14" s="228" t="s">
        <v>534</v>
      </c>
      <c r="Y14" s="229"/>
      <c r="Z14" s="229"/>
      <c r="AA14" s="359"/>
      <c r="AB14" s="259"/>
      <c r="AC14" s="287" t="s">
        <v>691</v>
      </c>
      <c r="AD14" s="500" t="s">
        <v>690</v>
      </c>
      <c r="AE14" s="501"/>
      <c r="AF14" s="501"/>
      <c r="AG14" s="502"/>
      <c r="AH14" s="216"/>
      <c r="AI14" s="259"/>
    </row>
    <row r="15" spans="2:35" ht="30" customHeight="1" thickTop="1">
      <c r="B15" s="460" t="s">
        <v>26</v>
      </c>
      <c r="C15" s="461"/>
      <c r="D15" s="282"/>
      <c r="E15" s="372">
        <v>5832000</v>
      </c>
      <c r="F15" s="427"/>
      <c r="G15" s="375">
        <v>5400000</v>
      </c>
      <c r="H15" s="428"/>
      <c r="I15" s="375">
        <v>5400000</v>
      </c>
      <c r="J15" s="428"/>
      <c r="K15" s="383">
        <v>813490</v>
      </c>
      <c r="L15" s="409"/>
      <c r="M15" s="283">
        <f>'技術導入費'!K33</f>
        <v>5832000</v>
      </c>
      <c r="N15" s="284"/>
      <c r="O15" s="285">
        <f>'技術導入費'!L33</f>
        <v>5400000</v>
      </c>
      <c r="P15" s="286"/>
      <c r="Q15" s="285">
        <f>'技術導入費'!M33</f>
        <v>5400000</v>
      </c>
      <c r="R15" s="403">
        <f>IF(I22&gt;Q22,IF(Q22=S22,"","×"),IF(I22=S22,"","×"))</f>
      </c>
      <c r="S15" s="375">
        <v>5377000</v>
      </c>
      <c r="T15" s="286"/>
      <c r="U15" s="285">
        <f t="shared" si="0"/>
        <v>815464</v>
      </c>
      <c r="X15" s="234" t="s">
        <v>536</v>
      </c>
      <c r="Y15" s="484" t="s">
        <v>50</v>
      </c>
      <c r="Z15" s="485"/>
      <c r="AA15" s="486"/>
      <c r="AB15" s="259"/>
      <c r="AC15" s="214" t="str">
        <f>IF(OR(AG28="×",AG29="×",AG30="×",AG31="×",AG32="×",AG33="×",AG34="×",AG35="×",AG36="×",AG37="×"),"×",AW30)</f>
        <v> </v>
      </c>
      <c r="AD15" s="508" t="str">
        <f>"("&amp;AU30&amp;")"</f>
        <v>(判定対象外)</v>
      </c>
      <c r="AE15" s="509"/>
      <c r="AF15" s="509"/>
      <c r="AG15" s="510"/>
      <c r="AH15" s="216"/>
      <c r="AI15" s="259"/>
    </row>
    <row r="16" spans="1:64" s="259" customFormat="1" ht="30" customHeight="1">
      <c r="A16" s="256"/>
      <c r="B16" s="460" t="s">
        <v>663</v>
      </c>
      <c r="C16" s="461"/>
      <c r="D16" s="282"/>
      <c r="E16" s="372">
        <v>540000</v>
      </c>
      <c r="F16" s="427"/>
      <c r="G16" s="375">
        <v>500000</v>
      </c>
      <c r="H16" s="428"/>
      <c r="I16" s="375">
        <v>500000</v>
      </c>
      <c r="J16" s="428"/>
      <c r="K16" s="383">
        <v>75322</v>
      </c>
      <c r="L16" s="409"/>
      <c r="M16" s="283">
        <f>'外注加工費'!K33</f>
        <v>540000</v>
      </c>
      <c r="N16" s="284"/>
      <c r="O16" s="285">
        <f>'外注加工費'!L33</f>
        <v>500000</v>
      </c>
      <c r="P16" s="286">
        <f>IF(OR(AV31=0,AV31=""),"",IF(AW33="○","",AW33))</f>
      </c>
      <c r="Q16" s="285">
        <f>'外注加工費'!M33</f>
        <v>500000</v>
      </c>
      <c r="R16" s="403">
        <f>IF(I22&gt;Q22,IF(Q22=S22,"","×"),IF(I22=S22,"","×"))</f>
      </c>
      <c r="S16" s="375">
        <v>500000</v>
      </c>
      <c r="T16" s="286"/>
      <c r="U16" s="285">
        <f t="shared" si="0"/>
        <v>75828</v>
      </c>
      <c r="X16" s="235" t="s">
        <v>537</v>
      </c>
      <c r="Y16" s="539">
        <v>0.08</v>
      </c>
      <c r="Z16" s="540"/>
      <c r="AA16" s="541"/>
      <c r="AC16" s="287" t="s">
        <v>695</v>
      </c>
      <c r="AD16" s="494" t="s">
        <v>676</v>
      </c>
      <c r="AE16" s="495"/>
      <c r="AF16" s="495"/>
      <c r="AG16" s="496"/>
      <c r="AH16" s="216"/>
      <c r="AJ16" s="256"/>
      <c r="AK16" s="256"/>
      <c r="AL16" s="256"/>
      <c r="AM16" s="256"/>
      <c r="AN16" s="256"/>
      <c r="AO16" s="256"/>
      <c r="AP16" s="256"/>
      <c r="AQ16" s="256"/>
      <c r="AR16" s="256"/>
      <c r="AS16" s="256"/>
      <c r="AT16" s="256"/>
      <c r="AU16" s="256"/>
      <c r="AV16" s="256"/>
      <c r="BL16" s="291"/>
    </row>
    <row r="17" spans="1:56" s="259" customFormat="1" ht="30" customHeight="1">
      <c r="A17" s="256"/>
      <c r="B17" s="460" t="s">
        <v>664</v>
      </c>
      <c r="C17" s="461"/>
      <c r="D17" s="282"/>
      <c r="E17" s="372">
        <v>1166400</v>
      </c>
      <c r="F17" s="427"/>
      <c r="G17" s="375">
        <v>1080000</v>
      </c>
      <c r="H17" s="428"/>
      <c r="I17" s="375">
        <v>1080000</v>
      </c>
      <c r="J17" s="428"/>
      <c r="K17" s="383">
        <v>162697</v>
      </c>
      <c r="L17" s="409"/>
      <c r="M17" s="283">
        <f>'委託費'!K33</f>
        <v>1166400</v>
      </c>
      <c r="N17" s="284"/>
      <c r="O17" s="285">
        <f>'委託費'!L33</f>
        <v>1080000</v>
      </c>
      <c r="P17" s="286">
        <f>IF(OR(AV32=0,AV32=""),"",IF(AW33="○","",AW33))</f>
      </c>
      <c r="Q17" s="285">
        <f>'委託費'!M33</f>
        <v>1080000</v>
      </c>
      <c r="R17" s="403">
        <f>IF(I22&gt;Q22,IF(Q22=S22,"","×"),IF(I22=S22,"","×"))</f>
      </c>
      <c r="S17" s="375">
        <v>1080000</v>
      </c>
      <c r="T17" s="286"/>
      <c r="U17" s="285">
        <f t="shared" si="0"/>
        <v>163789</v>
      </c>
      <c r="X17" s="236" t="s">
        <v>538</v>
      </c>
      <c r="Y17" s="481" t="str">
        <f>VLOOKUP('基本情報入力（使い方）'!C15,'設定'!B:C,2)</f>
        <v>ものづくり技術</v>
      </c>
      <c r="Z17" s="482"/>
      <c r="AA17" s="483"/>
      <c r="AC17" s="214" t="str">
        <f>IF(OR(AH28="×",AH29="×",AH30="×",AH31="×",AH32="×",AH33="×",AH34="×",AH35="×",AH36="×",AH37="×"),"×","○")</f>
        <v>○</v>
      </c>
      <c r="AD17" s="497"/>
      <c r="AE17" s="498"/>
      <c r="AF17" s="498"/>
      <c r="AG17" s="499"/>
      <c r="AH17" s="256"/>
      <c r="AJ17" s="256"/>
      <c r="AK17" s="256"/>
      <c r="AL17" s="256"/>
      <c r="AM17" s="256"/>
      <c r="AN17" s="256"/>
      <c r="AO17" s="256"/>
      <c r="AP17" s="256"/>
      <c r="AQ17" s="256"/>
      <c r="AR17" s="256"/>
      <c r="AS17" s="256"/>
      <c r="AT17" s="256"/>
      <c r="AU17" s="256"/>
      <c r="AV17" s="256"/>
      <c r="BD17" s="291"/>
    </row>
    <row r="18" spans="1:56" s="259" customFormat="1" ht="30" customHeight="1">
      <c r="A18" s="256"/>
      <c r="B18" s="460" t="s">
        <v>665</v>
      </c>
      <c r="C18" s="461"/>
      <c r="D18" s="282"/>
      <c r="E18" s="372">
        <v>594000</v>
      </c>
      <c r="F18" s="427"/>
      <c r="G18" s="375">
        <v>550000</v>
      </c>
      <c r="H18" s="428"/>
      <c r="I18" s="375">
        <v>550000</v>
      </c>
      <c r="J18" s="428"/>
      <c r="K18" s="383">
        <v>82854</v>
      </c>
      <c r="L18" s="409"/>
      <c r="M18" s="283">
        <f>'知的財産権等関連経費'!K33</f>
        <v>594000</v>
      </c>
      <c r="N18" s="284"/>
      <c r="O18" s="285">
        <f>'知的財産権等関連経費'!L33</f>
        <v>550000</v>
      </c>
      <c r="P18" s="286">
        <f>IF(OR(AV34=0,AV34=""),"",IF(AW34="○","",AW34))</f>
      </c>
      <c r="Q18" s="285">
        <f>'知的財産権等関連経費'!M33</f>
        <v>550000</v>
      </c>
      <c r="R18" s="403">
        <f>IF(I22&gt;Q22,IF(Q22=S22,"","×"),IF(I22=S22,"","×"))</f>
      </c>
      <c r="S18" s="375">
        <v>550000</v>
      </c>
      <c r="T18" s="286"/>
      <c r="U18" s="285">
        <f t="shared" si="0"/>
        <v>83411</v>
      </c>
      <c r="V18" s="256"/>
      <c r="W18" s="256"/>
      <c r="X18" s="236"/>
      <c r="Y18" s="481" t="str">
        <f>VLOOKUP('基本情報入力（使い方）'!C21,'設定'!E:H,2)&amp;VLOOKUP('基本情報入力（使い方）'!C21,'設定'!E:H,3)</f>
        <v>小規模型（試作開発等）</v>
      </c>
      <c r="Z18" s="482"/>
      <c r="AA18" s="483"/>
      <c r="AC18" s="256"/>
      <c r="AE18" s="256"/>
      <c r="AF18" s="256"/>
      <c r="AG18" s="256"/>
      <c r="AH18" s="216"/>
      <c r="AJ18" s="256"/>
      <c r="AK18" s="256"/>
      <c r="AL18" s="256"/>
      <c r="AM18" s="256"/>
      <c r="AN18" s="256"/>
      <c r="AO18" s="256"/>
      <c r="AP18" s="256"/>
      <c r="AQ18" s="256"/>
      <c r="AR18" s="256"/>
      <c r="AS18" s="256"/>
      <c r="AT18" s="256"/>
      <c r="AU18" s="256"/>
      <c r="AV18" s="256"/>
      <c r="BD18" s="291"/>
    </row>
    <row r="19" spans="1:55" s="259" customFormat="1" ht="30" customHeight="1">
      <c r="A19" s="256"/>
      <c r="B19" s="460" t="s">
        <v>29</v>
      </c>
      <c r="C19" s="461"/>
      <c r="D19" s="282"/>
      <c r="E19" s="372">
        <v>955800</v>
      </c>
      <c r="F19" s="427"/>
      <c r="G19" s="375">
        <v>885000</v>
      </c>
      <c r="H19" s="428"/>
      <c r="I19" s="375">
        <v>885000</v>
      </c>
      <c r="J19" s="428"/>
      <c r="K19" s="383">
        <v>133321</v>
      </c>
      <c r="L19" s="409"/>
      <c r="M19" s="283">
        <f>'運搬費'!K33</f>
        <v>955800</v>
      </c>
      <c r="N19" s="284"/>
      <c r="O19" s="285">
        <f>'運搬費'!L33</f>
        <v>885000</v>
      </c>
      <c r="P19" s="286"/>
      <c r="Q19" s="285">
        <f>'運搬費'!M33</f>
        <v>885000</v>
      </c>
      <c r="R19" s="403">
        <f>IF(I22&gt;Q22,IF(Q22=S22,"","×"),IF(I22=S22,"","×"))</f>
      </c>
      <c r="S19" s="375">
        <v>885000</v>
      </c>
      <c r="T19" s="286"/>
      <c r="U19" s="285">
        <f t="shared" si="0"/>
        <v>134216</v>
      </c>
      <c r="V19" s="256"/>
      <c r="W19" s="256"/>
      <c r="X19" s="236" t="s">
        <v>734</v>
      </c>
      <c r="Y19" s="471">
        <f>K22</f>
        <v>5000000</v>
      </c>
      <c r="Z19" s="472"/>
      <c r="AA19" s="405" t="s">
        <v>700</v>
      </c>
      <c r="AC19" s="256"/>
      <c r="AE19" s="256"/>
      <c r="AF19" s="256"/>
      <c r="AG19" s="256"/>
      <c r="AH19" s="216"/>
      <c r="AJ19" s="256"/>
      <c r="AK19" s="256"/>
      <c r="AL19" s="256"/>
      <c r="AM19" s="256"/>
      <c r="AN19" s="256"/>
      <c r="AO19" s="256"/>
      <c r="AP19" s="256"/>
      <c r="AQ19" s="256"/>
      <c r="AR19" s="256"/>
      <c r="AS19" s="256"/>
      <c r="AT19" s="256"/>
      <c r="AU19" s="256"/>
      <c r="AV19" s="256"/>
      <c r="BC19" s="291"/>
    </row>
    <row r="20" spans="1:55" s="259" customFormat="1" ht="30" customHeight="1" thickBot="1">
      <c r="A20" s="256"/>
      <c r="B20" s="460" t="s">
        <v>556</v>
      </c>
      <c r="C20" s="461"/>
      <c r="D20" s="282"/>
      <c r="E20" s="372">
        <v>1080000</v>
      </c>
      <c r="F20" s="427"/>
      <c r="G20" s="375">
        <v>1000000</v>
      </c>
      <c r="H20" s="428"/>
      <c r="I20" s="375">
        <v>1000000</v>
      </c>
      <c r="J20" s="428"/>
      <c r="K20" s="383">
        <v>150645</v>
      </c>
      <c r="L20" s="409"/>
      <c r="M20" s="283">
        <f>'専門家経費'!K33</f>
        <v>972000</v>
      </c>
      <c r="N20" s="284"/>
      <c r="O20" s="285">
        <f>'専門家経費'!L33</f>
        <v>900000</v>
      </c>
      <c r="P20" s="286"/>
      <c r="Q20" s="285">
        <f>'専門家経費'!M33</f>
        <v>900000</v>
      </c>
      <c r="R20" s="403">
        <f>IF(I22&gt;Q22,IF(Q22=S22,"","×"),IF(I22=S22,"","×"))</f>
      </c>
      <c r="S20" s="375">
        <v>900000</v>
      </c>
      <c r="T20" s="286"/>
      <c r="U20" s="285">
        <f t="shared" si="0"/>
        <v>136491</v>
      </c>
      <c r="V20" s="256"/>
      <c r="W20" s="256"/>
      <c r="X20" s="237" t="s">
        <v>652</v>
      </c>
      <c r="Y20" s="527">
        <f>VLOOKUP('基本情報入力（使い方）'!C21,'設定'!E:I,5)</f>
        <v>1000000</v>
      </c>
      <c r="Z20" s="528"/>
      <c r="AA20" s="366" t="s">
        <v>700</v>
      </c>
      <c r="AB20" s="256"/>
      <c r="AC20" s="256"/>
      <c r="AD20" s="256"/>
      <c r="AE20" s="256"/>
      <c r="AF20" s="256"/>
      <c r="AG20" s="256"/>
      <c r="AH20" s="256"/>
      <c r="AI20" s="256"/>
      <c r="AJ20" s="256"/>
      <c r="AK20" s="256"/>
      <c r="AL20" s="256"/>
      <c r="AM20" s="256"/>
      <c r="AN20" s="256"/>
      <c r="AO20" s="256"/>
      <c r="AP20" s="256"/>
      <c r="AQ20" s="256"/>
      <c r="AR20" s="256"/>
      <c r="AS20" s="256"/>
      <c r="AT20" s="256"/>
      <c r="AU20" s="256"/>
      <c r="AV20" s="256"/>
      <c r="BC20" s="291"/>
    </row>
    <row r="21" spans="1:56" s="259" customFormat="1" ht="30" customHeight="1" thickTop="1">
      <c r="A21" s="256"/>
      <c r="B21" s="529" t="s">
        <v>666</v>
      </c>
      <c r="C21" s="530"/>
      <c r="D21" s="292"/>
      <c r="E21" s="373">
        <v>270000</v>
      </c>
      <c r="F21" s="429"/>
      <c r="G21" s="376">
        <v>250000</v>
      </c>
      <c r="H21" s="430"/>
      <c r="I21" s="376">
        <v>250000</v>
      </c>
      <c r="J21" s="430"/>
      <c r="K21" s="384">
        <v>37661</v>
      </c>
      <c r="L21" s="410"/>
      <c r="M21" s="293">
        <f>'クラウド利用費'!K33</f>
        <v>243000</v>
      </c>
      <c r="N21" s="294"/>
      <c r="O21" s="295">
        <f>'クラウド利用費'!L33</f>
        <v>225000</v>
      </c>
      <c r="P21" s="296"/>
      <c r="Q21" s="295">
        <f>'クラウド利用費'!M33</f>
        <v>225000</v>
      </c>
      <c r="R21" s="404">
        <f>IF(I22&gt;Q22,IF(Q22=S22,"","×"),IF(I22=S22,"","×"))</f>
      </c>
      <c r="S21" s="376">
        <v>225000</v>
      </c>
      <c r="T21" s="296"/>
      <c r="U21" s="295">
        <f t="shared" si="0"/>
        <v>34122</v>
      </c>
      <c r="V21" s="256"/>
      <c r="W21" s="256"/>
      <c r="AB21" s="256"/>
      <c r="AC21" s="256"/>
      <c r="AD21" s="256"/>
      <c r="AE21" s="256"/>
      <c r="AF21" s="256"/>
      <c r="AG21" s="256"/>
      <c r="AH21" s="256"/>
      <c r="AI21" s="256"/>
      <c r="AJ21" s="256"/>
      <c r="AK21" s="256"/>
      <c r="AL21" s="256"/>
      <c r="AM21" s="256"/>
      <c r="AN21" s="256"/>
      <c r="AO21" s="256"/>
      <c r="AP21" s="256"/>
      <c r="AQ21" s="256"/>
      <c r="AR21" s="256"/>
      <c r="AS21" s="256"/>
      <c r="AT21" s="256"/>
      <c r="AU21" s="256"/>
      <c r="AV21" s="256"/>
      <c r="AW21" s="256"/>
      <c r="BD21" s="291"/>
    </row>
    <row r="22" spans="1:56" s="259" customFormat="1" ht="30" customHeight="1">
      <c r="A22" s="256"/>
      <c r="B22" s="454" t="s">
        <v>539</v>
      </c>
      <c r="C22" s="455"/>
      <c r="D22" s="424" t="s">
        <v>567</v>
      </c>
      <c r="E22" s="418">
        <f>SUM(E12:E21)</f>
        <v>16608726</v>
      </c>
      <c r="F22" s="418"/>
      <c r="G22" s="418">
        <f>SUM(G12:G21)</f>
        <v>15378450</v>
      </c>
      <c r="H22" s="419"/>
      <c r="I22" s="418">
        <f>SUM(I12:I21)</f>
        <v>15378450</v>
      </c>
      <c r="J22" s="419"/>
      <c r="K22" s="435">
        <f>SUM(K12:K21)</f>
        <v>5000000</v>
      </c>
      <c r="L22" s="436" t="s">
        <v>702</v>
      </c>
      <c r="M22" s="437">
        <f>SUM(M12:M21)</f>
        <v>16633566</v>
      </c>
      <c r="N22" s="418"/>
      <c r="O22" s="418">
        <f>SUM(O12:O21)</f>
        <v>15401450</v>
      </c>
      <c r="P22" s="420"/>
      <c r="Q22" s="418">
        <f>SUM(Q12:Q21)</f>
        <v>15401450</v>
      </c>
      <c r="R22" s="420">
        <f>IF(I22&gt;Q22,IF(Q22=S22,"","×"),IF(I22=S22,"","×"))</f>
      </c>
      <c r="S22" s="418">
        <f>SUM(S12:S21)</f>
        <v>15378450</v>
      </c>
      <c r="T22" s="420" t="s">
        <v>703</v>
      </c>
      <c r="U22" s="418">
        <f>SUM(U12:U21)</f>
        <v>5000000</v>
      </c>
      <c r="V22" s="256"/>
      <c r="W22" s="256"/>
      <c r="AB22" s="256"/>
      <c r="AC22" s="256"/>
      <c r="AD22" s="256"/>
      <c r="AE22" s="256"/>
      <c r="AF22" s="256"/>
      <c r="AG22" s="256"/>
      <c r="AH22" s="256"/>
      <c r="AI22" s="256"/>
      <c r="AJ22" s="256"/>
      <c r="AK22" s="256"/>
      <c r="AL22" s="256"/>
      <c r="AM22" s="256"/>
      <c r="AN22" s="256"/>
      <c r="AO22" s="256"/>
      <c r="AP22" s="256"/>
      <c r="AQ22" s="256"/>
      <c r="AR22" s="256"/>
      <c r="AS22" s="256"/>
      <c r="AT22" s="256"/>
      <c r="AU22" s="256"/>
      <c r="AV22" s="256"/>
      <c r="AW22" s="256"/>
      <c r="BD22" s="291"/>
    </row>
    <row r="23" spans="1:56" s="259" customFormat="1" ht="19.5" customHeight="1">
      <c r="A23" s="256"/>
      <c r="B23" s="456"/>
      <c r="C23" s="457"/>
      <c r="D23" s="367"/>
      <c r="E23" s="421"/>
      <c r="F23" s="421"/>
      <c r="G23" s="421"/>
      <c r="H23" s="421"/>
      <c r="I23" s="423" t="s">
        <v>748</v>
      </c>
      <c r="J23" s="421"/>
      <c r="K23" s="438"/>
      <c r="L23" s="439"/>
      <c r="M23" s="440"/>
      <c r="N23" s="421"/>
      <c r="O23" s="421"/>
      <c r="P23" s="421"/>
      <c r="Q23" s="423" t="s">
        <v>755</v>
      </c>
      <c r="R23" s="421"/>
      <c r="S23" s="422"/>
      <c r="T23" s="421"/>
      <c r="U23" s="421"/>
      <c r="V23" s="256"/>
      <c r="W23" s="256"/>
      <c r="AB23" s="256"/>
      <c r="AC23" s="256"/>
      <c r="AD23" s="256"/>
      <c r="AE23" s="256"/>
      <c r="AF23" s="256"/>
      <c r="AG23" s="256"/>
      <c r="AH23" s="256"/>
      <c r="AI23" s="256"/>
      <c r="AJ23" s="256"/>
      <c r="AK23" s="256"/>
      <c r="AL23" s="256"/>
      <c r="AM23" s="256"/>
      <c r="AN23" s="256"/>
      <c r="AO23" s="256"/>
      <c r="AP23" s="256"/>
      <c r="AQ23" s="256"/>
      <c r="AR23" s="256"/>
      <c r="AS23" s="256"/>
      <c r="AT23" s="256"/>
      <c r="AU23" s="256"/>
      <c r="AV23" s="256"/>
      <c r="AW23" s="256"/>
      <c r="BD23" s="291"/>
    </row>
    <row r="24" spans="2:36" ht="30" customHeight="1" thickBot="1">
      <c r="B24" s="367"/>
      <c r="C24" s="367"/>
      <c r="D24" s="367"/>
      <c r="E24" s="367"/>
      <c r="F24" s="367"/>
      <c r="G24" s="367"/>
      <c r="H24" s="367"/>
      <c r="I24" s="367"/>
      <c r="J24" s="367"/>
      <c r="K24" s="367"/>
      <c r="L24" s="367"/>
      <c r="M24" s="367"/>
      <c r="N24" s="367"/>
      <c r="O24" s="367"/>
      <c r="P24" s="367"/>
      <c r="Q24" s="367"/>
      <c r="R24" s="367"/>
      <c r="S24" s="367"/>
      <c r="T24" s="367"/>
      <c r="U24" s="367"/>
      <c r="V24" s="298"/>
      <c r="W24" s="297"/>
      <c r="X24" s="299" t="s">
        <v>541</v>
      </c>
      <c r="Y24" s="300"/>
      <c r="Z24" s="300"/>
      <c r="AA24" s="301"/>
      <c r="AB24" s="302"/>
      <c r="AC24" s="303"/>
      <c r="AD24" s="304"/>
      <c r="AE24" s="303"/>
      <c r="AF24" s="303"/>
      <c r="AG24" s="303"/>
      <c r="AH24" s="303"/>
      <c r="AI24" s="305"/>
      <c r="AJ24" s="305"/>
    </row>
    <row r="25" spans="1:49" s="267" customFormat="1" ht="30" customHeight="1" thickTop="1">
      <c r="A25" s="256"/>
      <c r="B25" s="367"/>
      <c r="C25" s="367"/>
      <c r="D25" s="367"/>
      <c r="E25" s="367"/>
      <c r="F25" s="367"/>
      <c r="G25" s="367"/>
      <c r="H25" s="367"/>
      <c r="I25" s="367"/>
      <c r="J25" s="367"/>
      <c r="K25" s="367"/>
      <c r="L25" s="367"/>
      <c r="M25" s="367"/>
      <c r="N25" s="367"/>
      <c r="O25" s="367"/>
      <c r="P25" s="367"/>
      <c r="Q25" s="367"/>
      <c r="R25" s="367"/>
      <c r="S25" s="367"/>
      <c r="T25" s="367"/>
      <c r="U25" s="367"/>
      <c r="V25" s="298"/>
      <c r="W25" s="251"/>
      <c r="X25" s="306" t="s">
        <v>20</v>
      </c>
      <c r="Y25" s="475" t="s">
        <v>36</v>
      </c>
      <c r="Z25" s="306" t="s">
        <v>20</v>
      </c>
      <c r="AA25" s="306" t="s">
        <v>20</v>
      </c>
      <c r="AB25" s="553" t="s">
        <v>528</v>
      </c>
      <c r="AC25" s="556" t="s">
        <v>37</v>
      </c>
      <c r="AD25" s="307" t="s">
        <v>577</v>
      </c>
      <c r="AE25" s="307" t="s">
        <v>578</v>
      </c>
      <c r="AF25" s="308" t="s">
        <v>579</v>
      </c>
      <c r="AG25" s="308" t="s">
        <v>691</v>
      </c>
      <c r="AH25" s="309" t="s">
        <v>695</v>
      </c>
      <c r="AI25" s="515" t="s">
        <v>533</v>
      </c>
      <c r="AJ25" s="310"/>
      <c r="AK25" s="522" t="s">
        <v>677</v>
      </c>
      <c r="AL25" s="526" t="s">
        <v>633</v>
      </c>
      <c r="AM25" s="513"/>
      <c r="AN25" s="514"/>
      <c r="AO25" s="512" t="s">
        <v>631</v>
      </c>
      <c r="AP25" s="513"/>
      <c r="AQ25" s="514"/>
      <c r="AR25" s="512" t="s">
        <v>632</v>
      </c>
      <c r="AS25" s="513"/>
      <c r="AT25" s="521"/>
      <c r="AU25" s="518" t="s">
        <v>643</v>
      </c>
      <c r="AV25" s="519"/>
      <c r="AW25" s="520"/>
    </row>
    <row r="26" spans="2:49" ht="36.75" customHeight="1" thickBot="1">
      <c r="B26" s="367"/>
      <c r="C26" s="367"/>
      <c r="D26" s="367"/>
      <c r="E26" s="367"/>
      <c r="F26" s="367"/>
      <c r="G26" s="367"/>
      <c r="H26" s="367"/>
      <c r="I26" s="367"/>
      <c r="J26" s="367"/>
      <c r="K26" s="367"/>
      <c r="L26" s="367"/>
      <c r="M26" s="367"/>
      <c r="N26" s="367"/>
      <c r="O26" s="367"/>
      <c r="P26" s="367"/>
      <c r="Q26" s="367"/>
      <c r="R26" s="367"/>
      <c r="S26" s="367"/>
      <c r="T26" s="367"/>
      <c r="U26" s="367"/>
      <c r="V26" s="298"/>
      <c r="W26" s="251"/>
      <c r="X26" s="311" t="s">
        <v>529</v>
      </c>
      <c r="Y26" s="476"/>
      <c r="Z26" s="311" t="s">
        <v>530</v>
      </c>
      <c r="AA26" s="311" t="s">
        <v>21</v>
      </c>
      <c r="AB26" s="554"/>
      <c r="AC26" s="557"/>
      <c r="AD26" s="506" t="s">
        <v>535</v>
      </c>
      <c r="AE26" s="524" t="s">
        <v>681</v>
      </c>
      <c r="AF26" s="506" t="s">
        <v>696</v>
      </c>
      <c r="AG26" s="506" t="s">
        <v>684</v>
      </c>
      <c r="AH26" s="560" t="s">
        <v>676</v>
      </c>
      <c r="AI26" s="516"/>
      <c r="AJ26" s="310"/>
      <c r="AK26" s="523"/>
      <c r="AL26" s="313" t="s">
        <v>640</v>
      </c>
      <c r="AM26" s="314" t="s">
        <v>641</v>
      </c>
      <c r="AN26" s="314" t="s">
        <v>642</v>
      </c>
      <c r="AO26" s="314" t="s">
        <v>640</v>
      </c>
      <c r="AP26" s="314" t="s">
        <v>641</v>
      </c>
      <c r="AQ26" s="314" t="s">
        <v>642</v>
      </c>
      <c r="AR26" s="314" t="s">
        <v>640</v>
      </c>
      <c r="AS26" s="314" t="s">
        <v>641</v>
      </c>
      <c r="AT26" s="315" t="s">
        <v>642</v>
      </c>
      <c r="AU26" s="316" t="s">
        <v>640</v>
      </c>
      <c r="AV26" s="314" t="s">
        <v>641</v>
      </c>
      <c r="AW26" s="314" t="s">
        <v>642</v>
      </c>
    </row>
    <row r="27" spans="2:49" ht="30" customHeight="1" thickBot="1" thickTop="1">
      <c r="B27" s="367"/>
      <c r="C27" s="367"/>
      <c r="D27" s="367"/>
      <c r="E27" s="367"/>
      <c r="F27" s="367"/>
      <c r="G27" s="367"/>
      <c r="H27" s="367"/>
      <c r="I27" s="367"/>
      <c r="J27" s="367"/>
      <c r="K27" s="367"/>
      <c r="L27" s="367"/>
      <c r="M27" s="367"/>
      <c r="N27" s="367"/>
      <c r="O27" s="367"/>
      <c r="P27" s="367"/>
      <c r="Q27" s="367"/>
      <c r="R27" s="367"/>
      <c r="S27" s="367"/>
      <c r="T27" s="367"/>
      <c r="U27" s="367"/>
      <c r="V27" s="298"/>
      <c r="W27" s="251"/>
      <c r="X27" s="317" t="s">
        <v>22</v>
      </c>
      <c r="Y27" s="477"/>
      <c r="Z27" s="312" t="s">
        <v>22</v>
      </c>
      <c r="AA27" s="312" t="s">
        <v>22</v>
      </c>
      <c r="AB27" s="555"/>
      <c r="AC27" s="558"/>
      <c r="AD27" s="507"/>
      <c r="AE27" s="525"/>
      <c r="AF27" s="507"/>
      <c r="AG27" s="507"/>
      <c r="AH27" s="561"/>
      <c r="AI27" s="517"/>
      <c r="AJ27" s="310"/>
      <c r="AK27" s="318" t="s">
        <v>40</v>
      </c>
      <c r="AL27" s="319">
        <v>10000000</v>
      </c>
      <c r="AM27" s="217">
        <f>$U$22</f>
        <v>5000000</v>
      </c>
      <c r="AN27" s="320" t="str">
        <f>IF(AL27-AM27&gt;=0,"○","×")</f>
        <v>○</v>
      </c>
      <c r="AO27" s="217">
        <v>5000000</v>
      </c>
      <c r="AP27" s="217">
        <f>$U$22</f>
        <v>5000000</v>
      </c>
      <c r="AQ27" s="320" t="str">
        <f>IF(AO27-AP27&gt;=0,"○","×")</f>
        <v>○</v>
      </c>
      <c r="AR27" s="217">
        <v>30000000</v>
      </c>
      <c r="AS27" s="217">
        <f>$U$22</f>
        <v>5000000</v>
      </c>
      <c r="AT27" s="321" t="str">
        <f>IF(AR27-AS27&gt;=0,"○","×")</f>
        <v>○</v>
      </c>
      <c r="AU27" s="322">
        <f>IF('基本情報入力（使い方）'!$C$21=1,AL27,IF(OR('基本情報入力（使い方）'!$C$21=2,'基本情報入力（使い方）'!$C$21=3),AO27,AR27))</f>
        <v>5000000</v>
      </c>
      <c r="AV27" s="323">
        <f>IF('基本情報入力（使い方）'!$C$21=1,AM27,IF(OR('基本情報入力（使い方）'!$C$21=2,'基本情報入力（使い方）'!$C$21=3),AP27,AS27))</f>
        <v>5000000</v>
      </c>
      <c r="AW27" s="324" t="str">
        <f>IF('基本情報入力（使い方）'!$C$21=1,AN27,IF(OR('基本情報入力（使い方）'!$C$21=2,'基本情報入力（使い方）'!$C$21=3),AQ27,AT27))</f>
        <v>○</v>
      </c>
    </row>
    <row r="28" spans="2:49" ht="30" customHeight="1" thickTop="1">
      <c r="B28" s="367"/>
      <c r="C28" s="367"/>
      <c r="D28" s="367"/>
      <c r="E28" s="367"/>
      <c r="F28" s="367"/>
      <c r="G28" s="367"/>
      <c r="H28" s="367"/>
      <c r="I28" s="367"/>
      <c r="J28" s="367"/>
      <c r="K28" s="367"/>
      <c r="L28" s="367"/>
      <c r="M28" s="367"/>
      <c r="N28" s="367"/>
      <c r="O28" s="367"/>
      <c r="P28" s="367"/>
      <c r="Q28" s="367"/>
      <c r="R28" s="367"/>
      <c r="S28" s="367"/>
      <c r="T28" s="367"/>
      <c r="U28" s="367"/>
      <c r="V28" s="325"/>
      <c r="W28" s="275" t="s">
        <v>554</v>
      </c>
      <c r="X28" s="411">
        <f aca="true" t="shared" si="1" ref="X28:X37">IF(S12="",0,ROUNDDOWN(S12*2/3,0))</f>
        <v>1320000</v>
      </c>
      <c r="Y28" s="211">
        <f>IF($Z$28&gt;0,1,"")</f>
        <v>1</v>
      </c>
      <c r="Z28" s="45">
        <f>IF(事業類型="革新的サービス（コンパクト型）",0,MIN(X28,X40))</f>
        <v>1320000</v>
      </c>
      <c r="AA28" s="45">
        <f>IF(Z28=0,0,MIN(Z28,X40))</f>
        <v>1320000</v>
      </c>
      <c r="AB28" s="46">
        <f aca="true" t="shared" si="2" ref="AB28:AB37">U12-X28</f>
        <v>0</v>
      </c>
      <c r="AC28" s="218" t="str">
        <f>IF(AND(AD28&lt;&gt;"×",AE28&lt;&gt;"×",AF28&lt;&gt;"×",AG28&lt;&gt;"×",AH28&lt;&gt;"×"),"○","×")</f>
        <v>○</v>
      </c>
      <c r="AD28" s="218"/>
      <c r="AE28" s="218">
        <f aca="true" t="shared" si="3" ref="AE28:AE37">IF(AND(M12&gt;=O12,O12&gt;=Q12),"","×")</f>
      </c>
      <c r="AF28" s="243" t="str">
        <f>AW29</f>
        <v> </v>
      </c>
      <c r="AG28" s="243"/>
      <c r="AH28" s="219"/>
      <c r="AI28" s="550" t="str">
        <f>IF(OR(AC28="×",AC29="×",AC30="×",AC31="×",AC32="×",AC33="×",AC34="×",AC35="×",AC36="×",AC37="×",X9="×",X11="×",AC13="×",AC9="×",AC11="×",AC13="×",AC15="×",AC17="×"),"×","○")</f>
        <v>○</v>
      </c>
      <c r="AJ28" s="326"/>
      <c r="AK28" s="327" t="s">
        <v>652</v>
      </c>
      <c r="AL28" s="328">
        <v>1000000</v>
      </c>
      <c r="AM28" s="220">
        <f>$U$22</f>
        <v>5000000</v>
      </c>
      <c r="AN28" s="329" t="str">
        <f>IF(AM28-AL28&gt;=0,"○","×")</f>
        <v>○</v>
      </c>
      <c r="AO28" s="220">
        <v>1000000</v>
      </c>
      <c r="AP28" s="220">
        <f>$U$22</f>
        <v>5000000</v>
      </c>
      <c r="AQ28" s="329" t="str">
        <f>IF(AP28-AO28&gt;=0,"○","×")</f>
        <v>○</v>
      </c>
      <c r="AR28" s="220">
        <v>1000000</v>
      </c>
      <c r="AS28" s="220">
        <f>$U$22</f>
        <v>5000000</v>
      </c>
      <c r="AT28" s="330" t="str">
        <f>IF(AS28-AR28&gt;=0,"○","×")</f>
        <v>○</v>
      </c>
      <c r="AU28" s="322">
        <f>IF('基本情報入力（使い方）'!$C$21=1,AL28,IF(OR('基本情報入力（使い方）'!$C$21=2,'基本情報入力（使い方）'!$C$21=3),AO28,AR28))</f>
        <v>1000000</v>
      </c>
      <c r="AV28" s="323">
        <f>IF('基本情報入力（使い方）'!$C$21=1,AM28,IF(OR('基本情報入力（使い方）'!$C$21=2,'基本情報入力（使い方）'!$C$21=3),AP28,AS28))</f>
        <v>5000000</v>
      </c>
      <c r="AW28" s="324" t="str">
        <f>IF('基本情報入力（使い方）'!$C$21=1,AN28,IF(OR('基本情報入力（使い方）'!$C$21=2,'基本情報入力（使い方）'!$C$21=3),AQ28,AT28))</f>
        <v>○</v>
      </c>
    </row>
    <row r="29" spans="2:49" ht="30" customHeight="1">
      <c r="B29" s="367"/>
      <c r="C29" s="367"/>
      <c r="D29" s="367"/>
      <c r="E29" s="367"/>
      <c r="F29" s="367"/>
      <c r="G29" s="367"/>
      <c r="H29" s="367"/>
      <c r="I29" s="367"/>
      <c r="J29" s="367"/>
      <c r="K29" s="367"/>
      <c r="L29" s="367"/>
      <c r="M29" s="367"/>
      <c r="N29" s="367"/>
      <c r="O29" s="367"/>
      <c r="P29" s="367"/>
      <c r="Q29" s="367"/>
      <c r="R29" s="367"/>
      <c r="S29" s="367"/>
      <c r="T29" s="367"/>
      <c r="U29" s="367"/>
      <c r="V29" s="325"/>
      <c r="W29" s="282" t="s">
        <v>555</v>
      </c>
      <c r="X29" s="47">
        <f t="shared" si="1"/>
        <v>2133333</v>
      </c>
      <c r="Y29" s="124">
        <f>IF($Z$29&gt;0,1,"")</f>
        <v>1</v>
      </c>
      <c r="Z29" s="48">
        <f>IF(AND(事業類型="革新的サービス（コンパクト型）",X29&gt;=500000*2/3),499999,MIN(X29,X40))</f>
        <v>2133333</v>
      </c>
      <c r="AA29" s="48">
        <f>IF(Z29=0,0,MIN(Z29,(X40-Z28)))</f>
        <v>2133333</v>
      </c>
      <c r="AB29" s="49">
        <f t="shared" si="2"/>
        <v>0</v>
      </c>
      <c r="AC29" s="221" t="str">
        <f aca="true" t="shared" si="4" ref="AC29:AC37">IF(AND(AD29&lt;&gt;"×",AE29&lt;&gt;"×",AF29&lt;&gt;"×",AG29&lt;&gt;"×",AH29&lt;&gt;"×"),"○","×")</f>
        <v>○</v>
      </c>
      <c r="AD29" s="221"/>
      <c r="AE29" s="221">
        <f t="shared" si="3"/>
      </c>
      <c r="AF29" s="244"/>
      <c r="AG29" s="244"/>
      <c r="AH29" s="222"/>
      <c r="AI29" s="551"/>
      <c r="AJ29" s="326"/>
      <c r="AK29" s="331" t="s">
        <v>41</v>
      </c>
      <c r="AL29" s="332" t="s">
        <v>668</v>
      </c>
      <c r="AM29" s="333">
        <f>$Q$12</f>
        <v>1980000</v>
      </c>
      <c r="AN29" s="329" t="str">
        <f>IF(AM29&gt;=500000,"○","×")</f>
        <v>○</v>
      </c>
      <c r="AO29" s="334" t="s">
        <v>645</v>
      </c>
      <c r="AP29" s="335" t="s">
        <v>685</v>
      </c>
      <c r="AQ29" s="335" t="s">
        <v>685</v>
      </c>
      <c r="AR29" s="336" t="s">
        <v>531</v>
      </c>
      <c r="AS29" s="333">
        <f>$Q$12</f>
        <v>1980000</v>
      </c>
      <c r="AT29" s="330" t="str">
        <f>IF(AS29&gt;=500000,"○","×")</f>
        <v>○</v>
      </c>
      <c r="AU29" s="322" t="str">
        <f>IF('基本情報入力（使い方）'!$C$21=1,AL29,IF(OR('基本情報入力（使い方）'!$C$21=2,'基本情報入力（使い方）'!$C$21=3),AO29,AR29))</f>
        <v>判定対象外</v>
      </c>
      <c r="AV29" s="323" t="str">
        <f>IF('基本情報入力（使い方）'!$C$21=1,AM29,IF(OR('基本情報入力（使い方）'!$C$21=2,'基本情報入力（使い方）'!$C$21=3),AP29,AS29))</f>
        <v> </v>
      </c>
      <c r="AW29" s="324" t="str">
        <f>IF('基本情報入力（使い方）'!$C$21=1,AN29,IF(OR('基本情報入力（使い方）'!$C$21=2,'基本情報入力（使い方）'!$C$21=3),AQ29,AT29))</f>
        <v> </v>
      </c>
    </row>
    <row r="30" spans="2:49" ht="30" customHeight="1">
      <c r="B30" s="367"/>
      <c r="C30" s="367"/>
      <c r="D30" s="367"/>
      <c r="E30" s="367"/>
      <c r="F30" s="367"/>
      <c r="G30" s="367"/>
      <c r="H30" s="367"/>
      <c r="I30" s="367"/>
      <c r="J30" s="367"/>
      <c r="K30" s="367"/>
      <c r="L30" s="367"/>
      <c r="M30" s="367"/>
      <c r="N30" s="367"/>
      <c r="O30" s="367"/>
      <c r="P30" s="367"/>
      <c r="Q30" s="367"/>
      <c r="R30" s="367"/>
      <c r="S30" s="367"/>
      <c r="T30" s="367"/>
      <c r="U30" s="367"/>
      <c r="V30" s="325"/>
      <c r="W30" s="282" t="s">
        <v>662</v>
      </c>
      <c r="X30" s="47">
        <f t="shared" si="1"/>
        <v>454300</v>
      </c>
      <c r="Y30" s="124">
        <f aca="true" t="shared" si="5" ref="Y30:Y37">IF(X30=0,"",IF(SUM($X$28:$X$29)&gt;0,RANK(Z30,$Z$30:$Z$37)+1,RANK(Z30,$Z$30:$Z$37)))</f>
        <v>6</v>
      </c>
      <c r="Z30" s="48">
        <f aca="true" t="shared" si="6" ref="Z30:Z37">IF(SUM($Z$28:$Z$29)-$X$40&gt;=0,0,ROUNDDOWN(X30/$X$39*$X$43,0))</f>
        <v>103346</v>
      </c>
      <c r="AA30" s="48">
        <f aca="true" t="shared" si="7" ref="AA30:AA37">IF($Z$39-Z30=0,Z30+$Z$43,Z30)</f>
        <v>103346</v>
      </c>
      <c r="AB30" s="49">
        <f t="shared" si="2"/>
        <v>-350954</v>
      </c>
      <c r="AC30" s="221" t="str">
        <f t="shared" si="4"/>
        <v>○</v>
      </c>
      <c r="AD30" s="221"/>
      <c r="AE30" s="221">
        <f t="shared" si="3"/>
      </c>
      <c r="AF30" s="244"/>
      <c r="AG30" s="244" t="str">
        <f>AW30</f>
        <v> </v>
      </c>
      <c r="AH30" s="222" t="str">
        <f>IF(OR(Q14=0,Q14=""),"○",$AW$35)</f>
        <v>○</v>
      </c>
      <c r="AI30" s="551"/>
      <c r="AJ30" s="326"/>
      <c r="AK30" s="331" t="s">
        <v>42</v>
      </c>
      <c r="AL30" s="332" t="s">
        <v>532</v>
      </c>
      <c r="AM30" s="333">
        <f>$U$22-SUM($U$12:$U$13)</f>
        <v>1546667</v>
      </c>
      <c r="AN30" s="329" t="str">
        <f>IF(AM30&lt;=5000000,"○","×")</f>
        <v>○</v>
      </c>
      <c r="AO30" s="334" t="s">
        <v>645</v>
      </c>
      <c r="AP30" s="335" t="s">
        <v>685</v>
      </c>
      <c r="AQ30" s="335" t="s">
        <v>685</v>
      </c>
      <c r="AR30" s="336" t="s">
        <v>532</v>
      </c>
      <c r="AS30" s="333">
        <f>$U$22-SUM($U$12:$U$13)</f>
        <v>1546667</v>
      </c>
      <c r="AT30" s="330" t="str">
        <f>IF(AS30&lt;=5000000,"○","×")</f>
        <v>○</v>
      </c>
      <c r="AU30" s="322" t="str">
        <f>IF('基本情報入力（使い方）'!$C$21=1,AL30,IF(OR('基本情報入力（使い方）'!$C$21=2,'基本情報入力（使い方）'!$C$21=3),AO30,AR30))</f>
        <v>判定対象外</v>
      </c>
      <c r="AV30" s="323" t="str">
        <f>IF('基本情報入力（使い方）'!$C$21=1,AM30,IF(OR('基本情報入力（使い方）'!$C$21=2,'基本情報入力（使い方）'!$C$21=3),AP30,AS30))</f>
        <v> </v>
      </c>
      <c r="AW30" s="324" t="str">
        <f>IF('基本情報入力（使い方）'!$C$21=1,AN30,IF(OR('基本情報入力（使い方）'!$C$21=2,'基本情報入力（使い方）'!$C$21=3),AQ30,AT30))</f>
        <v> </v>
      </c>
    </row>
    <row r="31" spans="2:49" ht="30" customHeight="1">
      <c r="B31" s="367"/>
      <c r="C31" s="367"/>
      <c r="D31" s="367"/>
      <c r="E31" s="367"/>
      <c r="F31" s="367"/>
      <c r="G31" s="367"/>
      <c r="H31" s="367"/>
      <c r="I31" s="367"/>
      <c r="J31" s="367"/>
      <c r="K31" s="367"/>
      <c r="L31" s="367"/>
      <c r="M31" s="367"/>
      <c r="N31" s="367"/>
      <c r="O31" s="367"/>
      <c r="P31" s="367"/>
      <c r="Q31" s="367"/>
      <c r="R31" s="367"/>
      <c r="S31" s="367"/>
      <c r="T31" s="367"/>
      <c r="U31" s="367"/>
      <c r="V31" s="325"/>
      <c r="W31" s="282" t="s">
        <v>26</v>
      </c>
      <c r="X31" s="47">
        <f t="shared" si="1"/>
        <v>3584666</v>
      </c>
      <c r="Y31" s="124">
        <f t="shared" si="5"/>
        <v>2</v>
      </c>
      <c r="Z31" s="48">
        <f t="shared" si="6"/>
        <v>815460</v>
      </c>
      <c r="AA31" s="48">
        <f t="shared" si="7"/>
        <v>815464</v>
      </c>
      <c r="AB31" s="49">
        <f t="shared" si="2"/>
        <v>-2769202</v>
      </c>
      <c r="AC31" s="221" t="str">
        <f t="shared" si="4"/>
        <v>○</v>
      </c>
      <c r="AD31" s="248"/>
      <c r="AE31" s="221">
        <f t="shared" si="3"/>
      </c>
      <c r="AF31" s="244"/>
      <c r="AG31" s="244" t="str">
        <f>AW30</f>
        <v> </v>
      </c>
      <c r="AH31" s="222"/>
      <c r="AI31" s="551"/>
      <c r="AJ31" s="326"/>
      <c r="AK31" s="337" t="s">
        <v>28</v>
      </c>
      <c r="AL31" s="338" t="s">
        <v>645</v>
      </c>
      <c r="AM31" s="335" t="s">
        <v>685</v>
      </c>
      <c r="AN31" s="335" t="s">
        <v>685</v>
      </c>
      <c r="AO31" s="336" t="s">
        <v>672</v>
      </c>
      <c r="AP31" s="333">
        <f>$Q$16</f>
        <v>500000</v>
      </c>
      <c r="AQ31" s="329" t="str">
        <f>IF('基本情報入力（使い方）'!C21=2,IF($Q$22/2-$Q$16&gt;=0,"○","×"),IF(AP31=0,"○","×"))</f>
        <v>○</v>
      </c>
      <c r="AR31" s="334" t="s">
        <v>645</v>
      </c>
      <c r="AS31" s="335" t="s">
        <v>685</v>
      </c>
      <c r="AT31" s="339" t="s">
        <v>685</v>
      </c>
      <c r="AU31" s="322" t="str">
        <f>IF('基本情報入力（使い方）'!$C$21=1,AL31,IF(OR('基本情報入力（使い方）'!$C$21=2,'基本情報入力（使い方）'!$C$21=3),AO31,AR31))</f>
        <v>外注加工費は補助対象経費の1/2を超えていないか※１</v>
      </c>
      <c r="AV31" s="323">
        <f>IF('基本情報入力（使い方）'!$C$21=1,AM31,IF(OR('基本情報入力（使い方）'!$C$21=2,'基本情報入力（使い方）'!$C$21=3),AP31,AS31))</f>
        <v>500000</v>
      </c>
      <c r="AW31" s="324" t="str">
        <f>IF('基本情報入力（使い方）'!$C$21=1,AN31,IF(OR('基本情報入力（使い方）'!$C$21=2,'基本情報入力（使い方）'!$C$21=3),AQ31,AT31))</f>
        <v>○</v>
      </c>
    </row>
    <row r="32" spans="2:49" ht="30" customHeight="1">
      <c r="B32" s="367"/>
      <c r="C32" s="367"/>
      <c r="D32" s="367"/>
      <c r="E32" s="367"/>
      <c r="F32" s="367"/>
      <c r="G32" s="367"/>
      <c r="H32" s="367"/>
      <c r="I32" s="367"/>
      <c r="J32" s="367"/>
      <c r="K32" s="367"/>
      <c r="L32" s="367"/>
      <c r="M32" s="367"/>
      <c r="N32" s="367"/>
      <c r="O32" s="367"/>
      <c r="P32" s="367"/>
      <c r="Q32" s="367"/>
      <c r="R32" s="367"/>
      <c r="S32" s="367"/>
      <c r="T32" s="367"/>
      <c r="U32" s="367"/>
      <c r="V32" s="325"/>
      <c r="W32" s="282" t="s">
        <v>663</v>
      </c>
      <c r="X32" s="47">
        <f t="shared" si="1"/>
        <v>333333</v>
      </c>
      <c r="Y32" s="124">
        <f t="shared" si="5"/>
        <v>8</v>
      </c>
      <c r="Z32" s="48">
        <f t="shared" si="6"/>
        <v>75828</v>
      </c>
      <c r="AA32" s="48">
        <f t="shared" si="7"/>
        <v>75828</v>
      </c>
      <c r="AB32" s="49">
        <f t="shared" si="2"/>
        <v>-257505</v>
      </c>
      <c r="AC32" s="221" t="str">
        <f t="shared" si="4"/>
        <v>○</v>
      </c>
      <c r="AD32" s="249" t="str">
        <f>IF(OR(AV31=0,AV31=""),"○",AW33)</f>
        <v>○</v>
      </c>
      <c r="AE32" s="221">
        <f t="shared" si="3"/>
      </c>
      <c r="AF32" s="244"/>
      <c r="AG32" s="244" t="str">
        <f>AW30</f>
        <v> </v>
      </c>
      <c r="AH32" s="222" t="str">
        <f>IF(OR(Q16=0,Q16=""),"○",$AW$35)</f>
        <v>○</v>
      </c>
      <c r="AI32" s="551"/>
      <c r="AJ32" s="326"/>
      <c r="AK32" s="337" t="s">
        <v>644</v>
      </c>
      <c r="AL32" s="338" t="s">
        <v>645</v>
      </c>
      <c r="AM32" s="335" t="s">
        <v>685</v>
      </c>
      <c r="AN32" s="335" t="s">
        <v>685</v>
      </c>
      <c r="AO32" s="336" t="s">
        <v>673</v>
      </c>
      <c r="AP32" s="333">
        <f>$Q$17</f>
        <v>1080000</v>
      </c>
      <c r="AQ32" s="329" t="str">
        <f>IF('基本情報入力（使い方）'!C21=2,IF($Q$22/2-$Q$17&gt;=0,"○","×"),IF(AP32=0,"○","×"))</f>
        <v>○</v>
      </c>
      <c r="AR32" s="334" t="s">
        <v>645</v>
      </c>
      <c r="AS32" s="335" t="s">
        <v>685</v>
      </c>
      <c r="AT32" s="339" t="s">
        <v>685</v>
      </c>
      <c r="AU32" s="340" t="str">
        <f>IF('基本情報入力（使い方）'!$C$21=1,AL32,IF(OR('基本情報入力（使い方）'!$C$21=2,'基本情報入力（使い方）'!$C$21=3),AO32,AR32))</f>
        <v>委託費は補助対象経費の1/2を超えていないか※１</v>
      </c>
      <c r="AV32" s="323">
        <f>IF('基本情報入力（使い方）'!$C$21=1,AM32,IF(OR('基本情報入力（使い方）'!$C$21=2,'基本情報入力（使い方）'!$C$21=3),AP32,AS32))</f>
        <v>1080000</v>
      </c>
      <c r="AW32" s="324" t="str">
        <f>IF('基本情報入力（使い方）'!$C$21=1,AN32,IF(OR('基本情報入力（使い方）'!$C$21=2,'基本情報入力（使い方）'!$C$21=3),AQ32,AT32))</f>
        <v>○</v>
      </c>
    </row>
    <row r="33" spans="2:49" ht="30" customHeight="1">
      <c r="B33" s="367"/>
      <c r="C33" s="367"/>
      <c r="D33" s="367"/>
      <c r="E33" s="367"/>
      <c r="F33" s="367"/>
      <c r="G33" s="367"/>
      <c r="H33" s="367"/>
      <c r="I33" s="367"/>
      <c r="J33" s="367"/>
      <c r="K33" s="367"/>
      <c r="L33" s="367"/>
      <c r="M33" s="367"/>
      <c r="N33" s="367"/>
      <c r="O33" s="367"/>
      <c r="P33" s="367"/>
      <c r="Q33" s="367"/>
      <c r="R33" s="367"/>
      <c r="S33" s="367"/>
      <c r="T33" s="367"/>
      <c r="U33" s="367"/>
      <c r="V33" s="325"/>
      <c r="W33" s="282" t="s">
        <v>664</v>
      </c>
      <c r="X33" s="47">
        <f t="shared" si="1"/>
        <v>720000</v>
      </c>
      <c r="Y33" s="124">
        <f t="shared" si="5"/>
        <v>3</v>
      </c>
      <c r="Z33" s="48">
        <f t="shared" si="6"/>
        <v>163789</v>
      </c>
      <c r="AA33" s="48">
        <f t="shared" si="7"/>
        <v>163789</v>
      </c>
      <c r="AB33" s="49">
        <f t="shared" si="2"/>
        <v>-556211</v>
      </c>
      <c r="AC33" s="221" t="str">
        <f t="shared" si="4"/>
        <v>○</v>
      </c>
      <c r="AD33" s="249" t="str">
        <f>IF(OR(AV32=0,AV32=""),"○",AW33)</f>
        <v>○</v>
      </c>
      <c r="AE33" s="221">
        <f t="shared" si="3"/>
      </c>
      <c r="AF33" s="244"/>
      <c r="AG33" s="244" t="str">
        <f>AW30</f>
        <v> </v>
      </c>
      <c r="AH33" s="222" t="str">
        <f>IF(OR(Q17=0,Q17=""),"○",$AW$35)</f>
        <v>○</v>
      </c>
      <c r="AI33" s="551"/>
      <c r="AJ33" s="326"/>
      <c r="AK33" s="337" t="s">
        <v>43</v>
      </c>
      <c r="AL33" s="338" t="s">
        <v>645</v>
      </c>
      <c r="AM33" s="335" t="s">
        <v>685</v>
      </c>
      <c r="AN33" s="335" t="s">
        <v>685</v>
      </c>
      <c r="AO33" s="336" t="s">
        <v>674</v>
      </c>
      <c r="AP33" s="333">
        <f>$Q$16+$Q$17</f>
        <v>1580000</v>
      </c>
      <c r="AQ33" s="329" t="str">
        <f>IF('基本情報入力（使い方）'!C21=2,IF($Q$22/2-($Q$16+$Q$17)&gt;=0,"○","×"),IF(AP33=0,"○","×"))</f>
        <v>○</v>
      </c>
      <c r="AR33" s="334" t="s">
        <v>645</v>
      </c>
      <c r="AS33" s="335" t="s">
        <v>685</v>
      </c>
      <c r="AT33" s="339" t="s">
        <v>685</v>
      </c>
      <c r="AU33" s="340" t="str">
        <f>IF('基本情報入力（使い方）'!$C$21=1,AL33,IF(OR('基本情報入力（使い方）'!$C$21=2,'基本情報入力（使い方）'!$C$21=3),AO33,AR33))</f>
        <v>上記の合計額が補助対象経費の1/2を超えていないか。※１</v>
      </c>
      <c r="AV33" s="323">
        <f>IF('基本情報入力（使い方）'!$C$21=1,AM33,IF(OR('基本情報入力（使い方）'!$C$21=2,'基本情報入力（使い方）'!$C$21=3),AP33,AS33))</f>
        <v>1580000</v>
      </c>
      <c r="AW33" s="324" t="str">
        <f>IF('基本情報入力（使い方）'!$C$21=1,AN33,IF(OR('基本情報入力（使い方）'!$C$21=2,'基本情報入力（使い方）'!$C$21=3),AQ33,AT33))</f>
        <v>○</v>
      </c>
    </row>
    <row r="34" spans="2:49" ht="30" customHeight="1">
      <c r="B34" s="367"/>
      <c r="C34" s="367"/>
      <c r="D34" s="367"/>
      <c r="E34" s="367"/>
      <c r="F34" s="367"/>
      <c r="G34" s="367"/>
      <c r="H34" s="367"/>
      <c r="I34" s="367"/>
      <c r="J34" s="367"/>
      <c r="K34" s="367"/>
      <c r="L34" s="367"/>
      <c r="M34" s="367"/>
      <c r="N34" s="367"/>
      <c r="O34" s="367"/>
      <c r="P34" s="367"/>
      <c r="Q34" s="367"/>
      <c r="R34" s="367"/>
      <c r="S34" s="367"/>
      <c r="T34" s="367"/>
      <c r="U34" s="367"/>
      <c r="V34" s="341"/>
      <c r="W34" s="282" t="s">
        <v>665</v>
      </c>
      <c r="X34" s="47">
        <f t="shared" si="1"/>
        <v>366666</v>
      </c>
      <c r="Y34" s="124">
        <f t="shared" si="5"/>
        <v>7</v>
      </c>
      <c r="Z34" s="48">
        <f t="shared" si="6"/>
        <v>83411</v>
      </c>
      <c r="AA34" s="48">
        <f t="shared" si="7"/>
        <v>83411</v>
      </c>
      <c r="AB34" s="49">
        <f t="shared" si="2"/>
        <v>-283255</v>
      </c>
      <c r="AC34" s="221" t="str">
        <f t="shared" si="4"/>
        <v>○</v>
      </c>
      <c r="AD34" s="249" t="str">
        <f>AW34</f>
        <v>○</v>
      </c>
      <c r="AE34" s="221">
        <f t="shared" si="3"/>
      </c>
      <c r="AF34" s="244"/>
      <c r="AG34" s="244" t="str">
        <f>AW30</f>
        <v> </v>
      </c>
      <c r="AH34" s="222" t="str">
        <f>IF(OR(Q18=0,Q18=""),"○",$AW$35)</f>
        <v>○</v>
      </c>
      <c r="AI34" s="551"/>
      <c r="AJ34" s="326"/>
      <c r="AK34" s="337" t="s">
        <v>671</v>
      </c>
      <c r="AL34" s="338" t="s">
        <v>645</v>
      </c>
      <c r="AM34" s="335" t="s">
        <v>685</v>
      </c>
      <c r="AN34" s="335" t="s">
        <v>685</v>
      </c>
      <c r="AO34" s="336" t="s">
        <v>675</v>
      </c>
      <c r="AP34" s="333">
        <f>$Q$18</f>
        <v>550000</v>
      </c>
      <c r="AQ34" s="329" t="str">
        <f>IF($Q$22/3-$Q$18&gt;=0,"○","×")</f>
        <v>○</v>
      </c>
      <c r="AR34" s="334" t="s">
        <v>645</v>
      </c>
      <c r="AS34" s="335" t="s">
        <v>685</v>
      </c>
      <c r="AT34" s="339" t="s">
        <v>685</v>
      </c>
      <c r="AU34" s="340" t="str">
        <f>IF('基本情報入力（使い方）'!$C$21=1,AL34,IF(OR('基本情報入力（使い方）'!$C$21=2,'基本情報入力（使い方）'!$C$21=3),AO34,AR34))</f>
        <v>知的財産権関連経費が補助対象経費の1/3を超えていないか</v>
      </c>
      <c r="AV34" s="323">
        <f>IF('基本情報入力（使い方）'!$C$21=1,AM34,IF(OR('基本情報入力（使い方）'!$C$21=2,'基本情報入力（使い方）'!$C$21=3),AP34,AS34))</f>
        <v>550000</v>
      </c>
      <c r="AW34" s="324" t="str">
        <f>IF('基本情報入力（使い方）'!$C$21=1,AN34,IF(OR('基本情報入力（使い方）'!$C$21=2,'基本情報入力（使い方）'!$C$21=3),AQ34,AT34))</f>
        <v>○</v>
      </c>
    </row>
    <row r="35" spans="2:49" ht="30" customHeight="1">
      <c r="B35" s="367"/>
      <c r="C35" s="367"/>
      <c r="D35" s="367"/>
      <c r="E35" s="367"/>
      <c r="F35" s="367"/>
      <c r="G35" s="367"/>
      <c r="H35" s="367"/>
      <c r="I35" s="367"/>
      <c r="J35" s="367"/>
      <c r="K35" s="367"/>
      <c r="L35" s="367"/>
      <c r="M35" s="367"/>
      <c r="N35" s="367"/>
      <c r="O35" s="367"/>
      <c r="P35" s="367"/>
      <c r="Q35" s="367"/>
      <c r="R35" s="367"/>
      <c r="S35" s="367"/>
      <c r="T35" s="367"/>
      <c r="U35" s="367"/>
      <c r="V35" s="325"/>
      <c r="W35" s="282" t="s">
        <v>29</v>
      </c>
      <c r="X35" s="47">
        <f t="shared" si="1"/>
        <v>590000</v>
      </c>
      <c r="Y35" s="124">
        <f t="shared" si="5"/>
        <v>5</v>
      </c>
      <c r="Z35" s="48">
        <f t="shared" si="6"/>
        <v>134216</v>
      </c>
      <c r="AA35" s="48">
        <f t="shared" si="7"/>
        <v>134216</v>
      </c>
      <c r="AB35" s="49">
        <f t="shared" si="2"/>
        <v>-455784</v>
      </c>
      <c r="AC35" s="221" t="str">
        <f t="shared" si="4"/>
        <v>○</v>
      </c>
      <c r="AD35" s="221"/>
      <c r="AE35" s="221">
        <f t="shared" si="3"/>
      </c>
      <c r="AF35" s="244"/>
      <c r="AG35" s="244" t="str">
        <f>AW30</f>
        <v> </v>
      </c>
      <c r="AH35" s="222"/>
      <c r="AI35" s="551"/>
      <c r="AJ35" s="326"/>
      <c r="AK35" s="337" t="s">
        <v>670</v>
      </c>
      <c r="AL35" s="332" t="s">
        <v>676</v>
      </c>
      <c r="AM35" s="333">
        <f>SUM(Q14,Q16,Q17,Q18,Q21)</f>
        <v>3036450</v>
      </c>
      <c r="AN35" s="329" t="str">
        <f>IF(AM35=0,"○","×")</f>
        <v>×</v>
      </c>
      <c r="AO35" s="336" t="s">
        <v>679</v>
      </c>
      <c r="AP35" s="333">
        <f>SUM(Q14,Q16,Q17,Q18,Q21)</f>
        <v>3036450</v>
      </c>
      <c r="AQ35" s="329" t="str">
        <f>IF('基本情報入力（使い方）'!C21=2,"○",IF(AP35=0,"○","×"))</f>
        <v>○</v>
      </c>
      <c r="AR35" s="336" t="s">
        <v>676</v>
      </c>
      <c r="AS35" s="333">
        <f>SUM(Q14,Q16,Q17,Q18,Q21)</f>
        <v>3036450</v>
      </c>
      <c r="AT35" s="342" t="str">
        <f>IF(AS35=0,"○","×")</f>
        <v>×</v>
      </c>
      <c r="AU35" s="340" t="str">
        <f>IF('基本情報入力（使い方）'!$C$21=1,AL35,IF(OR('基本情報入力（使い方）'!$C$21=2,'基本情報入力（使い方）'!$C$21=3),AO35,AR35))</f>
        <v>事業対象外の経費を使用していないか※２</v>
      </c>
      <c r="AV35" s="323">
        <f>IF('基本情報入力（使い方）'!$C$21=1,AM35,IF(OR('基本情報入力（使い方）'!$C$21=2,'基本情報入力（使い方）'!$C$21=3),AP35,AS35))</f>
        <v>3036450</v>
      </c>
      <c r="AW35" s="324" t="str">
        <f>IF('基本情報入力（使い方）'!$C$21=1,AN35,IF(OR('基本情報入力（使い方）'!$C$21=2,'基本情報入力（使い方）'!$C$21=3),AQ35,AT35))</f>
        <v>○</v>
      </c>
    </row>
    <row r="36" spans="2:49" ht="30" customHeight="1">
      <c r="B36" s="367"/>
      <c r="C36" s="367"/>
      <c r="D36" s="367"/>
      <c r="E36" s="367"/>
      <c r="F36" s="367"/>
      <c r="G36" s="367"/>
      <c r="H36" s="367"/>
      <c r="I36" s="367"/>
      <c r="J36" s="367"/>
      <c r="K36" s="367"/>
      <c r="L36" s="367"/>
      <c r="M36" s="367"/>
      <c r="N36" s="367"/>
      <c r="O36" s="367"/>
      <c r="P36" s="367"/>
      <c r="Q36" s="367"/>
      <c r="R36" s="367"/>
      <c r="S36" s="367"/>
      <c r="T36" s="367"/>
      <c r="U36" s="367"/>
      <c r="V36" s="325"/>
      <c r="W36" s="282" t="s">
        <v>556</v>
      </c>
      <c r="X36" s="47">
        <f t="shared" si="1"/>
        <v>600000</v>
      </c>
      <c r="Y36" s="124">
        <f t="shared" si="5"/>
        <v>4</v>
      </c>
      <c r="Z36" s="48">
        <f t="shared" si="6"/>
        <v>136491</v>
      </c>
      <c r="AA36" s="48">
        <f t="shared" si="7"/>
        <v>136491</v>
      </c>
      <c r="AB36" s="51">
        <f t="shared" si="2"/>
        <v>-463509</v>
      </c>
      <c r="AC36" s="221" t="str">
        <f t="shared" si="4"/>
        <v>○</v>
      </c>
      <c r="AD36" s="221"/>
      <c r="AE36" s="221">
        <f t="shared" si="3"/>
      </c>
      <c r="AF36" s="244"/>
      <c r="AG36" s="244" t="str">
        <f>AW30</f>
        <v> </v>
      </c>
      <c r="AH36" s="222"/>
      <c r="AI36" s="551"/>
      <c r="AJ36" s="326"/>
      <c r="AK36" s="259"/>
      <c r="AL36" s="259"/>
      <c r="AM36" s="259"/>
      <c r="AN36" s="259"/>
      <c r="AO36" s="259" t="s">
        <v>678</v>
      </c>
      <c r="AP36" s="259"/>
      <c r="AQ36" s="259"/>
      <c r="AR36" s="259"/>
      <c r="AS36" s="259"/>
      <c r="AT36" s="259"/>
      <c r="AU36" s="259"/>
      <c r="AV36" s="259"/>
      <c r="AW36" s="259"/>
    </row>
    <row r="37" spans="2:49" ht="30" customHeight="1" thickBot="1">
      <c r="B37" s="367"/>
      <c r="C37" s="367"/>
      <c r="D37" s="367"/>
      <c r="E37" s="367"/>
      <c r="F37" s="367"/>
      <c r="G37" s="367"/>
      <c r="H37" s="367"/>
      <c r="I37" s="367"/>
      <c r="J37" s="367"/>
      <c r="K37" s="367"/>
      <c r="L37" s="367"/>
      <c r="M37" s="367"/>
      <c r="N37" s="367"/>
      <c r="O37" s="367"/>
      <c r="P37" s="367"/>
      <c r="Q37" s="367"/>
      <c r="R37" s="367"/>
      <c r="S37" s="367"/>
      <c r="T37" s="367"/>
      <c r="U37" s="367"/>
      <c r="V37" s="325"/>
      <c r="W37" s="292" t="s">
        <v>666</v>
      </c>
      <c r="X37" s="52">
        <f t="shared" si="1"/>
        <v>150000</v>
      </c>
      <c r="Y37" s="212">
        <f t="shared" si="5"/>
        <v>9</v>
      </c>
      <c r="Z37" s="53">
        <f t="shared" si="6"/>
        <v>34122</v>
      </c>
      <c r="AA37" s="53">
        <f t="shared" si="7"/>
        <v>34122</v>
      </c>
      <c r="AB37" s="125">
        <f t="shared" si="2"/>
        <v>-115878</v>
      </c>
      <c r="AC37" s="223" t="str">
        <f t="shared" si="4"/>
        <v>○</v>
      </c>
      <c r="AD37" s="223"/>
      <c r="AE37" s="223">
        <f t="shared" si="3"/>
      </c>
      <c r="AF37" s="245"/>
      <c r="AG37" s="245" t="str">
        <f>AW30</f>
        <v> </v>
      </c>
      <c r="AH37" s="224" t="str">
        <f>IF(OR(Q21=0,Q21=""),"○",$AW$35)</f>
        <v>○</v>
      </c>
      <c r="AI37" s="552"/>
      <c r="AJ37" s="326"/>
      <c r="AK37" s="259"/>
      <c r="AL37" s="259"/>
      <c r="AM37" s="259"/>
      <c r="AN37" s="259"/>
      <c r="AO37" s="259" t="s">
        <v>680</v>
      </c>
      <c r="AP37" s="259"/>
      <c r="AQ37" s="259"/>
      <c r="AR37" s="259"/>
      <c r="AS37" s="259"/>
      <c r="AT37" s="259"/>
      <c r="AU37" s="259"/>
      <c r="AV37" s="259"/>
      <c r="AW37" s="259"/>
    </row>
    <row r="38" spans="2:49" ht="30" customHeight="1" thickTop="1">
      <c r="B38" s="367"/>
      <c r="C38" s="367"/>
      <c r="D38" s="367"/>
      <c r="E38" s="367"/>
      <c r="F38" s="367"/>
      <c r="G38" s="367"/>
      <c r="H38" s="367"/>
      <c r="I38" s="367"/>
      <c r="J38" s="367"/>
      <c r="K38" s="367"/>
      <c r="L38" s="367"/>
      <c r="M38" s="367"/>
      <c r="N38" s="367"/>
      <c r="O38" s="367"/>
      <c r="P38" s="367"/>
      <c r="Q38" s="367"/>
      <c r="R38" s="367"/>
      <c r="S38" s="367"/>
      <c r="T38" s="367"/>
      <c r="U38" s="367"/>
      <c r="V38" s="298"/>
      <c r="W38" s="343" t="s">
        <v>25</v>
      </c>
      <c r="X38" s="50">
        <f>SUM(X28:X37)</f>
        <v>10252298</v>
      </c>
      <c r="Y38" s="344"/>
      <c r="Z38" s="54">
        <f>SUM(Z28:Z37)</f>
        <v>4999996</v>
      </c>
      <c r="AA38" s="50">
        <f>SUM(AA28:AA37)</f>
        <v>5000000</v>
      </c>
      <c r="AB38" s="345"/>
      <c r="AC38" s="346" t="s">
        <v>540</v>
      </c>
      <c r="AD38" s="225"/>
      <c r="AE38" s="226"/>
      <c r="AF38" s="226"/>
      <c r="AG38" s="227"/>
      <c r="AI38" s="267"/>
      <c r="AJ38" s="267"/>
      <c r="AK38" s="259"/>
      <c r="AL38" s="259"/>
      <c r="AM38" s="259"/>
      <c r="AN38" s="259"/>
      <c r="AO38" s="259"/>
      <c r="AP38" s="259"/>
      <c r="AQ38" s="259"/>
      <c r="AR38" s="259"/>
      <c r="AS38" s="259"/>
      <c r="AT38" s="259"/>
      <c r="AU38" s="259"/>
      <c r="AV38" s="259"/>
      <c r="AW38" s="259"/>
    </row>
    <row r="39" spans="2:50" ht="30" customHeight="1">
      <c r="B39" s="367"/>
      <c r="C39" s="367"/>
      <c r="D39" s="367"/>
      <c r="E39" s="367"/>
      <c r="F39" s="367"/>
      <c r="G39" s="367"/>
      <c r="H39" s="367"/>
      <c r="I39" s="367"/>
      <c r="J39" s="367"/>
      <c r="K39" s="367"/>
      <c r="L39" s="367"/>
      <c r="M39" s="367"/>
      <c r="N39" s="367"/>
      <c r="O39" s="367"/>
      <c r="P39" s="367"/>
      <c r="Q39" s="367"/>
      <c r="R39" s="367"/>
      <c r="S39" s="367"/>
      <c r="T39" s="367"/>
      <c r="U39" s="367"/>
      <c r="V39" s="347"/>
      <c r="W39" s="348" t="s">
        <v>542</v>
      </c>
      <c r="X39" s="349">
        <f>X38-SUM(X28:X29)</f>
        <v>6798965</v>
      </c>
      <c r="Y39" s="348" t="s">
        <v>543</v>
      </c>
      <c r="Z39" s="134">
        <f>IF(ISERROR(VLOOKUP(2,$Y$28:$Z$37,2,FALSE)),0,VLOOKUP(2,$Y$28:$Z$37,2,FALSE))</f>
        <v>815460</v>
      </c>
      <c r="AA39" s="350" t="s">
        <v>698</v>
      </c>
      <c r="AB39" s="266"/>
      <c r="AC39" s="351" t="s">
        <v>699</v>
      </c>
      <c r="AE39" s="256"/>
      <c r="AH39" s="303"/>
      <c r="AL39" s="259"/>
      <c r="AM39" s="259"/>
      <c r="AN39" s="259"/>
      <c r="AO39" s="259"/>
      <c r="AP39" s="259"/>
      <c r="AQ39" s="259"/>
      <c r="AR39" s="259"/>
      <c r="AS39" s="259"/>
      <c r="AT39" s="259"/>
      <c r="AU39" s="259"/>
      <c r="AV39" s="259"/>
      <c r="AW39" s="259"/>
      <c r="AX39" s="259"/>
    </row>
    <row r="40" spans="2:50" ht="30" customHeight="1">
      <c r="B40" s="367"/>
      <c r="C40" s="367"/>
      <c r="D40" s="367"/>
      <c r="E40" s="367"/>
      <c r="F40" s="367"/>
      <c r="G40" s="367"/>
      <c r="H40" s="367"/>
      <c r="I40" s="367"/>
      <c r="J40" s="367"/>
      <c r="K40" s="367"/>
      <c r="L40" s="367"/>
      <c r="M40" s="367"/>
      <c r="N40" s="367"/>
      <c r="O40" s="367"/>
      <c r="P40" s="367"/>
      <c r="Q40" s="367"/>
      <c r="R40" s="367"/>
      <c r="S40" s="367"/>
      <c r="T40" s="367"/>
      <c r="U40" s="367"/>
      <c r="V40" s="347"/>
      <c r="W40" s="348" t="s">
        <v>544</v>
      </c>
      <c r="X40" s="349">
        <f>MIN(X38,補助上限額)</f>
        <v>5000000</v>
      </c>
      <c r="Y40" s="348" t="s">
        <v>545</v>
      </c>
      <c r="Z40" s="134">
        <f>SUMIF(Y28:Y37,2,Z28:Z37)</f>
        <v>815460</v>
      </c>
      <c r="AA40" s="350" t="s">
        <v>546</v>
      </c>
      <c r="AB40" s="266"/>
      <c r="AD40" s="256"/>
      <c r="AE40" s="256"/>
      <c r="AL40" s="259"/>
      <c r="AM40" s="259"/>
      <c r="AN40" s="259"/>
      <c r="AO40" s="259"/>
      <c r="AP40" s="259"/>
      <c r="AQ40" s="259"/>
      <c r="AR40" s="259"/>
      <c r="AS40" s="259"/>
      <c r="AT40" s="259"/>
      <c r="AU40" s="259"/>
      <c r="AV40" s="259"/>
      <c r="AW40" s="259"/>
      <c r="AX40" s="259"/>
    </row>
    <row r="41" spans="22:49" ht="30" customHeight="1">
      <c r="V41" s="347"/>
      <c r="W41" s="348" t="s">
        <v>568</v>
      </c>
      <c r="X41" s="349">
        <f>MAX(X40-SUM(X28:X29),0)</f>
        <v>1546667</v>
      </c>
      <c r="Y41" s="348" t="s">
        <v>628</v>
      </c>
      <c r="Z41" s="57">
        <f>MIN(X42-(Z38-SUM(Z28:Z29)),X40-Z38)</f>
        <v>4</v>
      </c>
      <c r="AA41" s="353"/>
      <c r="AB41" s="266"/>
      <c r="AD41" s="256"/>
      <c r="AE41" s="256"/>
      <c r="AJ41" s="259"/>
      <c r="AK41" s="259"/>
      <c r="AL41" s="259"/>
      <c r="AM41" s="259"/>
      <c r="AN41" s="259"/>
      <c r="AO41" s="259"/>
      <c r="AP41" s="259"/>
      <c r="AQ41" s="259"/>
      <c r="AR41" s="259"/>
      <c r="AS41" s="259"/>
      <c r="AT41" s="259"/>
      <c r="AU41" s="259"/>
      <c r="AV41" s="259"/>
      <c r="AW41" s="259"/>
    </row>
    <row r="42" spans="22:41" ht="30" customHeight="1">
      <c r="V42" s="347"/>
      <c r="W42" s="348" t="s">
        <v>569</v>
      </c>
      <c r="X42" s="349">
        <f>IF(VLOOKUP('基本情報入力（使い方）'!C21,'設定'!E:H,2)&lt;&gt;"小規模型",5000000,X40)</f>
        <v>5000000</v>
      </c>
      <c r="Y42" s="348" t="s">
        <v>629</v>
      </c>
      <c r="Z42" s="58">
        <f>IF(Z39=0,0,Z40/Z39)</f>
        <v>1</v>
      </c>
      <c r="AA42" s="354"/>
      <c r="AB42" s="355"/>
      <c r="AD42" s="256"/>
      <c r="AE42" s="256"/>
      <c r="AJ42" s="259"/>
      <c r="AK42" s="259"/>
      <c r="AL42" s="259"/>
      <c r="AM42" s="259"/>
      <c r="AN42" s="259"/>
      <c r="AO42" s="259"/>
    </row>
    <row r="43" spans="2:49" ht="30" customHeight="1">
      <c r="B43" s="367"/>
      <c r="C43" s="367"/>
      <c r="D43" s="367"/>
      <c r="E43" s="367"/>
      <c r="F43" s="367"/>
      <c r="G43" s="367"/>
      <c r="H43" s="367"/>
      <c r="I43" s="367"/>
      <c r="J43" s="367"/>
      <c r="K43" s="367"/>
      <c r="L43" s="367"/>
      <c r="M43" s="367"/>
      <c r="N43" s="367"/>
      <c r="O43" s="367"/>
      <c r="P43" s="367"/>
      <c r="Q43" s="367"/>
      <c r="R43" s="367"/>
      <c r="S43" s="367"/>
      <c r="T43" s="367"/>
      <c r="U43" s="367"/>
      <c r="V43" s="356"/>
      <c r="W43" s="357" t="s">
        <v>547</v>
      </c>
      <c r="X43" s="349">
        <f>IF(SUM(X28:X29)=0,X42,MIN(X40,X41,X42))</f>
        <v>1546667</v>
      </c>
      <c r="Y43" s="358" t="s">
        <v>38</v>
      </c>
      <c r="Z43" s="57">
        <f>IF(Z42=0,0,ROUNDDOWN(Z41/Z42,0))</f>
        <v>4</v>
      </c>
      <c r="AA43" s="354"/>
      <c r="AB43" s="355"/>
      <c r="AD43" s="256"/>
      <c r="AE43" s="256"/>
      <c r="AP43" s="267"/>
      <c r="AQ43" s="267"/>
      <c r="AR43" s="267"/>
      <c r="AS43" s="267"/>
      <c r="AT43" s="267"/>
      <c r="AU43" s="267"/>
      <c r="AV43" s="267"/>
      <c r="AW43" s="267"/>
    </row>
    <row r="44" spans="2:48" ht="30" customHeight="1">
      <c r="B44" s="367"/>
      <c r="C44" s="367"/>
      <c r="D44" s="367"/>
      <c r="E44" s="367"/>
      <c r="F44" s="367"/>
      <c r="G44" s="367"/>
      <c r="H44" s="367"/>
      <c r="I44" s="367"/>
      <c r="J44" s="367"/>
      <c r="K44" s="367"/>
      <c r="L44" s="367"/>
      <c r="M44" s="367"/>
      <c r="N44" s="367"/>
      <c r="O44" s="367"/>
      <c r="P44" s="367"/>
      <c r="Q44" s="367"/>
      <c r="R44" s="367"/>
      <c r="S44" s="367"/>
      <c r="T44" s="367"/>
      <c r="U44" s="367"/>
      <c r="W44" s="297" t="s">
        <v>667</v>
      </c>
      <c r="AD44" s="256"/>
      <c r="AE44" s="256"/>
      <c r="AJ44" s="267"/>
      <c r="AK44" s="267"/>
      <c r="AL44" s="267"/>
      <c r="AM44" s="267"/>
      <c r="AN44" s="267"/>
      <c r="AO44" s="267"/>
      <c r="AP44" s="267"/>
      <c r="AQ44" s="267"/>
      <c r="AR44" s="267"/>
      <c r="AS44" s="267"/>
      <c r="AT44" s="267"/>
      <c r="AU44" s="267"/>
      <c r="AV44" s="267"/>
    </row>
    <row r="45" spans="2:31" ht="30" customHeight="1">
      <c r="B45" s="367"/>
      <c r="C45" s="367"/>
      <c r="D45" s="367"/>
      <c r="E45" s="367"/>
      <c r="F45" s="367"/>
      <c r="G45" s="367"/>
      <c r="H45" s="367"/>
      <c r="I45" s="367"/>
      <c r="J45" s="367"/>
      <c r="K45" s="367"/>
      <c r="L45" s="367"/>
      <c r="M45" s="367"/>
      <c r="N45" s="367"/>
      <c r="O45" s="367"/>
      <c r="P45" s="367"/>
      <c r="Q45" s="367"/>
      <c r="R45" s="367"/>
      <c r="S45" s="367"/>
      <c r="T45" s="367"/>
      <c r="U45" s="367"/>
      <c r="W45" s="247"/>
      <c r="AD45" s="256"/>
      <c r="AE45" s="256"/>
    </row>
    <row r="46" spans="2:31" ht="30" customHeight="1">
      <c r="B46" s="367"/>
      <c r="C46" s="367"/>
      <c r="D46" s="367"/>
      <c r="E46" s="367"/>
      <c r="F46" s="367"/>
      <c r="G46" s="367"/>
      <c r="H46" s="367"/>
      <c r="I46" s="367"/>
      <c r="J46" s="367"/>
      <c r="K46" s="367"/>
      <c r="L46" s="367"/>
      <c r="M46" s="367"/>
      <c r="N46" s="367"/>
      <c r="O46" s="367"/>
      <c r="P46" s="367"/>
      <c r="Q46" s="367"/>
      <c r="R46" s="367"/>
      <c r="S46" s="367"/>
      <c r="T46" s="367"/>
      <c r="U46" s="367"/>
      <c r="W46" s="390" t="s">
        <v>722</v>
      </c>
      <c r="X46" s="390"/>
      <c r="Y46" s="390"/>
      <c r="Z46" s="390"/>
      <c r="AD46" s="487"/>
      <c r="AE46" s="256"/>
    </row>
    <row r="47" spans="2:31" ht="30" customHeight="1">
      <c r="B47" s="367"/>
      <c r="C47" s="367"/>
      <c r="D47" s="367"/>
      <c r="E47" s="367"/>
      <c r="F47" s="367"/>
      <c r="G47" s="367"/>
      <c r="H47" s="367"/>
      <c r="I47" s="367"/>
      <c r="J47" s="367"/>
      <c r="K47" s="367"/>
      <c r="L47" s="367"/>
      <c r="M47" s="367"/>
      <c r="N47" s="367"/>
      <c r="O47" s="367"/>
      <c r="P47" s="367"/>
      <c r="Q47" s="367"/>
      <c r="R47" s="367"/>
      <c r="S47" s="367"/>
      <c r="T47" s="367"/>
      <c r="U47" s="367"/>
      <c r="W47" s="462" t="s">
        <v>37</v>
      </c>
      <c r="X47" s="470" t="s">
        <v>723</v>
      </c>
      <c r="Y47" s="470" t="s">
        <v>724</v>
      </c>
      <c r="Z47" s="43"/>
      <c r="AD47" s="487"/>
      <c r="AE47" s="256"/>
    </row>
    <row r="48" spans="23:31" ht="30" customHeight="1">
      <c r="W48" s="462"/>
      <c r="X48" s="470"/>
      <c r="Y48" s="470"/>
      <c r="Z48" s="43"/>
      <c r="AD48" s="487"/>
      <c r="AE48" s="256"/>
    </row>
    <row r="49" spans="23:31" ht="30" customHeight="1">
      <c r="W49" s="462"/>
      <c r="X49" s="470"/>
      <c r="Y49" s="470"/>
      <c r="Z49" s="43"/>
      <c r="AD49" s="487"/>
      <c r="AE49" s="256"/>
    </row>
    <row r="50" spans="23:31" ht="30" customHeight="1">
      <c r="W50" s="391" t="str">
        <f>IF(ABS(X50)-ABS(Y50)&lt;=0,"○","変更")</f>
        <v>○</v>
      </c>
      <c r="X50" s="392">
        <f>K12-U12</f>
        <v>13333</v>
      </c>
      <c r="Y50" s="393">
        <f>ROUNDDOWN(K12*0.2,0)</f>
        <v>266666</v>
      </c>
      <c r="Z50" s="394" t="s">
        <v>558</v>
      </c>
      <c r="AD50" s="487"/>
      <c r="AE50" s="251"/>
    </row>
    <row r="51" spans="23:31" ht="30" customHeight="1">
      <c r="W51" s="391" t="str">
        <f aca="true" t="shared" si="8" ref="W51:W59">IF(ABS(X51)-ABS(Y51)&lt;=0,"○","変更")</f>
        <v>○</v>
      </c>
      <c r="X51" s="392">
        <f aca="true" t="shared" si="9" ref="X51:X59">K13-U13</f>
        <v>-5</v>
      </c>
      <c r="Y51" s="393">
        <f aca="true" t="shared" si="10" ref="Y51:Y59">ROUNDDOWN(K13*0.2,0)</f>
        <v>426665</v>
      </c>
      <c r="Z51" s="395" t="s">
        <v>725</v>
      </c>
      <c r="AD51" s="487"/>
      <c r="AE51" s="251"/>
    </row>
    <row r="52" spans="23:57" ht="31.5" customHeight="1">
      <c r="W52" s="391" t="str">
        <f t="shared" si="8"/>
        <v>変更</v>
      </c>
      <c r="X52" s="392">
        <f t="shared" si="9"/>
        <v>-25997</v>
      </c>
      <c r="Y52" s="393">
        <f t="shared" si="10"/>
        <v>15469</v>
      </c>
      <c r="Z52" s="395" t="s">
        <v>726</v>
      </c>
      <c r="AD52" s="370"/>
      <c r="AE52" s="251"/>
      <c r="BA52" s="251"/>
      <c r="BB52" s="251"/>
      <c r="BC52" s="251"/>
      <c r="BD52" s="251"/>
      <c r="BE52" s="251"/>
    </row>
    <row r="53" spans="23:35" ht="38.25" customHeight="1">
      <c r="W53" s="391" t="str">
        <f t="shared" si="8"/>
        <v>○</v>
      </c>
      <c r="X53" s="392">
        <f t="shared" si="9"/>
        <v>-1974</v>
      </c>
      <c r="Y53" s="393">
        <f t="shared" si="10"/>
        <v>162698</v>
      </c>
      <c r="Z53" s="395" t="s">
        <v>692</v>
      </c>
      <c r="AD53" s="487"/>
      <c r="AE53" s="251"/>
      <c r="AF53" s="251"/>
      <c r="AG53" s="251"/>
      <c r="AH53" s="251"/>
      <c r="AI53" s="251"/>
    </row>
    <row r="54" spans="23:35" ht="38.25" customHeight="1">
      <c r="W54" s="391" t="str">
        <f t="shared" si="8"/>
        <v>○</v>
      </c>
      <c r="X54" s="392">
        <f t="shared" si="9"/>
        <v>-506</v>
      </c>
      <c r="Y54" s="393">
        <f t="shared" si="10"/>
        <v>15064</v>
      </c>
      <c r="Z54" s="395" t="s">
        <v>727</v>
      </c>
      <c r="AD54" s="487"/>
      <c r="AE54" s="251"/>
      <c r="AF54" s="251"/>
      <c r="AG54" s="251"/>
      <c r="AH54" s="251"/>
      <c r="AI54" s="251"/>
    </row>
    <row r="55" spans="23:35" ht="38.25" customHeight="1">
      <c r="W55" s="391" t="str">
        <f t="shared" si="8"/>
        <v>○</v>
      </c>
      <c r="X55" s="392">
        <f t="shared" si="9"/>
        <v>-1092</v>
      </c>
      <c r="Y55" s="393">
        <f t="shared" si="10"/>
        <v>32539</v>
      </c>
      <c r="Z55" s="395" t="s">
        <v>644</v>
      </c>
      <c r="AD55" s="487"/>
      <c r="AE55" s="251"/>
      <c r="AF55" s="251"/>
      <c r="AG55" s="251"/>
      <c r="AH55" s="251"/>
      <c r="AI55" s="251"/>
    </row>
    <row r="56" spans="23:35" ht="30" customHeight="1">
      <c r="W56" s="391" t="str">
        <f t="shared" si="8"/>
        <v>○</v>
      </c>
      <c r="X56" s="392">
        <f t="shared" si="9"/>
        <v>-557</v>
      </c>
      <c r="Y56" s="393">
        <f t="shared" si="10"/>
        <v>16570</v>
      </c>
      <c r="Z56" s="395" t="s">
        <v>671</v>
      </c>
      <c r="AD56" s="487"/>
      <c r="AE56" s="251"/>
      <c r="AF56" s="251"/>
      <c r="AG56" s="251"/>
      <c r="AH56" s="251"/>
      <c r="AI56" s="251"/>
    </row>
    <row r="57" spans="23:35" ht="30" customHeight="1">
      <c r="W57" s="391" t="str">
        <f t="shared" si="8"/>
        <v>○</v>
      </c>
      <c r="X57" s="392">
        <f t="shared" si="9"/>
        <v>-895</v>
      </c>
      <c r="Y57" s="393">
        <f t="shared" si="10"/>
        <v>26664</v>
      </c>
      <c r="Z57" s="395" t="s">
        <v>693</v>
      </c>
      <c r="AD57" s="487"/>
      <c r="AE57" s="559"/>
      <c r="AF57" s="559"/>
      <c r="AG57" s="559"/>
      <c r="AH57" s="254"/>
      <c r="AI57" s="254"/>
    </row>
    <row r="58" spans="23:35" ht="30" customHeight="1">
      <c r="W58" s="391" t="str">
        <f t="shared" si="8"/>
        <v>○</v>
      </c>
      <c r="X58" s="392">
        <f t="shared" si="9"/>
        <v>14154</v>
      </c>
      <c r="Y58" s="393">
        <f t="shared" si="10"/>
        <v>30129</v>
      </c>
      <c r="Z58" s="395" t="s">
        <v>694</v>
      </c>
      <c r="AD58" s="487"/>
      <c r="AE58" s="559"/>
      <c r="AF58" s="559"/>
      <c r="AG58" s="559"/>
      <c r="AH58" s="254"/>
      <c r="AI58" s="254"/>
    </row>
    <row r="59" spans="23:31" ht="30" customHeight="1">
      <c r="W59" s="391" t="str">
        <f t="shared" si="8"/>
        <v>○</v>
      </c>
      <c r="X59" s="392">
        <f t="shared" si="9"/>
        <v>3539</v>
      </c>
      <c r="Y59" s="393">
        <f t="shared" si="10"/>
        <v>7532</v>
      </c>
      <c r="Z59" s="396" t="s">
        <v>728</v>
      </c>
      <c r="AD59" s="256"/>
      <c r="AE59" s="256"/>
    </row>
    <row r="60" spans="23:62" ht="30" customHeight="1">
      <c r="W60" s="397" t="str">
        <f>IF(S22-I22&lt;=0,"○","×")</f>
        <v>○</v>
      </c>
      <c r="X60" s="398" t="s">
        <v>729</v>
      </c>
      <c r="Y60" s="399"/>
      <c r="Z60" s="400"/>
      <c r="AD60" s="256"/>
      <c r="AE60" s="256"/>
      <c r="AX60" s="360"/>
      <c r="AY60" s="360"/>
      <c r="AZ60" s="232"/>
      <c r="BA60" s="232"/>
      <c r="BB60" s="232"/>
      <c r="BC60" s="232"/>
      <c r="BD60" s="232"/>
      <c r="BE60" s="232"/>
      <c r="BF60" s="232"/>
      <c r="BG60" s="232"/>
      <c r="BH60" s="232"/>
      <c r="BI60" s="232"/>
      <c r="BJ60" s="232"/>
    </row>
    <row r="61" spans="23:62" ht="30" customHeight="1">
      <c r="W61" s="406" t="str">
        <f>IF(U22-K22&lt;=0,"○","×")</f>
        <v>○</v>
      </c>
      <c r="X61" s="407" t="s">
        <v>730</v>
      </c>
      <c r="Y61" s="401"/>
      <c r="Z61" s="401"/>
      <c r="AD61" s="256"/>
      <c r="AE61" s="256"/>
      <c r="AX61" s="361"/>
      <c r="AY61" s="231"/>
      <c r="AZ61" s="231"/>
      <c r="BA61" s="232"/>
      <c r="BB61" s="231"/>
      <c r="BC61" s="232"/>
      <c r="BD61" s="231"/>
      <c r="BE61" s="232"/>
      <c r="BF61" s="231"/>
      <c r="BG61" s="232"/>
      <c r="BH61" s="231"/>
      <c r="BI61" s="231"/>
      <c r="BJ61" s="231"/>
    </row>
    <row r="62" spans="30:62" ht="30" customHeight="1">
      <c r="AD62" s="256"/>
      <c r="AE62" s="256"/>
      <c r="AX62" s="361"/>
      <c r="AY62" s="231"/>
      <c r="AZ62" s="231"/>
      <c r="BA62" s="232"/>
      <c r="BB62" s="231"/>
      <c r="BC62" s="232"/>
      <c r="BD62" s="231"/>
      <c r="BE62" s="232"/>
      <c r="BF62" s="231"/>
      <c r="BG62" s="232"/>
      <c r="BH62" s="231"/>
      <c r="BI62" s="231"/>
      <c r="BJ62" s="231"/>
    </row>
    <row r="63" spans="30:62" ht="30" customHeight="1">
      <c r="AD63" s="256"/>
      <c r="AE63" s="256"/>
      <c r="AX63" s="361"/>
      <c r="AY63" s="231"/>
      <c r="AZ63" s="231"/>
      <c r="BA63" s="232"/>
      <c r="BB63" s="231"/>
      <c r="BC63" s="232"/>
      <c r="BD63" s="231"/>
      <c r="BE63" s="232"/>
      <c r="BF63" s="231"/>
      <c r="BG63" s="232"/>
      <c r="BH63" s="231"/>
      <c r="BI63" s="231"/>
      <c r="BJ63" s="231"/>
    </row>
    <row r="64" spans="30:62" ht="30" customHeight="1">
      <c r="AD64" s="256"/>
      <c r="AE64" s="256"/>
      <c r="AX64" s="361"/>
      <c r="AY64" s="232"/>
      <c r="AZ64" s="231"/>
      <c r="BA64" s="232"/>
      <c r="BB64" s="231"/>
      <c r="BC64" s="232"/>
      <c r="BD64" s="231"/>
      <c r="BE64" s="232"/>
      <c r="BF64" s="231"/>
      <c r="BG64" s="232"/>
      <c r="BH64" s="231"/>
      <c r="BI64" s="231"/>
      <c r="BJ64" s="231"/>
    </row>
    <row r="65" spans="30:62" ht="30" customHeight="1">
      <c r="AD65" s="256"/>
      <c r="AE65" s="256"/>
      <c r="AX65" s="291"/>
      <c r="AY65" s="291"/>
      <c r="AZ65" s="291"/>
      <c r="BA65" s="291"/>
      <c r="BB65" s="291"/>
      <c r="BC65" s="291"/>
      <c r="BD65" s="291"/>
      <c r="BE65" s="291"/>
      <c r="BF65" s="291"/>
      <c r="BG65" s="291"/>
      <c r="BH65" s="291"/>
      <c r="BI65" s="291"/>
      <c r="BJ65" s="291"/>
    </row>
    <row r="66" spans="30:62" ht="26.25" customHeight="1">
      <c r="AD66" s="256"/>
      <c r="AE66" s="256"/>
      <c r="AX66" s="360"/>
      <c r="AY66" s="232"/>
      <c r="AZ66" s="360"/>
      <c r="BA66" s="232"/>
      <c r="BB66" s="360"/>
      <c r="BC66" s="232"/>
      <c r="BD66" s="360"/>
      <c r="BE66" s="232"/>
      <c r="BF66" s="360"/>
      <c r="BG66" s="232"/>
      <c r="BH66" s="360"/>
      <c r="BI66" s="360"/>
      <c r="BJ66" s="360"/>
    </row>
    <row r="67" spans="30:55" ht="13.5">
      <c r="AD67" s="256"/>
      <c r="AE67" s="256"/>
      <c r="AX67" s="251"/>
      <c r="AY67" s="251"/>
      <c r="AZ67" s="251"/>
      <c r="BA67" s="251"/>
      <c r="BB67" s="251"/>
      <c r="BC67" s="251"/>
    </row>
    <row r="68" spans="30:31" ht="11.25">
      <c r="AD68" s="256"/>
      <c r="AE68" s="256"/>
    </row>
    <row r="69" spans="30:31" ht="11.25">
      <c r="AD69" s="256"/>
      <c r="AE69" s="256"/>
    </row>
    <row r="70" spans="30:31" ht="11.25">
      <c r="AD70" s="256"/>
      <c r="AE70" s="256"/>
    </row>
    <row r="71" spans="30:62" ht="13.5">
      <c r="AD71" s="256"/>
      <c r="AE71" s="256"/>
      <c r="AX71" s="251"/>
      <c r="AY71" s="251"/>
      <c r="AZ71" s="251"/>
      <c r="BA71" s="251"/>
      <c r="BB71" s="251"/>
      <c r="BC71" s="251"/>
      <c r="BD71" s="251"/>
      <c r="BE71" s="251"/>
      <c r="BF71" s="251"/>
      <c r="BG71" s="251"/>
      <c r="BH71" s="267"/>
      <c r="BI71" s="267"/>
      <c r="BJ71" s="267"/>
    </row>
    <row r="72" spans="30:62" ht="13.5">
      <c r="AD72" s="256"/>
      <c r="AE72" s="256"/>
      <c r="AX72" s="251"/>
      <c r="AY72" s="251"/>
      <c r="AZ72" s="251"/>
      <c r="BA72" s="251"/>
      <c r="BB72" s="251"/>
      <c r="BC72" s="251"/>
      <c r="BD72" s="251"/>
      <c r="BE72" s="251"/>
      <c r="BF72" s="251"/>
      <c r="BG72" s="251"/>
      <c r="BH72" s="267"/>
      <c r="BI72" s="267"/>
      <c r="BJ72" s="267"/>
    </row>
    <row r="73" spans="28:62" ht="13.5">
      <c r="AB73" s="267"/>
      <c r="AC73" s="267"/>
      <c r="AD73" s="256"/>
      <c r="AE73" s="256"/>
      <c r="AX73" s="251"/>
      <c r="AY73" s="251"/>
      <c r="AZ73" s="251"/>
      <c r="BA73" s="251"/>
      <c r="BB73" s="251"/>
      <c r="BC73" s="251"/>
      <c r="BD73" s="251"/>
      <c r="BE73" s="251"/>
      <c r="BF73" s="251"/>
      <c r="BG73" s="251"/>
      <c r="BH73" s="267"/>
      <c r="BI73" s="267"/>
      <c r="BJ73" s="267"/>
    </row>
    <row r="74" spans="22:59" ht="24">
      <c r="V74" s="298"/>
      <c r="W74" s="262"/>
      <c r="X74" s="362"/>
      <c r="Y74" s="362"/>
      <c r="Z74" s="362"/>
      <c r="AA74" s="230"/>
      <c r="AD74" s="256"/>
      <c r="AE74" s="256"/>
      <c r="AX74" s="251"/>
      <c r="AY74" s="251"/>
      <c r="AZ74" s="251"/>
      <c r="BA74" s="251"/>
      <c r="BB74" s="251"/>
      <c r="BC74" s="251"/>
      <c r="BD74" s="251"/>
      <c r="BE74" s="251"/>
      <c r="BF74" s="251"/>
      <c r="BG74" s="251"/>
    </row>
    <row r="75" spans="30:57" ht="13.5">
      <c r="AD75" s="256"/>
      <c r="AE75" s="256"/>
      <c r="AX75" s="251"/>
      <c r="AY75" s="251"/>
      <c r="AZ75" s="251"/>
      <c r="BA75" s="251"/>
      <c r="BB75" s="251"/>
      <c r="BC75" s="251"/>
      <c r="BD75" s="251"/>
      <c r="BE75" s="251"/>
    </row>
    <row r="76" spans="30:57" ht="13.5">
      <c r="AD76" s="256"/>
      <c r="AE76" s="256"/>
      <c r="AX76" s="251"/>
      <c r="AY76" s="251"/>
      <c r="AZ76" s="251"/>
      <c r="BA76" s="251"/>
      <c r="BB76" s="251"/>
      <c r="BC76" s="251"/>
      <c r="BD76" s="251"/>
      <c r="BE76" s="251"/>
    </row>
    <row r="77" spans="30:57" ht="13.5">
      <c r="AD77" s="256"/>
      <c r="AE77" s="256"/>
      <c r="AX77" s="251"/>
      <c r="AY77" s="251"/>
      <c r="AZ77" s="251"/>
      <c r="BA77" s="251"/>
      <c r="BB77" s="251"/>
      <c r="BC77" s="251"/>
      <c r="BD77" s="251"/>
      <c r="BE77" s="251"/>
    </row>
    <row r="78" spans="30:57" ht="13.5">
      <c r="AD78" s="256"/>
      <c r="AE78" s="256"/>
      <c r="AW78" s="360"/>
      <c r="AX78" s="251"/>
      <c r="AY78" s="251"/>
      <c r="AZ78" s="251"/>
      <c r="BA78" s="251"/>
      <c r="BB78" s="251"/>
      <c r="BC78" s="251"/>
      <c r="BD78" s="251"/>
      <c r="BE78" s="251"/>
    </row>
    <row r="79" spans="30:57" ht="13.5">
      <c r="AD79" s="256"/>
      <c r="AE79" s="256"/>
      <c r="AR79" s="360"/>
      <c r="AS79" s="360"/>
      <c r="AT79" s="360"/>
      <c r="AU79" s="360"/>
      <c r="AV79" s="360"/>
      <c r="AW79" s="232"/>
      <c r="AX79" s="251"/>
      <c r="AY79" s="251"/>
      <c r="AZ79" s="251"/>
      <c r="BA79" s="251"/>
      <c r="BB79" s="251"/>
      <c r="BC79" s="251"/>
      <c r="BD79" s="251"/>
      <c r="BE79" s="251"/>
    </row>
    <row r="80" spans="30:58" ht="13.5">
      <c r="AD80" s="363"/>
      <c r="AE80" s="251"/>
      <c r="AF80" s="251"/>
      <c r="AR80" s="231"/>
      <c r="AS80" s="231"/>
      <c r="AT80" s="231"/>
      <c r="AU80" s="231"/>
      <c r="AV80" s="231"/>
      <c r="AW80" s="232"/>
      <c r="AX80" s="251"/>
      <c r="AY80" s="251"/>
      <c r="AZ80" s="251"/>
      <c r="BA80" s="251"/>
      <c r="BB80" s="251"/>
      <c r="BC80" s="251"/>
      <c r="BD80" s="251"/>
      <c r="BE80" s="251"/>
      <c r="BF80" s="251"/>
    </row>
    <row r="81" spans="30:58" ht="13.5">
      <c r="AD81" s="364"/>
      <c r="AE81" s="251"/>
      <c r="AF81" s="251"/>
      <c r="AG81" s="365"/>
      <c r="AH81" s="251"/>
      <c r="AI81" s="251"/>
      <c r="AR81" s="231"/>
      <c r="AS81" s="231"/>
      <c r="AT81" s="231"/>
      <c r="AU81" s="231"/>
      <c r="AV81" s="231"/>
      <c r="AW81" s="232"/>
      <c r="AX81" s="251"/>
      <c r="AY81" s="251"/>
      <c r="AZ81" s="251"/>
      <c r="BA81" s="251"/>
      <c r="BB81" s="251"/>
      <c r="BC81" s="251"/>
      <c r="BD81" s="251"/>
      <c r="BE81" s="251"/>
      <c r="BF81" s="251"/>
    </row>
    <row r="82" spans="30:58" ht="13.5">
      <c r="AD82" s="363"/>
      <c r="AE82" s="251"/>
      <c r="AF82" s="251"/>
      <c r="AG82" s="233"/>
      <c r="AH82" s="251"/>
      <c r="AI82" s="251"/>
      <c r="AR82" s="231"/>
      <c r="AS82" s="231"/>
      <c r="AT82" s="231"/>
      <c r="AU82" s="231"/>
      <c r="AV82" s="231"/>
      <c r="AW82" s="232"/>
      <c r="AX82" s="251"/>
      <c r="AY82" s="251"/>
      <c r="AZ82" s="251"/>
      <c r="BA82" s="251"/>
      <c r="BB82" s="251"/>
      <c r="BC82" s="251"/>
      <c r="BD82" s="251"/>
      <c r="BE82" s="251"/>
      <c r="BF82" s="251"/>
    </row>
    <row r="83" spans="30:58" ht="13.5">
      <c r="AD83" s="256"/>
      <c r="AE83" s="251"/>
      <c r="AF83" s="251"/>
      <c r="AG83" s="233"/>
      <c r="AH83" s="251"/>
      <c r="AI83" s="251"/>
      <c r="AR83" s="231"/>
      <c r="AS83" s="231"/>
      <c r="AT83" s="231"/>
      <c r="AU83" s="231"/>
      <c r="AV83" s="231"/>
      <c r="AW83" s="291"/>
      <c r="AX83" s="251"/>
      <c r="AY83" s="251"/>
      <c r="AZ83" s="251"/>
      <c r="BA83" s="251"/>
      <c r="BB83" s="251"/>
      <c r="BC83" s="251"/>
      <c r="BD83" s="251"/>
      <c r="BE83" s="251"/>
      <c r="BF83" s="251"/>
    </row>
    <row r="84" spans="32:61" ht="17.25">
      <c r="AF84" s="326"/>
      <c r="AH84" s="251"/>
      <c r="AI84" s="251"/>
      <c r="AR84" s="291"/>
      <c r="AS84" s="291"/>
      <c r="AT84" s="291"/>
      <c r="AU84" s="291"/>
      <c r="AV84" s="291"/>
      <c r="AW84" s="232"/>
      <c r="AX84" s="251"/>
      <c r="AY84" s="251"/>
      <c r="AZ84" s="251"/>
      <c r="BA84" s="251"/>
      <c r="BB84" s="251"/>
      <c r="BC84" s="251"/>
      <c r="BD84" s="251"/>
      <c r="BE84" s="251"/>
      <c r="BF84" s="251"/>
      <c r="BG84" s="251"/>
      <c r="BH84" s="251"/>
      <c r="BI84" s="251"/>
    </row>
    <row r="85" spans="32:61" ht="17.25">
      <c r="AF85" s="326"/>
      <c r="AH85" s="251"/>
      <c r="AI85" s="251"/>
      <c r="AR85" s="232"/>
      <c r="AS85" s="232"/>
      <c r="AT85" s="360"/>
      <c r="AU85" s="232"/>
      <c r="AV85" s="232"/>
      <c r="AW85" s="251"/>
      <c r="AX85" s="251"/>
      <c r="AY85" s="251"/>
      <c r="AZ85" s="251"/>
      <c r="BA85" s="251"/>
      <c r="BB85" s="251"/>
      <c r="BC85" s="251"/>
      <c r="BD85" s="251"/>
      <c r="BE85" s="251"/>
      <c r="BF85" s="251"/>
      <c r="BG85" s="251"/>
      <c r="BH85" s="251"/>
      <c r="BI85" s="251"/>
    </row>
    <row r="86" spans="32:61" ht="17.25">
      <c r="AF86" s="326"/>
      <c r="AR86" s="251"/>
      <c r="AS86" s="251"/>
      <c r="AT86" s="251"/>
      <c r="AU86" s="251"/>
      <c r="AV86" s="251"/>
      <c r="AX86" s="251"/>
      <c r="AY86" s="251"/>
      <c r="AZ86" s="251"/>
      <c r="BA86" s="251"/>
      <c r="BB86" s="251"/>
      <c r="BC86" s="251"/>
      <c r="BD86" s="251"/>
      <c r="BE86" s="251"/>
      <c r="BF86" s="251"/>
      <c r="BG86" s="251"/>
      <c r="BH86" s="251"/>
      <c r="BI86" s="251"/>
    </row>
    <row r="87" spans="32:64" ht="17.25">
      <c r="AF87" s="326"/>
      <c r="AX87" s="251"/>
      <c r="AY87" s="251"/>
      <c r="AZ87" s="251"/>
      <c r="BA87" s="251"/>
      <c r="BB87" s="251"/>
      <c r="BC87" s="251"/>
      <c r="BD87" s="251"/>
      <c r="BE87" s="251"/>
      <c r="BF87" s="251"/>
      <c r="BG87" s="251"/>
      <c r="BH87" s="251"/>
      <c r="BI87" s="251"/>
      <c r="BJ87" s="251"/>
      <c r="BK87" s="251"/>
      <c r="BL87" s="251"/>
    </row>
    <row r="88" spans="32:60" ht="17.25">
      <c r="AF88" s="326"/>
      <c r="AX88" s="251"/>
      <c r="AY88" s="251"/>
      <c r="AZ88" s="251"/>
      <c r="BA88" s="251"/>
      <c r="BB88" s="251"/>
      <c r="BC88" s="251"/>
      <c r="BD88" s="251"/>
      <c r="BE88" s="251"/>
      <c r="BF88" s="251"/>
      <c r="BG88" s="251"/>
      <c r="BH88" s="251"/>
    </row>
    <row r="89" spans="32:53" ht="17.25">
      <c r="AF89" s="326"/>
      <c r="AH89" s="251"/>
      <c r="AI89" s="251"/>
      <c r="AW89" s="251"/>
      <c r="AX89" s="251"/>
      <c r="AY89" s="251"/>
      <c r="AZ89" s="251"/>
      <c r="BA89" s="251"/>
    </row>
    <row r="90" spans="32:49" ht="13.5">
      <c r="AF90" s="251"/>
      <c r="AG90" s="251"/>
      <c r="AR90" s="251"/>
      <c r="AS90" s="251"/>
      <c r="AT90" s="251"/>
      <c r="AU90" s="251"/>
      <c r="AV90" s="251"/>
      <c r="AW90" s="251"/>
    </row>
    <row r="91" spans="32:49" ht="13.5">
      <c r="AF91" s="352"/>
      <c r="AG91" s="352"/>
      <c r="AR91" s="251"/>
      <c r="AS91" s="251"/>
      <c r="AT91" s="251"/>
      <c r="AU91" s="251"/>
      <c r="AV91" s="251"/>
      <c r="AW91" s="251"/>
    </row>
    <row r="92" spans="44:55" ht="13.5">
      <c r="AR92" s="251"/>
      <c r="AS92" s="251"/>
      <c r="AT92" s="251"/>
      <c r="AU92" s="251"/>
      <c r="AV92" s="251"/>
      <c r="AW92" s="251"/>
      <c r="AX92" s="251"/>
      <c r="AY92" s="251"/>
      <c r="AZ92" s="251"/>
      <c r="BA92" s="251"/>
      <c r="BB92" s="251"/>
      <c r="BC92" s="251"/>
    </row>
    <row r="93" spans="32:49" ht="13.5">
      <c r="AF93" s="251"/>
      <c r="AG93" s="251"/>
      <c r="AH93" s="251"/>
      <c r="AI93" s="251"/>
      <c r="AR93" s="251"/>
      <c r="AS93" s="251"/>
      <c r="AT93" s="251"/>
      <c r="AU93" s="251"/>
      <c r="AV93" s="251"/>
      <c r="AW93" s="251"/>
    </row>
    <row r="94" spans="32:49" ht="13.5">
      <c r="AF94" s="251"/>
      <c r="AG94" s="251"/>
      <c r="AH94" s="251"/>
      <c r="AI94" s="251"/>
      <c r="AR94" s="251"/>
      <c r="AS94" s="251"/>
      <c r="AT94" s="251"/>
      <c r="AU94" s="251"/>
      <c r="AV94" s="251"/>
      <c r="AW94" s="251"/>
    </row>
    <row r="95" spans="32:49" ht="13.5">
      <c r="AF95" s="251"/>
      <c r="AG95" s="251"/>
      <c r="AH95" s="251"/>
      <c r="AI95" s="251"/>
      <c r="AR95" s="251"/>
      <c r="AS95" s="251"/>
      <c r="AT95" s="251"/>
      <c r="AU95" s="251"/>
      <c r="AV95" s="251"/>
      <c r="AW95" s="251"/>
    </row>
    <row r="96" spans="32:49" ht="13.5">
      <c r="AF96" s="251"/>
      <c r="AG96" s="251"/>
      <c r="AH96" s="251"/>
      <c r="AI96" s="251"/>
      <c r="AR96" s="251"/>
      <c r="AS96" s="251"/>
      <c r="AT96" s="251"/>
      <c r="AU96" s="251"/>
      <c r="AV96" s="251"/>
      <c r="AW96" s="251"/>
    </row>
    <row r="97" spans="32:49" ht="13.5">
      <c r="AF97" s="251"/>
      <c r="AG97" s="251"/>
      <c r="AH97" s="251"/>
      <c r="AI97" s="251"/>
      <c r="AR97" s="251"/>
      <c r="AS97" s="251"/>
      <c r="AT97" s="251"/>
      <c r="AU97" s="251"/>
      <c r="AV97" s="251"/>
      <c r="AW97" s="251"/>
    </row>
    <row r="98" spans="32:49" ht="13.5">
      <c r="AF98" s="251"/>
      <c r="AG98" s="251"/>
      <c r="AH98" s="251"/>
      <c r="AI98" s="251"/>
      <c r="AR98" s="251"/>
      <c r="AS98" s="251"/>
      <c r="AT98" s="251"/>
      <c r="AU98" s="251"/>
      <c r="AV98" s="251"/>
      <c r="AW98" s="251"/>
    </row>
    <row r="99" spans="32:49" ht="13.5">
      <c r="AF99" s="251"/>
      <c r="AG99" s="251"/>
      <c r="AH99" s="251"/>
      <c r="AI99" s="251"/>
      <c r="AJ99" s="251"/>
      <c r="AK99" s="251"/>
      <c r="AL99" s="251"/>
      <c r="AM99" s="251"/>
      <c r="AN99" s="251"/>
      <c r="AO99" s="251"/>
      <c r="AP99" s="251"/>
      <c r="AQ99" s="251"/>
      <c r="AR99" s="251"/>
      <c r="AS99" s="251"/>
      <c r="AT99" s="251"/>
      <c r="AU99" s="251"/>
      <c r="AV99" s="251"/>
      <c r="AW99" s="251"/>
    </row>
    <row r="100" spans="36:49" ht="13.5">
      <c r="AJ100" s="251"/>
      <c r="AK100" s="251"/>
      <c r="AL100" s="251"/>
      <c r="AM100" s="251"/>
      <c r="AN100" s="251"/>
      <c r="AO100" s="251"/>
      <c r="AP100" s="251"/>
      <c r="AQ100" s="251"/>
      <c r="AR100" s="251"/>
      <c r="AS100" s="251"/>
      <c r="AT100" s="251"/>
      <c r="AU100" s="251"/>
      <c r="AV100" s="251"/>
      <c r="AW100" s="251"/>
    </row>
    <row r="101" spans="36:49" ht="13.5">
      <c r="AJ101" s="251"/>
      <c r="AK101" s="251"/>
      <c r="AL101" s="251"/>
      <c r="AM101" s="251"/>
      <c r="AN101" s="251"/>
      <c r="AO101" s="251"/>
      <c r="AP101" s="251"/>
      <c r="AQ101" s="251"/>
      <c r="AR101" s="251"/>
      <c r="AS101" s="251"/>
      <c r="AT101" s="251"/>
      <c r="AU101" s="251"/>
      <c r="AV101" s="251"/>
      <c r="AW101" s="251"/>
    </row>
    <row r="102" spans="36:49" ht="13.5">
      <c r="AJ102" s="251"/>
      <c r="AK102" s="251"/>
      <c r="AL102" s="251"/>
      <c r="AM102" s="251"/>
      <c r="AN102" s="251"/>
      <c r="AO102" s="251"/>
      <c r="AP102" s="251"/>
      <c r="AQ102" s="251"/>
      <c r="AR102" s="251"/>
      <c r="AS102" s="251"/>
      <c r="AT102" s="251"/>
      <c r="AU102" s="251"/>
      <c r="AV102" s="251"/>
      <c r="AW102" s="251"/>
    </row>
    <row r="103" spans="36:49" ht="13.5">
      <c r="AJ103" s="251"/>
      <c r="AK103" s="251"/>
      <c r="AL103" s="251"/>
      <c r="AM103" s="251"/>
      <c r="AN103" s="251"/>
      <c r="AO103" s="251"/>
      <c r="AP103" s="251"/>
      <c r="AQ103" s="251"/>
      <c r="AR103" s="251"/>
      <c r="AS103" s="251"/>
      <c r="AT103" s="251"/>
      <c r="AU103" s="251"/>
      <c r="AV103" s="251"/>
      <c r="AW103" s="251"/>
    </row>
    <row r="104" spans="36:49" ht="13.5">
      <c r="AJ104" s="251"/>
      <c r="AK104" s="251"/>
      <c r="AL104" s="251"/>
      <c r="AM104" s="251"/>
      <c r="AN104" s="251"/>
      <c r="AO104" s="251"/>
      <c r="AP104" s="251"/>
      <c r="AQ104" s="251"/>
      <c r="AR104" s="251"/>
      <c r="AS104" s="251"/>
      <c r="AT104" s="251"/>
      <c r="AU104" s="251"/>
      <c r="AV104" s="251"/>
      <c r="AW104" s="251"/>
    </row>
    <row r="105" spans="36:49" ht="13.5">
      <c r="AJ105" s="251"/>
      <c r="AK105" s="251"/>
      <c r="AL105" s="251"/>
      <c r="AM105" s="251"/>
      <c r="AN105" s="251"/>
      <c r="AO105" s="251"/>
      <c r="AP105" s="251"/>
      <c r="AQ105" s="251"/>
      <c r="AR105" s="251"/>
      <c r="AS105" s="251"/>
      <c r="AT105" s="251"/>
      <c r="AU105" s="251"/>
      <c r="AV105" s="251"/>
      <c r="AW105" s="251"/>
    </row>
    <row r="106" spans="36:49" ht="13.5">
      <c r="AJ106" s="251"/>
      <c r="AK106" s="251"/>
      <c r="AL106" s="251"/>
      <c r="AM106" s="251"/>
      <c r="AN106" s="251"/>
      <c r="AO106" s="251"/>
      <c r="AP106" s="251"/>
      <c r="AQ106" s="251"/>
      <c r="AR106" s="251"/>
      <c r="AS106" s="251"/>
      <c r="AT106" s="251"/>
      <c r="AU106" s="251"/>
      <c r="AV106" s="251"/>
      <c r="AW106" s="251"/>
    </row>
    <row r="107" spans="30:49" ht="13.5">
      <c r="AD107" s="256"/>
      <c r="AF107" s="352"/>
      <c r="AJ107" s="251"/>
      <c r="AK107" s="251"/>
      <c r="AL107" s="251"/>
      <c r="AM107" s="251"/>
      <c r="AN107" s="251"/>
      <c r="AO107" s="251"/>
      <c r="AP107" s="251"/>
      <c r="AQ107" s="251"/>
      <c r="AR107" s="251"/>
      <c r="AS107" s="251"/>
      <c r="AT107" s="251"/>
      <c r="AU107" s="251"/>
      <c r="AV107" s="251"/>
      <c r="AW107" s="251"/>
    </row>
    <row r="108" spans="22:48" ht="14.25">
      <c r="V108" s="251"/>
      <c r="W108" s="251"/>
      <c r="X108" s="230"/>
      <c r="Y108" s="230"/>
      <c r="Z108" s="350"/>
      <c r="AA108" s="350"/>
      <c r="AJ108" s="251"/>
      <c r="AK108" s="251"/>
      <c r="AL108" s="251"/>
      <c r="AM108" s="251"/>
      <c r="AN108" s="251"/>
      <c r="AO108" s="251"/>
      <c r="AP108" s="251"/>
      <c r="AQ108" s="251"/>
      <c r="AR108" s="251"/>
      <c r="AS108" s="251"/>
      <c r="AT108" s="251"/>
      <c r="AU108" s="251"/>
      <c r="AV108" s="251"/>
    </row>
    <row r="109" spans="36:48" ht="13.5">
      <c r="AJ109" s="251"/>
      <c r="AK109" s="251"/>
      <c r="AL109" s="251"/>
      <c r="AM109" s="251"/>
      <c r="AN109" s="251"/>
      <c r="AO109" s="251"/>
      <c r="AP109" s="251"/>
      <c r="AQ109" s="251"/>
      <c r="AR109" s="251"/>
      <c r="AS109" s="251"/>
      <c r="AT109" s="251"/>
      <c r="AU109" s="251"/>
      <c r="AV109" s="251"/>
    </row>
    <row r="110" spans="36:49" ht="13.5">
      <c r="AJ110" s="251"/>
      <c r="AK110" s="251"/>
      <c r="AL110" s="251"/>
      <c r="AM110" s="251"/>
      <c r="AN110" s="251"/>
      <c r="AO110" s="251"/>
      <c r="AP110" s="251"/>
      <c r="AQ110" s="251"/>
      <c r="AR110" s="251"/>
      <c r="AS110" s="251"/>
      <c r="AT110" s="251"/>
      <c r="AU110" s="251"/>
      <c r="AV110" s="251"/>
      <c r="AW110" s="251"/>
    </row>
    <row r="111" spans="36:48" ht="13.5">
      <c r="AJ111" s="251"/>
      <c r="AK111" s="251"/>
      <c r="AL111" s="251"/>
      <c r="AM111" s="251"/>
      <c r="AN111" s="251"/>
      <c r="AO111" s="251"/>
      <c r="AP111" s="251"/>
      <c r="AQ111" s="251"/>
      <c r="AR111" s="251"/>
      <c r="AS111" s="251"/>
      <c r="AT111" s="251"/>
      <c r="AU111" s="251"/>
      <c r="AV111" s="251"/>
    </row>
  </sheetData>
  <sheetProtection sheet="1" objects="1" scenarios="1"/>
  <mergeCells count="80">
    <mergeCell ref="D10:G10"/>
    <mergeCell ref="D8:K8"/>
    <mergeCell ref="M9:O9"/>
    <mergeCell ref="B8:C11"/>
    <mergeCell ref="H9:I9"/>
    <mergeCell ref="E9:G9"/>
    <mergeCell ref="L5:O5"/>
    <mergeCell ref="B17:C17"/>
    <mergeCell ref="L10:M10"/>
    <mergeCell ref="B7:C7"/>
    <mergeCell ref="B16:C16"/>
    <mergeCell ref="N10:O10"/>
    <mergeCell ref="B13:C13"/>
    <mergeCell ref="B14:C14"/>
    <mergeCell ref="B12:C12"/>
    <mergeCell ref="J11:K11"/>
    <mergeCell ref="AI28:AI37"/>
    <mergeCell ref="AB25:AB27"/>
    <mergeCell ref="AG26:AG27"/>
    <mergeCell ref="AD26:AD27"/>
    <mergeCell ref="AC25:AC27"/>
    <mergeCell ref="AD57:AD58"/>
    <mergeCell ref="AE57:AG58"/>
    <mergeCell ref="AH26:AH27"/>
    <mergeCell ref="AD55:AD56"/>
    <mergeCell ref="AD46:AD47"/>
    <mergeCell ref="Y7:AA7"/>
    <mergeCell ref="AC6:AC7"/>
    <mergeCell ref="P10:S10"/>
    <mergeCell ref="T10:U10"/>
    <mergeCell ref="Y16:AA16"/>
    <mergeCell ref="Y17:AA17"/>
    <mergeCell ref="R11:S11"/>
    <mergeCell ref="X6:X7"/>
    <mergeCell ref="L8:U8"/>
    <mergeCell ref="D7:U7"/>
    <mergeCell ref="AU25:AW25"/>
    <mergeCell ref="AR25:AT25"/>
    <mergeCell ref="B15:C15"/>
    <mergeCell ref="B19:C19"/>
    <mergeCell ref="B18:C18"/>
    <mergeCell ref="AK25:AK26"/>
    <mergeCell ref="AE26:AE27"/>
    <mergeCell ref="AL25:AN25"/>
    <mergeCell ref="Y20:Z20"/>
    <mergeCell ref="B21:C21"/>
    <mergeCell ref="AC4:AG4"/>
    <mergeCell ref="AO25:AQ25"/>
    <mergeCell ref="AD14:AG14"/>
    <mergeCell ref="AD16:AG17"/>
    <mergeCell ref="AD15:AG15"/>
    <mergeCell ref="AI25:AI27"/>
    <mergeCell ref="AD48:AD49"/>
    <mergeCell ref="AD50:AD51"/>
    <mergeCell ref="AD53:AD54"/>
    <mergeCell ref="AD6:AG7"/>
    <mergeCell ref="AD8:AG9"/>
    <mergeCell ref="AD10:AG11"/>
    <mergeCell ref="AF26:AF27"/>
    <mergeCell ref="AD13:AG13"/>
    <mergeCell ref="Y47:Y49"/>
    <mergeCell ref="Y19:Z19"/>
    <mergeCell ref="L11:M11"/>
    <mergeCell ref="N11:O11"/>
    <mergeCell ref="Y25:Y27"/>
    <mergeCell ref="X47:X49"/>
    <mergeCell ref="P11:Q11"/>
    <mergeCell ref="T11:U11"/>
    <mergeCell ref="Y18:AA18"/>
    <mergeCell ref="Y15:AA15"/>
    <mergeCell ref="B22:C23"/>
    <mergeCell ref="J9:K9"/>
    <mergeCell ref="B20:C20"/>
    <mergeCell ref="W47:W49"/>
    <mergeCell ref="D5:G5"/>
    <mergeCell ref="H10:I10"/>
    <mergeCell ref="J10:K10"/>
    <mergeCell ref="D11:E11"/>
    <mergeCell ref="F11:G11"/>
    <mergeCell ref="H11:I11"/>
  </mergeCells>
  <conditionalFormatting sqref="AC10:AG11">
    <cfRule type="expression" priority="75" dxfId="0" stopIfTrue="1">
      <formula>$AC$11="×"</formula>
    </cfRule>
  </conditionalFormatting>
  <conditionalFormatting sqref="AC14:AD15">
    <cfRule type="expression" priority="70" dxfId="0" stopIfTrue="1">
      <formula>$AC$15="×"</formula>
    </cfRule>
  </conditionalFormatting>
  <conditionalFormatting sqref="AC16:AG17">
    <cfRule type="expression" priority="65" dxfId="0" stopIfTrue="1">
      <formula>$AC$17="×"</formula>
    </cfRule>
  </conditionalFormatting>
  <conditionalFormatting sqref="AC12:AG13">
    <cfRule type="expression" priority="62" dxfId="0" stopIfTrue="1">
      <formula>$AC$13="×"</formula>
    </cfRule>
  </conditionalFormatting>
  <conditionalFormatting sqref="AC9 AC8:AD8">
    <cfRule type="expression" priority="116" dxfId="0" stopIfTrue="1">
      <formula>$AC$9="×"</formula>
    </cfRule>
  </conditionalFormatting>
  <conditionalFormatting sqref="X8:AA9">
    <cfRule type="expression" priority="2" dxfId="0" stopIfTrue="1">
      <formula>$X$9="×"</formula>
    </cfRule>
  </conditionalFormatting>
  <conditionalFormatting sqref="X10:AA11">
    <cfRule type="expression" priority="1" dxfId="0" stopIfTrue="1">
      <formula>$X$11="×"</formula>
    </cfRule>
  </conditionalFormatting>
  <dataValidations count="3">
    <dataValidation type="whole" operator="greaterThanOrEqual" allowBlank="1" showInputMessage="1" showErrorMessage="1" errorTitle="0以上の数字を入力して下さい。" imeMode="halfAlpha" sqref="O12:O21 M12:M21 U12:U21 I12:I21 G12:G21 E12:E21 K12:K21 Q12:Q21 S12:S21">
      <formula1>0</formula1>
    </dataValidation>
    <dataValidation allowBlank="1" showInputMessage="1" showErrorMessage="1" imeMode="hiragana" sqref="D6"/>
    <dataValidation allowBlank="1" showInputMessage="1" showErrorMessage="1" imeMode="halfAlpha" sqref="I22 S22 Q22"/>
  </dataValidations>
  <printOptions/>
  <pageMargins left="0.708661417322835" right="0.31496062992126" top="0.748031496062992" bottom="0.748031496062992" header="0.31496062992126" footer="0.31496062992126"/>
  <pageSetup fitToHeight="1" fitToWidth="1" horizontalDpi="600" verticalDpi="600" orientation="portrait" paperSize="9" scale="30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0">
    <tabColor theme="4" tint="0.39998000860214233"/>
  </sheetPr>
  <dimension ref="A1:I102"/>
  <sheetViews>
    <sheetView zoomScalePageLayoutView="0" workbookViewId="0" topLeftCell="A1">
      <selection activeCell="A1" sqref="A1"/>
    </sheetView>
  </sheetViews>
  <sheetFormatPr defaultColWidth="33.57421875" defaultRowHeight="30.75" customHeight="1"/>
  <cols>
    <col min="1" max="1" width="8.28125" style="37" customWidth="1"/>
    <col min="2" max="2" width="33.57421875" style="34" customWidth="1"/>
    <col min="3" max="3" width="33.57421875" style="34" hidden="1" customWidth="1"/>
    <col min="4" max="4" width="15.28125" style="33" hidden="1" customWidth="1"/>
    <col min="5" max="5" width="33.57421875" style="34" hidden="1" customWidth="1"/>
    <col min="6" max="6" width="33.57421875" style="32" hidden="1" customWidth="1"/>
    <col min="7" max="7" width="33.57421875" style="37" hidden="1" customWidth="1"/>
    <col min="8" max="9" width="0" style="32" hidden="1" customWidth="1"/>
    <col min="10" max="16384" width="33.57421875" style="32" customWidth="1"/>
  </cols>
  <sheetData>
    <row r="1" spans="1:9" ht="30.75" customHeight="1">
      <c r="A1" s="29" t="s">
        <v>49</v>
      </c>
      <c r="B1" s="30" t="s">
        <v>50</v>
      </c>
      <c r="C1" s="30" t="str">
        <f>CONCATENATE(A1,B1)</f>
        <v>中分類　コード内容</v>
      </c>
      <c r="D1" s="29" t="s">
        <v>51</v>
      </c>
      <c r="E1" s="30" t="s">
        <v>50</v>
      </c>
      <c r="F1" s="30" t="str">
        <f>CONCATENATE(D1,E1)</f>
        <v>全中分類コード内容</v>
      </c>
      <c r="G1" s="31" t="s">
        <v>52</v>
      </c>
      <c r="H1" s="29" t="str">
        <f>CONCATENATE(D1,I1)</f>
        <v>全中分類コード小分類</v>
      </c>
      <c r="I1" s="31" t="s">
        <v>53</v>
      </c>
    </row>
    <row r="2" spans="1:9" ht="30.75" customHeight="1">
      <c r="A2" s="33" t="s">
        <v>54</v>
      </c>
      <c r="B2" s="34" t="s">
        <v>55</v>
      </c>
      <c r="C2" s="35" t="str">
        <f>CONCATENATE(A2,B2)</f>
        <v>01　農業</v>
      </c>
      <c r="D2" s="36" t="s">
        <v>56</v>
      </c>
      <c r="E2" s="34" t="s">
        <v>55</v>
      </c>
      <c r="F2" s="34" t="str">
        <f>CONCATENATE(D2,E2)</f>
        <v>010000　農業</v>
      </c>
      <c r="G2" s="37" t="s">
        <v>57</v>
      </c>
      <c r="H2" s="34" t="str">
        <f>CONCATENATE(D2,I2)</f>
        <v>010000管理，補助的経済活動を行う事業所（01農業） </v>
      </c>
      <c r="I2" s="32" t="s">
        <v>58</v>
      </c>
    </row>
    <row r="3" spans="1:9" ht="30.75" customHeight="1">
      <c r="A3" s="37" t="s">
        <v>59</v>
      </c>
      <c r="B3" s="34" t="s">
        <v>60</v>
      </c>
      <c r="C3" s="35" t="str">
        <f aca="true" t="shared" si="0" ref="C3:C66">CONCATENATE(A3,B3)</f>
        <v>02　林業</v>
      </c>
      <c r="D3" s="36" t="s">
        <v>61</v>
      </c>
      <c r="E3" s="34" t="s">
        <v>60</v>
      </c>
      <c r="F3" s="34" t="str">
        <f aca="true" t="shared" si="1" ref="F3:F66">CONCATENATE(D3,E3)</f>
        <v>020000　林業</v>
      </c>
      <c r="G3" s="37" t="s">
        <v>62</v>
      </c>
      <c r="H3" s="34" t="str">
        <f aca="true" t="shared" si="2" ref="H3:H66">CONCATENATE(D3,I3)</f>
        <v>020000管理，補助的経済活動を行う事業所（02林業） </v>
      </c>
      <c r="I3" s="32" t="s">
        <v>63</v>
      </c>
    </row>
    <row r="4" spans="1:9" ht="30.75" customHeight="1">
      <c r="A4" s="37" t="s">
        <v>64</v>
      </c>
      <c r="B4" s="34" t="s">
        <v>65</v>
      </c>
      <c r="C4" s="35" t="str">
        <f t="shared" si="0"/>
        <v>03　漁業（水産養殖業を除く）</v>
      </c>
      <c r="D4" s="36" t="s">
        <v>66</v>
      </c>
      <c r="E4" s="34" t="s">
        <v>65</v>
      </c>
      <c r="F4" s="34" t="str">
        <f t="shared" si="1"/>
        <v>030000　漁業（水産養殖業を除く）</v>
      </c>
      <c r="G4" s="37" t="s">
        <v>67</v>
      </c>
      <c r="H4" s="34" t="str">
        <f t="shared" si="2"/>
        <v>030000管理，補助的経済活動を行う事業所（03漁業） </v>
      </c>
      <c r="I4" s="32" t="s">
        <v>68</v>
      </c>
    </row>
    <row r="5" spans="1:9" ht="30.75" customHeight="1">
      <c r="A5" s="37" t="s">
        <v>69</v>
      </c>
      <c r="B5" s="34" t="s">
        <v>70</v>
      </c>
      <c r="C5" s="35" t="str">
        <f t="shared" si="0"/>
        <v>04　水産養殖業</v>
      </c>
      <c r="D5" s="36" t="s">
        <v>66</v>
      </c>
      <c r="E5" s="34" t="s">
        <v>70</v>
      </c>
      <c r="F5" s="34" t="str">
        <f t="shared" si="1"/>
        <v>030000　水産養殖業</v>
      </c>
      <c r="G5" s="37" t="s">
        <v>71</v>
      </c>
      <c r="H5" s="34" t="str">
        <f t="shared" si="2"/>
        <v>030000管理，補助的経済活動を行う事業所（04水産養殖業） </v>
      </c>
      <c r="I5" s="32" t="s">
        <v>72</v>
      </c>
    </row>
    <row r="6" spans="1:9" ht="30.75" customHeight="1">
      <c r="A6" s="37" t="s">
        <v>73</v>
      </c>
      <c r="B6" s="34" t="s">
        <v>74</v>
      </c>
      <c r="C6" s="35" t="str">
        <f t="shared" si="0"/>
        <v>05　鉱業，採石業，砂利採取業</v>
      </c>
      <c r="D6" s="36" t="s">
        <v>75</v>
      </c>
      <c r="E6" s="34" t="s">
        <v>76</v>
      </c>
      <c r="F6" s="34" t="str">
        <f t="shared" si="1"/>
        <v>040000　鉱業</v>
      </c>
      <c r="G6" s="37" t="s">
        <v>77</v>
      </c>
      <c r="H6" s="34" t="str">
        <f t="shared" si="2"/>
        <v>040000管理，補助的経済活動を行う事業所（05鉱業，採石業，砂利採取業） </v>
      </c>
      <c r="I6" s="32" t="s">
        <v>78</v>
      </c>
    </row>
    <row r="7" spans="1:9" ht="30.75" customHeight="1">
      <c r="A7" s="37" t="s">
        <v>79</v>
      </c>
      <c r="B7" s="34" t="s">
        <v>80</v>
      </c>
      <c r="C7" s="35" t="str">
        <f t="shared" si="0"/>
        <v>06　総合工事業</v>
      </c>
      <c r="D7" s="36" t="s">
        <v>81</v>
      </c>
      <c r="E7" s="34" t="s">
        <v>80</v>
      </c>
      <c r="F7" s="34" t="str">
        <f t="shared" si="1"/>
        <v>050100　総合工事業</v>
      </c>
      <c r="G7" s="37" t="s">
        <v>82</v>
      </c>
      <c r="H7" s="34" t="str">
        <f t="shared" si="2"/>
        <v>050100管理，補助的経済活動を行う事業所（06総合工事業） </v>
      </c>
      <c r="I7" s="32" t="s">
        <v>83</v>
      </c>
    </row>
    <row r="8" spans="1:9" ht="30.75" customHeight="1">
      <c r="A8" s="37" t="s">
        <v>84</v>
      </c>
      <c r="B8" s="34" t="s">
        <v>85</v>
      </c>
      <c r="C8" s="35" t="str">
        <f t="shared" si="0"/>
        <v>07　職別工事業(設備工事業を除く)</v>
      </c>
      <c r="D8" s="36" t="s">
        <v>86</v>
      </c>
      <c r="E8" s="34" t="s">
        <v>85</v>
      </c>
      <c r="F8" s="34" t="str">
        <f t="shared" si="1"/>
        <v>050300　職別工事業(設備工事業を除く)</v>
      </c>
      <c r="G8" s="37" t="s">
        <v>87</v>
      </c>
      <c r="H8" s="34" t="str">
        <f t="shared" si="2"/>
        <v>050300管理，補助的経済活動を行う事業所（07職別工事業） </v>
      </c>
      <c r="I8" s="32" t="s">
        <v>88</v>
      </c>
    </row>
    <row r="9" spans="1:9" ht="30.75" customHeight="1">
      <c r="A9" s="37" t="s">
        <v>89</v>
      </c>
      <c r="B9" s="34" t="s">
        <v>90</v>
      </c>
      <c r="C9" s="35" t="str">
        <f t="shared" si="0"/>
        <v>08　設備工事業</v>
      </c>
      <c r="D9" s="36" t="s">
        <v>91</v>
      </c>
      <c r="E9" s="34" t="s">
        <v>90</v>
      </c>
      <c r="F9" s="34" t="str">
        <f t="shared" si="1"/>
        <v>050500　設備工事業</v>
      </c>
      <c r="G9" s="37" t="s">
        <v>92</v>
      </c>
      <c r="H9" s="34" t="str">
        <f t="shared" si="2"/>
        <v>050500管理，補助的経済活動を行う事業所（08設備工事業） </v>
      </c>
      <c r="I9" s="32" t="s">
        <v>93</v>
      </c>
    </row>
    <row r="10" spans="1:9" ht="30.75" customHeight="1">
      <c r="A10" s="37" t="s">
        <v>94</v>
      </c>
      <c r="B10" s="34" t="s">
        <v>95</v>
      </c>
      <c r="C10" s="35" t="str">
        <f t="shared" si="0"/>
        <v>09　食料品製造業</v>
      </c>
      <c r="D10" s="36" t="s">
        <v>96</v>
      </c>
      <c r="E10" s="34" t="s">
        <v>95</v>
      </c>
      <c r="F10" s="34" t="str">
        <f t="shared" si="1"/>
        <v>060100　食料品製造業</v>
      </c>
      <c r="G10" s="37" t="s">
        <v>97</v>
      </c>
      <c r="H10" s="34" t="str">
        <f t="shared" si="2"/>
        <v>060100管理，補助的経済活動を行う事業所（09食料品製造業） </v>
      </c>
      <c r="I10" s="32" t="s">
        <v>98</v>
      </c>
    </row>
    <row r="11" spans="1:9" ht="30.75" customHeight="1">
      <c r="A11" s="37" t="s">
        <v>99</v>
      </c>
      <c r="B11" s="34" t="s">
        <v>100</v>
      </c>
      <c r="C11" s="35" t="str">
        <f t="shared" si="0"/>
        <v>10　飲料・たばこ・飼料製造業</v>
      </c>
      <c r="D11" s="36" t="s">
        <v>101</v>
      </c>
      <c r="E11" s="34" t="s">
        <v>100</v>
      </c>
      <c r="F11" s="34" t="str">
        <f t="shared" si="1"/>
        <v>060300　飲料・たばこ・飼料製造業</v>
      </c>
      <c r="G11" s="37" t="s">
        <v>102</v>
      </c>
      <c r="H11" s="34" t="str">
        <f t="shared" si="2"/>
        <v>060300管理，補助的経済活動を行う事業所（10飲料・たばこ・飼料製造業） </v>
      </c>
      <c r="I11" s="32" t="s">
        <v>103</v>
      </c>
    </row>
    <row r="12" spans="1:9" ht="30.75" customHeight="1">
      <c r="A12" s="37" t="s">
        <v>104</v>
      </c>
      <c r="B12" s="34" t="s">
        <v>105</v>
      </c>
      <c r="C12" s="35" t="str">
        <f t="shared" si="0"/>
        <v>11　繊維工業</v>
      </c>
      <c r="D12" s="36" t="s">
        <v>106</v>
      </c>
      <c r="E12" s="34" t="s">
        <v>107</v>
      </c>
      <c r="F12" s="34" t="str">
        <f t="shared" si="1"/>
        <v>060500繊維工業（衣服、その他の繊維製品を除く）</v>
      </c>
      <c r="G12" s="37" t="s">
        <v>108</v>
      </c>
      <c r="H12" s="34" t="str">
        <f t="shared" si="2"/>
        <v>060500管理，補助的経済活動を行う事業所（11繊維工業） </v>
      </c>
      <c r="I12" s="32" t="s">
        <v>109</v>
      </c>
    </row>
    <row r="13" spans="1:9" ht="30.75" customHeight="1">
      <c r="A13" s="37" t="s">
        <v>110</v>
      </c>
      <c r="B13" s="34" t="s">
        <v>111</v>
      </c>
      <c r="C13" s="35" t="str">
        <f t="shared" si="0"/>
        <v>12　木材・木製品製造業（家具を除く）</v>
      </c>
      <c r="D13" s="36" t="s">
        <v>112</v>
      </c>
      <c r="E13" s="34" t="s">
        <v>111</v>
      </c>
      <c r="F13" s="34" t="str">
        <f t="shared" si="1"/>
        <v>060900　木材・木製品製造業（家具を除く）</v>
      </c>
      <c r="G13" s="37" t="s">
        <v>113</v>
      </c>
      <c r="H13" s="34" t="str">
        <f t="shared" si="2"/>
        <v>060900管理，補助的経済活動を行う事業所（12木材・木製品製造業） </v>
      </c>
      <c r="I13" s="32" t="s">
        <v>114</v>
      </c>
    </row>
    <row r="14" spans="1:9" ht="30.75" customHeight="1">
      <c r="A14" s="37" t="s">
        <v>115</v>
      </c>
      <c r="B14" s="34" t="s">
        <v>116</v>
      </c>
      <c r="C14" s="35" t="str">
        <f t="shared" si="0"/>
        <v>13　家具・装備品製造業</v>
      </c>
      <c r="D14" s="36" t="s">
        <v>117</v>
      </c>
      <c r="E14" s="34" t="s">
        <v>116</v>
      </c>
      <c r="F14" s="34" t="str">
        <f t="shared" si="1"/>
        <v>061100　家具・装備品製造業</v>
      </c>
      <c r="G14" s="37" t="s">
        <v>118</v>
      </c>
      <c r="H14" s="34" t="str">
        <f t="shared" si="2"/>
        <v>061100管理，補助的経済活動を行う事業所（13家具・装備品製造業） </v>
      </c>
      <c r="I14" s="32" t="s">
        <v>119</v>
      </c>
    </row>
    <row r="15" spans="1:9" ht="30.75" customHeight="1">
      <c r="A15" s="37" t="s">
        <v>120</v>
      </c>
      <c r="B15" s="34" t="s">
        <v>121</v>
      </c>
      <c r="C15" s="35" t="str">
        <f t="shared" si="0"/>
        <v>14　パルプ・紙・紙加工品製造業</v>
      </c>
      <c r="D15" s="36" t="s">
        <v>122</v>
      </c>
      <c r="E15" s="34" t="s">
        <v>121</v>
      </c>
      <c r="F15" s="34" t="str">
        <f t="shared" si="1"/>
        <v>061300　パルプ・紙・紙加工品製造業</v>
      </c>
      <c r="G15" s="37" t="s">
        <v>123</v>
      </c>
      <c r="H15" s="34" t="str">
        <f t="shared" si="2"/>
        <v>061300管理，補助的経済活動を行う事業所（14パルプ・紙・紙加工品製造業） </v>
      </c>
      <c r="I15" s="32" t="s">
        <v>124</v>
      </c>
    </row>
    <row r="16" spans="1:9" ht="30.75" customHeight="1">
      <c r="A16" s="37" t="s">
        <v>125</v>
      </c>
      <c r="B16" s="34" t="s">
        <v>126</v>
      </c>
      <c r="C16" s="35" t="str">
        <f t="shared" si="0"/>
        <v>15　印刷・同関連業</v>
      </c>
      <c r="D16" s="36" t="s">
        <v>127</v>
      </c>
      <c r="E16" s="34" t="s">
        <v>126</v>
      </c>
      <c r="F16" s="34" t="str">
        <f t="shared" si="1"/>
        <v>061500　印刷・同関連業</v>
      </c>
      <c r="G16" s="37" t="s">
        <v>128</v>
      </c>
      <c r="H16" s="34" t="str">
        <f t="shared" si="2"/>
        <v>061500管理，補助的経済活動を行う事業所（15印刷・同関連業） </v>
      </c>
      <c r="I16" s="32" t="s">
        <v>129</v>
      </c>
    </row>
    <row r="17" spans="1:9" ht="30.75" customHeight="1">
      <c r="A17" s="37" t="s">
        <v>130</v>
      </c>
      <c r="B17" s="34" t="s">
        <v>131</v>
      </c>
      <c r="C17" s="35" t="str">
        <f t="shared" si="0"/>
        <v>16　化学工業</v>
      </c>
      <c r="D17" s="36" t="s">
        <v>132</v>
      </c>
      <c r="E17" s="34" t="s">
        <v>131</v>
      </c>
      <c r="F17" s="34" t="str">
        <f t="shared" si="1"/>
        <v>061700　化学工業</v>
      </c>
      <c r="G17" s="37" t="s">
        <v>133</v>
      </c>
      <c r="H17" s="34" t="str">
        <f t="shared" si="2"/>
        <v>061700管理，補助的経済活動を行う事業所（16化学工業） </v>
      </c>
      <c r="I17" s="32" t="s">
        <v>134</v>
      </c>
    </row>
    <row r="18" spans="1:9" ht="30.75" customHeight="1">
      <c r="A18" s="37" t="s">
        <v>135</v>
      </c>
      <c r="B18" s="34" t="s">
        <v>136</v>
      </c>
      <c r="C18" s="35" t="str">
        <f t="shared" si="0"/>
        <v>17　石油製品・石炭製品製造業</v>
      </c>
      <c r="D18" s="36" t="s">
        <v>137</v>
      </c>
      <c r="E18" s="34" t="s">
        <v>136</v>
      </c>
      <c r="F18" s="34" t="str">
        <f t="shared" si="1"/>
        <v>061900　石油製品・石炭製品製造業</v>
      </c>
      <c r="G18" s="37" t="s">
        <v>138</v>
      </c>
      <c r="H18" s="34" t="str">
        <f t="shared" si="2"/>
        <v>061900管理，補助的経済活動を行う事業所（17石油製品・石炭製品製造業） </v>
      </c>
      <c r="I18" s="32" t="s">
        <v>139</v>
      </c>
    </row>
    <row r="19" spans="1:9" ht="30.75" customHeight="1">
      <c r="A19" s="37" t="s">
        <v>140</v>
      </c>
      <c r="B19" s="34" t="s">
        <v>141</v>
      </c>
      <c r="C19" s="35" t="str">
        <f t="shared" si="0"/>
        <v>18　プラスチック製品製造業（別掲を除く）</v>
      </c>
      <c r="D19" s="36" t="s">
        <v>142</v>
      </c>
      <c r="E19" s="34" t="s">
        <v>141</v>
      </c>
      <c r="F19" s="34" t="str">
        <f t="shared" si="1"/>
        <v>062100　プラスチック製品製造業（別掲を除く）</v>
      </c>
      <c r="G19" s="37" t="s">
        <v>143</v>
      </c>
      <c r="H19" s="34" t="str">
        <f t="shared" si="2"/>
        <v>062100管理，補助的経済活動を行う事業所（18プラスチック製品製造業） </v>
      </c>
      <c r="I19" s="32" t="s">
        <v>144</v>
      </c>
    </row>
    <row r="20" spans="1:9" ht="30.75" customHeight="1">
      <c r="A20" s="37" t="s">
        <v>145</v>
      </c>
      <c r="B20" s="34" t="s">
        <v>146</v>
      </c>
      <c r="C20" s="35" t="str">
        <f t="shared" si="0"/>
        <v>19　ゴム製品製造業</v>
      </c>
      <c r="D20" s="36" t="s">
        <v>147</v>
      </c>
      <c r="E20" s="34" t="s">
        <v>146</v>
      </c>
      <c r="F20" s="34" t="str">
        <f t="shared" si="1"/>
        <v>062300　ゴム製品製造業</v>
      </c>
      <c r="G20" s="37" t="s">
        <v>148</v>
      </c>
      <c r="H20" s="34" t="str">
        <f t="shared" si="2"/>
        <v>062300管理，補助的経済活動を行う事業所（19ゴム製品製造業） </v>
      </c>
      <c r="I20" s="32" t="s">
        <v>149</v>
      </c>
    </row>
    <row r="21" spans="1:9" ht="30.75" customHeight="1">
      <c r="A21" s="37" t="s">
        <v>150</v>
      </c>
      <c r="B21" s="34" t="s">
        <v>151</v>
      </c>
      <c r="C21" s="35" t="str">
        <f t="shared" si="0"/>
        <v>20　なめし革・同製品・毛皮製造業</v>
      </c>
      <c r="D21" s="36" t="s">
        <v>152</v>
      </c>
      <c r="E21" s="34" t="s">
        <v>151</v>
      </c>
      <c r="F21" s="34" t="str">
        <f t="shared" si="1"/>
        <v>062500　なめし革・同製品・毛皮製造業</v>
      </c>
      <c r="G21" s="37" t="s">
        <v>153</v>
      </c>
      <c r="H21" s="34" t="str">
        <f t="shared" si="2"/>
        <v>062500管理，補助的経済活動を行う事業所（20なめし革・同製品・毛皮製造業） </v>
      </c>
      <c r="I21" s="32" t="s">
        <v>154</v>
      </c>
    </row>
    <row r="22" spans="1:9" ht="30.75" customHeight="1">
      <c r="A22" s="37" t="s">
        <v>155</v>
      </c>
      <c r="B22" s="34" t="s">
        <v>156</v>
      </c>
      <c r="C22" s="35" t="str">
        <f t="shared" si="0"/>
        <v>21　窯業・土石製品製造業</v>
      </c>
      <c r="D22" s="36" t="s">
        <v>157</v>
      </c>
      <c r="E22" s="34" t="s">
        <v>156</v>
      </c>
      <c r="F22" s="34" t="str">
        <f t="shared" si="1"/>
        <v>062700　窯業・土石製品製造業</v>
      </c>
      <c r="G22" s="37" t="s">
        <v>158</v>
      </c>
      <c r="H22" s="34" t="str">
        <f t="shared" si="2"/>
        <v>062700管理，補助的経済活動を行う事業所（21窯業・土石製品製造業） </v>
      </c>
      <c r="I22" s="32" t="s">
        <v>159</v>
      </c>
    </row>
    <row r="23" spans="1:9" ht="30.75" customHeight="1">
      <c r="A23" s="37" t="s">
        <v>160</v>
      </c>
      <c r="B23" s="34" t="s">
        <v>161</v>
      </c>
      <c r="C23" s="35" t="str">
        <f t="shared" si="0"/>
        <v>22　鉄鋼業</v>
      </c>
      <c r="D23" s="36" t="s">
        <v>162</v>
      </c>
      <c r="E23" s="34" t="s">
        <v>161</v>
      </c>
      <c r="F23" s="34" t="str">
        <f t="shared" si="1"/>
        <v>062900　鉄鋼業</v>
      </c>
      <c r="G23" s="37" t="s">
        <v>163</v>
      </c>
      <c r="H23" s="34" t="str">
        <f t="shared" si="2"/>
        <v>062900管理，補助的経済活動を行う事業所（22鉄鋼業） </v>
      </c>
      <c r="I23" s="32" t="s">
        <v>164</v>
      </c>
    </row>
    <row r="24" spans="1:9" ht="30.75" customHeight="1">
      <c r="A24" s="37" t="s">
        <v>165</v>
      </c>
      <c r="B24" s="34" t="s">
        <v>166</v>
      </c>
      <c r="C24" s="35" t="str">
        <f t="shared" si="0"/>
        <v>23　非鉄金属製造業</v>
      </c>
      <c r="D24" s="36" t="s">
        <v>167</v>
      </c>
      <c r="E24" s="34" t="s">
        <v>166</v>
      </c>
      <c r="F24" s="34" t="str">
        <f t="shared" si="1"/>
        <v>063100　非鉄金属製造業</v>
      </c>
      <c r="G24" s="37" t="s">
        <v>168</v>
      </c>
      <c r="H24" s="34" t="str">
        <f t="shared" si="2"/>
        <v>063100管理，補助的経済活動を行う事業所（23非鉄金属製造業） </v>
      </c>
      <c r="I24" s="32" t="s">
        <v>169</v>
      </c>
    </row>
    <row r="25" spans="1:9" ht="30.75" customHeight="1">
      <c r="A25" s="37" t="s">
        <v>170</v>
      </c>
      <c r="B25" s="34" t="s">
        <v>171</v>
      </c>
      <c r="C25" s="35" t="str">
        <f t="shared" si="0"/>
        <v>24　金属製品製造業</v>
      </c>
      <c r="D25" s="36" t="s">
        <v>172</v>
      </c>
      <c r="E25" s="34" t="s">
        <v>171</v>
      </c>
      <c r="F25" s="34" t="str">
        <f t="shared" si="1"/>
        <v>063300　金属製品製造業</v>
      </c>
      <c r="G25" s="37" t="s">
        <v>173</v>
      </c>
      <c r="H25" s="34" t="str">
        <f t="shared" si="2"/>
        <v>063300管理，補助的経済活動を行う事業所（24金属製品製造業） </v>
      </c>
      <c r="I25" s="32" t="s">
        <v>174</v>
      </c>
    </row>
    <row r="26" spans="1:9" ht="30.75" customHeight="1">
      <c r="A26" s="37" t="s">
        <v>175</v>
      </c>
      <c r="B26" s="34" t="s">
        <v>176</v>
      </c>
      <c r="C26" s="35" t="str">
        <f t="shared" si="0"/>
        <v>25　はん用機械器具製造業</v>
      </c>
      <c r="D26" s="36" t="s">
        <v>177</v>
      </c>
      <c r="E26" s="34" t="s">
        <v>178</v>
      </c>
      <c r="F26" s="34" t="str">
        <f t="shared" si="1"/>
        <v>063500一般機械器具製造業　 </v>
      </c>
      <c r="G26" s="37" t="s">
        <v>179</v>
      </c>
      <c r="H26" s="34" t="str">
        <f t="shared" si="2"/>
        <v>063500管理，補助的経済活動を行う事業所（25はん用機械器具製造業） </v>
      </c>
      <c r="I26" s="32" t="s">
        <v>180</v>
      </c>
    </row>
    <row r="27" spans="1:9" ht="30.75" customHeight="1">
      <c r="A27" s="37" t="s">
        <v>181</v>
      </c>
      <c r="B27" s="34" t="s">
        <v>182</v>
      </c>
      <c r="C27" s="35" t="str">
        <f t="shared" si="0"/>
        <v>26　生産用機械器具製造業</v>
      </c>
      <c r="D27" s="36" t="s">
        <v>177</v>
      </c>
      <c r="E27" s="34" t="s">
        <v>178</v>
      </c>
      <c r="F27" s="34" t="str">
        <f t="shared" si="1"/>
        <v>063500一般機械器具製造業　 </v>
      </c>
      <c r="G27" s="37" t="s">
        <v>183</v>
      </c>
      <c r="H27" s="34" t="str">
        <f t="shared" si="2"/>
        <v>063500管理，補助的経済活動を行う事業所（26生産用機械器具製造業） </v>
      </c>
      <c r="I27" s="32" t="s">
        <v>184</v>
      </c>
    </row>
    <row r="28" spans="1:9" ht="30.75" customHeight="1">
      <c r="A28" s="37" t="s">
        <v>185</v>
      </c>
      <c r="B28" s="34" t="s">
        <v>186</v>
      </c>
      <c r="C28" s="35" t="str">
        <f t="shared" si="0"/>
        <v>27　業務用機械器具製造業</v>
      </c>
      <c r="D28" s="36" t="s">
        <v>187</v>
      </c>
      <c r="E28" s="34" t="s">
        <v>188</v>
      </c>
      <c r="F28" s="34" t="str">
        <f t="shared" si="1"/>
        <v>064500精密機械器具製造業   　</v>
      </c>
      <c r="G28" s="37" t="s">
        <v>189</v>
      </c>
      <c r="H28" s="34" t="str">
        <f t="shared" si="2"/>
        <v>064500管理，補助的経済活動を行う事業所（27業務用機械器具製造業） </v>
      </c>
      <c r="I28" s="32" t="s">
        <v>190</v>
      </c>
    </row>
    <row r="29" spans="1:9" ht="30.75" customHeight="1">
      <c r="A29" s="37" t="s">
        <v>191</v>
      </c>
      <c r="B29" s="34" t="s">
        <v>192</v>
      </c>
      <c r="C29" s="35" t="str">
        <f t="shared" si="0"/>
        <v>28　電子部品・デバイス製造業</v>
      </c>
      <c r="D29" s="36" t="s">
        <v>193</v>
      </c>
      <c r="E29" s="34" t="s">
        <v>194</v>
      </c>
      <c r="F29" s="34" t="str">
        <f t="shared" si="1"/>
        <v>064100　電子部品・デバイス・電子回路製造業</v>
      </c>
      <c r="G29" s="37" t="s">
        <v>195</v>
      </c>
      <c r="H29" s="34" t="str">
        <f t="shared" si="2"/>
        <v>064100管理，補助的経済活動を行う事業所（28電子部品・デバイス・電子回路製造業） </v>
      </c>
      <c r="I29" s="32" t="s">
        <v>196</v>
      </c>
    </row>
    <row r="30" spans="1:9" ht="30.75" customHeight="1">
      <c r="A30" s="37" t="s">
        <v>197</v>
      </c>
      <c r="B30" s="34" t="s">
        <v>198</v>
      </c>
      <c r="C30" s="35" t="str">
        <f t="shared" si="0"/>
        <v>29　電気機械器具製造業</v>
      </c>
      <c r="D30" s="36" t="s">
        <v>199</v>
      </c>
      <c r="E30" s="34" t="s">
        <v>198</v>
      </c>
      <c r="F30" s="34" t="str">
        <f t="shared" si="1"/>
        <v>063700　電気機械器具製造業</v>
      </c>
      <c r="G30" s="37" t="s">
        <v>200</v>
      </c>
      <c r="H30" s="34" t="str">
        <f t="shared" si="2"/>
        <v>063700管理，補助的経済活動を行う事業所（29電気機械器具製造業） </v>
      </c>
      <c r="I30" s="32" t="s">
        <v>201</v>
      </c>
    </row>
    <row r="31" spans="1:9" ht="30.75" customHeight="1">
      <c r="A31" s="37" t="s">
        <v>202</v>
      </c>
      <c r="B31" s="34" t="s">
        <v>203</v>
      </c>
      <c r="C31" s="35" t="str">
        <f t="shared" si="0"/>
        <v>30　情報通信機械器具製造業</v>
      </c>
      <c r="D31" s="36" t="s">
        <v>204</v>
      </c>
      <c r="E31" s="34" t="s">
        <v>203</v>
      </c>
      <c r="F31" s="34" t="str">
        <f t="shared" si="1"/>
        <v>063900　情報通信機械器具製造業</v>
      </c>
      <c r="G31" s="37" t="s">
        <v>205</v>
      </c>
      <c r="H31" s="34" t="str">
        <f t="shared" si="2"/>
        <v>063900管理，補助的経済活動を行う事業所（30情報通信機械器具製造業） </v>
      </c>
      <c r="I31" s="32" t="s">
        <v>206</v>
      </c>
    </row>
    <row r="32" spans="1:9" ht="30.75" customHeight="1">
      <c r="A32" s="37" t="s">
        <v>207</v>
      </c>
      <c r="B32" s="34" t="s">
        <v>208</v>
      </c>
      <c r="C32" s="35" t="str">
        <f t="shared" si="0"/>
        <v>31　輸送用機械器具製造業</v>
      </c>
      <c r="D32" s="36" t="s">
        <v>209</v>
      </c>
      <c r="E32" s="34" t="s">
        <v>208</v>
      </c>
      <c r="F32" s="34" t="str">
        <f t="shared" si="1"/>
        <v>064300　輸送用機械器具製造業</v>
      </c>
      <c r="G32" s="37" t="s">
        <v>210</v>
      </c>
      <c r="H32" s="34" t="str">
        <f t="shared" si="2"/>
        <v>064300管理，補助的経済活動を行う事業所（31輸送用機械器具製造業） </v>
      </c>
      <c r="I32" s="32" t="s">
        <v>211</v>
      </c>
    </row>
    <row r="33" spans="1:9" ht="30.75" customHeight="1">
      <c r="A33" s="37" t="s">
        <v>212</v>
      </c>
      <c r="B33" s="34" t="s">
        <v>213</v>
      </c>
      <c r="C33" s="35" t="str">
        <f t="shared" si="0"/>
        <v>32　その他の製造業</v>
      </c>
      <c r="D33" s="36" t="s">
        <v>214</v>
      </c>
      <c r="E33" s="34" t="s">
        <v>213</v>
      </c>
      <c r="F33" s="34" t="str">
        <f t="shared" si="1"/>
        <v>064700　その他の製造業</v>
      </c>
      <c r="G33" s="37" t="s">
        <v>215</v>
      </c>
      <c r="H33" s="34" t="str">
        <f t="shared" si="2"/>
        <v>064700管理，補助的経済活動を行う事業所（32その他の製造業） </v>
      </c>
      <c r="I33" s="32" t="s">
        <v>216</v>
      </c>
    </row>
    <row r="34" spans="1:9" ht="30.75" customHeight="1">
      <c r="A34" s="37" t="s">
        <v>212</v>
      </c>
      <c r="B34" s="34" t="s">
        <v>213</v>
      </c>
      <c r="C34" s="35" t="str">
        <f t="shared" si="0"/>
        <v>32　その他の製造業</v>
      </c>
      <c r="D34" s="36" t="s">
        <v>214</v>
      </c>
      <c r="E34" s="34" t="s">
        <v>213</v>
      </c>
      <c r="F34" s="34" t="str">
        <f t="shared" si="1"/>
        <v>064700　その他の製造業</v>
      </c>
      <c r="G34" s="37" t="s">
        <v>217</v>
      </c>
      <c r="H34" s="34" t="str">
        <f t="shared" si="2"/>
        <v>064700漆器製造業 </v>
      </c>
      <c r="I34" s="32" t="s">
        <v>218</v>
      </c>
    </row>
    <row r="35" spans="1:9" ht="30.75" customHeight="1">
      <c r="A35" s="37" t="s">
        <v>219</v>
      </c>
      <c r="B35" s="34" t="s">
        <v>220</v>
      </c>
      <c r="C35" s="35" t="str">
        <f t="shared" si="0"/>
        <v>33　電気業</v>
      </c>
      <c r="D35" s="36" t="s">
        <v>221</v>
      </c>
      <c r="E35" s="34" t="s">
        <v>220</v>
      </c>
      <c r="F35" s="34" t="str">
        <f t="shared" si="1"/>
        <v>070000　電気業</v>
      </c>
      <c r="G35" s="37" t="s">
        <v>222</v>
      </c>
      <c r="H35" s="34" t="str">
        <f t="shared" si="2"/>
        <v>070000管理，補助的経済活動を行う事業所（33電気業） </v>
      </c>
      <c r="I35" s="32" t="s">
        <v>223</v>
      </c>
    </row>
    <row r="36" spans="1:9" ht="30.75" customHeight="1">
      <c r="A36" s="37" t="s">
        <v>224</v>
      </c>
      <c r="B36" s="34" t="s">
        <v>225</v>
      </c>
      <c r="C36" s="35" t="str">
        <f t="shared" si="0"/>
        <v>34　ガス業</v>
      </c>
      <c r="D36" s="36" t="s">
        <v>221</v>
      </c>
      <c r="E36" s="34" t="s">
        <v>225</v>
      </c>
      <c r="F36" s="34" t="str">
        <f t="shared" si="1"/>
        <v>070000　ガス業</v>
      </c>
      <c r="G36" s="37" t="s">
        <v>226</v>
      </c>
      <c r="H36" s="34" t="str">
        <f t="shared" si="2"/>
        <v>070000管理，補助的経済活動を行う事業所（34ガス業） </v>
      </c>
      <c r="I36" s="32" t="s">
        <v>227</v>
      </c>
    </row>
    <row r="37" spans="1:9" ht="30.75" customHeight="1">
      <c r="A37" s="37" t="s">
        <v>228</v>
      </c>
      <c r="B37" s="34" t="s">
        <v>229</v>
      </c>
      <c r="C37" s="35" t="str">
        <f t="shared" si="0"/>
        <v>35　熱供給業</v>
      </c>
      <c r="D37" s="36" t="s">
        <v>221</v>
      </c>
      <c r="E37" s="34" t="s">
        <v>229</v>
      </c>
      <c r="F37" s="34" t="str">
        <f t="shared" si="1"/>
        <v>070000　熱供給業</v>
      </c>
      <c r="G37" s="37" t="s">
        <v>230</v>
      </c>
      <c r="H37" s="34" t="str">
        <f t="shared" si="2"/>
        <v>070000管理，補助的経済活動を行う事業所（35熱供給業） </v>
      </c>
      <c r="I37" s="32" t="s">
        <v>231</v>
      </c>
    </row>
    <row r="38" spans="1:9" ht="30.75" customHeight="1">
      <c r="A38" s="37" t="s">
        <v>232</v>
      </c>
      <c r="B38" s="34" t="s">
        <v>233</v>
      </c>
      <c r="C38" s="35" t="str">
        <f t="shared" si="0"/>
        <v>36　水道業</v>
      </c>
      <c r="D38" s="36" t="s">
        <v>221</v>
      </c>
      <c r="E38" s="34" t="s">
        <v>233</v>
      </c>
      <c r="F38" s="34" t="str">
        <f t="shared" si="1"/>
        <v>070000　水道業</v>
      </c>
      <c r="G38" s="37" t="s">
        <v>234</v>
      </c>
      <c r="H38" s="34" t="str">
        <f t="shared" si="2"/>
        <v>070000管理，補助的経済活動を行う事業所（36水道業） </v>
      </c>
      <c r="I38" s="32" t="s">
        <v>235</v>
      </c>
    </row>
    <row r="39" spans="1:9" ht="30.75" customHeight="1">
      <c r="A39" s="37" t="s">
        <v>236</v>
      </c>
      <c r="B39" s="34" t="s">
        <v>237</v>
      </c>
      <c r="C39" s="35" t="str">
        <f t="shared" si="0"/>
        <v>37　通信業</v>
      </c>
      <c r="D39" s="36" t="s">
        <v>238</v>
      </c>
      <c r="E39" s="34" t="s">
        <v>237</v>
      </c>
      <c r="F39" s="34" t="str">
        <f t="shared" si="1"/>
        <v>080100　通信業</v>
      </c>
      <c r="G39" s="37" t="s">
        <v>239</v>
      </c>
      <c r="H39" s="34" t="str">
        <f t="shared" si="2"/>
        <v>080100管理，補助的経済活動を行う事業所（37通信業） </v>
      </c>
      <c r="I39" s="32" t="s">
        <v>240</v>
      </c>
    </row>
    <row r="40" spans="1:9" ht="30.75" customHeight="1">
      <c r="A40" s="37" t="s">
        <v>241</v>
      </c>
      <c r="B40" s="34" t="s">
        <v>242</v>
      </c>
      <c r="C40" s="35" t="str">
        <f t="shared" si="0"/>
        <v>38　放送業</v>
      </c>
      <c r="D40" s="36" t="s">
        <v>243</v>
      </c>
      <c r="E40" s="34" t="s">
        <v>242</v>
      </c>
      <c r="F40" s="34" t="str">
        <f t="shared" si="1"/>
        <v>080300　放送業</v>
      </c>
      <c r="G40" s="37" t="s">
        <v>244</v>
      </c>
      <c r="H40" s="34" t="str">
        <f t="shared" si="2"/>
        <v>080300管理，補助的経済活動を行う事業所（38放送業） </v>
      </c>
      <c r="I40" s="32" t="s">
        <v>245</v>
      </c>
    </row>
    <row r="41" spans="1:9" ht="30.75" customHeight="1">
      <c r="A41" s="37" t="s">
        <v>246</v>
      </c>
      <c r="B41" s="34" t="s">
        <v>247</v>
      </c>
      <c r="C41" s="35" t="str">
        <f t="shared" si="0"/>
        <v>39　情報サービス業</v>
      </c>
      <c r="D41" s="36" t="s">
        <v>248</v>
      </c>
      <c r="E41" s="34" t="s">
        <v>247</v>
      </c>
      <c r="F41" s="34" t="str">
        <f t="shared" si="1"/>
        <v>080500　情報サービス業</v>
      </c>
      <c r="G41" s="37" t="s">
        <v>249</v>
      </c>
      <c r="H41" s="34" t="str">
        <f t="shared" si="2"/>
        <v>080500管理，補助的経済活動を行う事業所（39情報サービス業） </v>
      </c>
      <c r="I41" s="32" t="s">
        <v>250</v>
      </c>
    </row>
    <row r="42" spans="1:9" ht="30.75" customHeight="1">
      <c r="A42" s="37" t="s">
        <v>251</v>
      </c>
      <c r="B42" s="34" t="s">
        <v>252</v>
      </c>
      <c r="C42" s="35" t="str">
        <f t="shared" si="0"/>
        <v>40　インターネット附随サービス業</v>
      </c>
      <c r="D42" s="36" t="s">
        <v>253</v>
      </c>
      <c r="E42" s="34" t="s">
        <v>252</v>
      </c>
      <c r="F42" s="34" t="str">
        <f t="shared" si="1"/>
        <v>080700　インターネット附随サービス業</v>
      </c>
      <c r="G42" s="37" t="s">
        <v>254</v>
      </c>
      <c r="H42" s="34" t="str">
        <f t="shared" si="2"/>
        <v>080700管理，補助的経済活動を行う事業所（40インターネット附随サービス業） </v>
      </c>
      <c r="I42" s="32" t="s">
        <v>255</v>
      </c>
    </row>
    <row r="43" spans="1:9" ht="30.75" customHeight="1">
      <c r="A43" s="37" t="s">
        <v>256</v>
      </c>
      <c r="B43" s="34" t="s">
        <v>257</v>
      </c>
      <c r="C43" s="35" t="str">
        <f t="shared" si="0"/>
        <v>41　映像・音声・文字情報制作業</v>
      </c>
      <c r="D43" s="36" t="s">
        <v>258</v>
      </c>
      <c r="E43" s="34" t="s">
        <v>257</v>
      </c>
      <c r="F43" s="34" t="str">
        <f t="shared" si="1"/>
        <v>080900　映像・音声・文字情報制作業</v>
      </c>
      <c r="G43" s="37" t="s">
        <v>259</v>
      </c>
      <c r="H43" s="34" t="str">
        <f t="shared" si="2"/>
        <v>080900管理，補助的経済活動を行う事業所（41映像・音声・文字情報制作業） </v>
      </c>
      <c r="I43" s="32" t="s">
        <v>260</v>
      </c>
    </row>
    <row r="44" spans="1:9" ht="30.75" customHeight="1">
      <c r="A44" s="37" t="s">
        <v>261</v>
      </c>
      <c r="B44" s="34" t="s">
        <v>262</v>
      </c>
      <c r="C44" s="35" t="str">
        <f t="shared" si="0"/>
        <v>42　鉄道業</v>
      </c>
      <c r="D44" s="36" t="s">
        <v>263</v>
      </c>
      <c r="E44" s="34" t="s">
        <v>262</v>
      </c>
      <c r="F44" s="34" t="str">
        <f t="shared" si="1"/>
        <v>090000　鉄道業</v>
      </c>
      <c r="G44" s="37" t="s">
        <v>264</v>
      </c>
      <c r="H44" s="34" t="str">
        <f t="shared" si="2"/>
        <v>090000管理，補助的経済活動を行う事業所（42鉄道業） </v>
      </c>
      <c r="I44" s="32" t="s">
        <v>265</v>
      </c>
    </row>
    <row r="45" spans="1:9" ht="30.75" customHeight="1">
      <c r="A45" s="37" t="s">
        <v>261</v>
      </c>
      <c r="B45" s="34" t="s">
        <v>262</v>
      </c>
      <c r="C45" s="35" t="str">
        <f t="shared" si="0"/>
        <v>42　鉄道業</v>
      </c>
      <c r="D45" s="36" t="s">
        <v>263</v>
      </c>
      <c r="E45" s="34" t="s">
        <v>262</v>
      </c>
      <c r="F45" s="34" t="str">
        <f t="shared" si="1"/>
        <v>090000　鉄道業</v>
      </c>
      <c r="G45" s="37" t="s">
        <v>266</v>
      </c>
      <c r="H45" s="34" t="str">
        <f t="shared" si="2"/>
        <v>090000鉄道業 </v>
      </c>
      <c r="I45" s="32" t="s">
        <v>267</v>
      </c>
    </row>
    <row r="46" spans="1:9" ht="30.75" customHeight="1">
      <c r="A46" s="37" t="s">
        <v>268</v>
      </c>
      <c r="B46" s="34" t="s">
        <v>269</v>
      </c>
      <c r="C46" s="35" t="str">
        <f t="shared" si="0"/>
        <v>43　道路旅客運送業</v>
      </c>
      <c r="D46" s="36" t="s">
        <v>263</v>
      </c>
      <c r="E46" s="34" t="s">
        <v>269</v>
      </c>
      <c r="F46" s="34" t="str">
        <f t="shared" si="1"/>
        <v>090000　道路旅客運送業</v>
      </c>
      <c r="G46" s="37" t="s">
        <v>270</v>
      </c>
      <c r="H46" s="34" t="str">
        <f t="shared" si="2"/>
        <v>090000管理，補助的経済活動を行う事業所（43道路旅客運送業） </v>
      </c>
      <c r="I46" s="32" t="s">
        <v>271</v>
      </c>
    </row>
    <row r="47" spans="1:9" ht="30.75" customHeight="1">
      <c r="A47" s="37" t="s">
        <v>272</v>
      </c>
      <c r="B47" s="34" t="s">
        <v>273</v>
      </c>
      <c r="C47" s="35" t="str">
        <f t="shared" si="0"/>
        <v>44　道路貨物運送業</v>
      </c>
      <c r="D47" s="36" t="s">
        <v>263</v>
      </c>
      <c r="E47" s="34" t="s">
        <v>273</v>
      </c>
      <c r="F47" s="34" t="str">
        <f t="shared" si="1"/>
        <v>090000　道路貨物運送業</v>
      </c>
      <c r="G47" s="37" t="s">
        <v>274</v>
      </c>
      <c r="H47" s="34" t="str">
        <f t="shared" si="2"/>
        <v>090000管理，補助的経済活動を行う事業所（44道路貨物運送業） </v>
      </c>
      <c r="I47" s="32" t="s">
        <v>275</v>
      </c>
    </row>
    <row r="48" spans="1:9" ht="30.75" customHeight="1">
      <c r="A48" s="37" t="s">
        <v>276</v>
      </c>
      <c r="B48" s="34" t="s">
        <v>277</v>
      </c>
      <c r="C48" s="35" t="str">
        <f t="shared" si="0"/>
        <v>45　水運業</v>
      </c>
      <c r="D48" s="36" t="s">
        <v>263</v>
      </c>
      <c r="E48" s="34" t="s">
        <v>277</v>
      </c>
      <c r="F48" s="34" t="str">
        <f t="shared" si="1"/>
        <v>090000　水運業</v>
      </c>
      <c r="G48" s="37" t="s">
        <v>278</v>
      </c>
      <c r="H48" s="34" t="str">
        <f t="shared" si="2"/>
        <v>090000管理，補助的経済活動を行う事業所（45水運業） </v>
      </c>
      <c r="I48" s="32" t="s">
        <v>279</v>
      </c>
    </row>
    <row r="49" spans="1:9" ht="30.75" customHeight="1">
      <c r="A49" s="37" t="s">
        <v>280</v>
      </c>
      <c r="B49" s="34" t="s">
        <v>281</v>
      </c>
      <c r="C49" s="35" t="str">
        <f t="shared" si="0"/>
        <v>46　航空運輸業</v>
      </c>
      <c r="D49" s="36" t="s">
        <v>263</v>
      </c>
      <c r="E49" s="34" t="s">
        <v>281</v>
      </c>
      <c r="F49" s="34" t="str">
        <f t="shared" si="1"/>
        <v>090000　航空運輸業</v>
      </c>
      <c r="G49" s="37" t="s">
        <v>282</v>
      </c>
      <c r="H49" s="34" t="str">
        <f t="shared" si="2"/>
        <v>090000管理，補助的経済活動を行う事業所（46航空運輸業） </v>
      </c>
      <c r="I49" s="32" t="s">
        <v>283</v>
      </c>
    </row>
    <row r="50" spans="1:9" ht="30.75" customHeight="1">
      <c r="A50" s="37" t="s">
        <v>284</v>
      </c>
      <c r="B50" s="34" t="s">
        <v>285</v>
      </c>
      <c r="C50" s="35" t="str">
        <f t="shared" si="0"/>
        <v>47　倉庫業</v>
      </c>
      <c r="D50" s="36" t="s">
        <v>263</v>
      </c>
      <c r="E50" s="34" t="s">
        <v>285</v>
      </c>
      <c r="F50" s="34" t="str">
        <f t="shared" si="1"/>
        <v>090000　倉庫業</v>
      </c>
      <c r="G50" s="37" t="s">
        <v>286</v>
      </c>
      <c r="H50" s="34" t="str">
        <f t="shared" si="2"/>
        <v>090000管理，補助的経済活動を行う事業所（47倉庫業） </v>
      </c>
      <c r="I50" s="32" t="s">
        <v>287</v>
      </c>
    </row>
    <row r="51" spans="1:9" ht="30.75" customHeight="1">
      <c r="A51" s="37" t="s">
        <v>288</v>
      </c>
      <c r="B51" s="34" t="s">
        <v>289</v>
      </c>
      <c r="C51" s="35" t="str">
        <f t="shared" si="0"/>
        <v>48　運輸に附帯するサービス業</v>
      </c>
      <c r="D51" s="36" t="s">
        <v>263</v>
      </c>
      <c r="E51" s="34" t="s">
        <v>289</v>
      </c>
      <c r="F51" s="34" t="str">
        <f t="shared" si="1"/>
        <v>090000　運輸に附帯するサービス業</v>
      </c>
      <c r="G51" s="37" t="s">
        <v>290</v>
      </c>
      <c r="H51" s="34" t="str">
        <f t="shared" si="2"/>
        <v>090000管理，補助的経済活動を行う事業所（48運輸に附帯するサービス業） </v>
      </c>
      <c r="I51" s="32" t="s">
        <v>291</v>
      </c>
    </row>
    <row r="52" spans="1:9" ht="30.75" customHeight="1">
      <c r="A52" s="37" t="s">
        <v>292</v>
      </c>
      <c r="B52" s="34" t="s">
        <v>293</v>
      </c>
      <c r="C52" s="35" t="str">
        <f t="shared" si="0"/>
        <v>49　郵便業（信書便事業を含む）</v>
      </c>
      <c r="D52" s="36" t="s">
        <v>263</v>
      </c>
      <c r="E52" s="34" t="s">
        <v>293</v>
      </c>
      <c r="F52" s="34" t="str">
        <f t="shared" si="1"/>
        <v>090000　郵便業（信書便事業を含む）</v>
      </c>
      <c r="G52" s="37" t="s">
        <v>294</v>
      </c>
      <c r="H52" s="34" t="str">
        <f t="shared" si="2"/>
        <v>090000管理，補助的経済活動を行う事業所（49郵便業） </v>
      </c>
      <c r="I52" s="32" t="s">
        <v>295</v>
      </c>
    </row>
    <row r="53" spans="1:9" ht="30.75" customHeight="1">
      <c r="A53" s="37" t="s">
        <v>296</v>
      </c>
      <c r="B53" s="34" t="s">
        <v>297</v>
      </c>
      <c r="C53" s="35" t="str">
        <f t="shared" si="0"/>
        <v>50　各種商品卸売業</v>
      </c>
      <c r="D53" s="38" t="s">
        <v>298</v>
      </c>
      <c r="E53" s="34" t="s">
        <v>297</v>
      </c>
      <c r="F53" s="34" t="str">
        <f t="shared" si="1"/>
        <v>100100　各種商品卸売業</v>
      </c>
      <c r="G53" s="37" t="s">
        <v>299</v>
      </c>
      <c r="H53" s="34" t="str">
        <f t="shared" si="2"/>
        <v>100100管理，補助的経済活動を行う事業所（50各種商品卸売業） </v>
      </c>
      <c r="I53" s="32" t="s">
        <v>300</v>
      </c>
    </row>
    <row r="54" spans="1:9" ht="30.75" customHeight="1">
      <c r="A54" s="37" t="s">
        <v>301</v>
      </c>
      <c r="B54" s="34" t="s">
        <v>302</v>
      </c>
      <c r="C54" s="35" t="str">
        <f t="shared" si="0"/>
        <v>51　繊維・衣服等卸売業</v>
      </c>
      <c r="D54" s="38" t="s">
        <v>303</v>
      </c>
      <c r="E54" s="34" t="s">
        <v>302</v>
      </c>
      <c r="F54" s="34" t="str">
        <f t="shared" si="1"/>
        <v>100300　繊維・衣服等卸売業</v>
      </c>
      <c r="G54" s="37" t="s">
        <v>304</v>
      </c>
      <c r="H54" s="34" t="str">
        <f t="shared" si="2"/>
        <v>100300管理，補助的経済活動を行う事業所（51繊維・衣服等卸売業） </v>
      </c>
      <c r="I54" s="32" t="s">
        <v>305</v>
      </c>
    </row>
    <row r="55" spans="1:9" ht="30.75" customHeight="1">
      <c r="A55" s="37" t="s">
        <v>306</v>
      </c>
      <c r="B55" s="34" t="s">
        <v>307</v>
      </c>
      <c r="C55" s="35" t="str">
        <f t="shared" si="0"/>
        <v>52　飲食料品卸売業</v>
      </c>
      <c r="D55" s="38" t="s">
        <v>308</v>
      </c>
      <c r="E55" s="34" t="s">
        <v>307</v>
      </c>
      <c r="F55" s="34" t="str">
        <f t="shared" si="1"/>
        <v>100500　飲食料品卸売業</v>
      </c>
      <c r="G55" s="37" t="s">
        <v>309</v>
      </c>
      <c r="H55" s="34" t="str">
        <f t="shared" si="2"/>
        <v>100500管理，補助的経済活動を行う事業所（52飲食料品卸売業） </v>
      </c>
      <c r="I55" s="32" t="s">
        <v>310</v>
      </c>
    </row>
    <row r="56" spans="1:9" ht="30.75" customHeight="1">
      <c r="A56" s="37" t="s">
        <v>311</v>
      </c>
      <c r="B56" s="34" t="s">
        <v>312</v>
      </c>
      <c r="C56" s="35" t="str">
        <f t="shared" si="0"/>
        <v>53　建築材料，鉱物・金属材料等卸売業</v>
      </c>
      <c r="D56" s="38" t="s">
        <v>313</v>
      </c>
      <c r="E56" s="34" t="s">
        <v>312</v>
      </c>
      <c r="F56" s="34" t="str">
        <f t="shared" si="1"/>
        <v>100700　建築材料，鉱物・金属材料等卸売業</v>
      </c>
      <c r="G56" s="37" t="s">
        <v>314</v>
      </c>
      <c r="H56" s="34" t="str">
        <f t="shared" si="2"/>
        <v>100700管理，補助的経済活動を行う事業所（53建築材料，鉱物・金属材料等卸売業） </v>
      </c>
      <c r="I56" s="32" t="s">
        <v>315</v>
      </c>
    </row>
    <row r="57" spans="1:9" ht="30.75" customHeight="1">
      <c r="A57" s="37" t="s">
        <v>316</v>
      </c>
      <c r="B57" s="34" t="s">
        <v>317</v>
      </c>
      <c r="C57" s="35" t="str">
        <f t="shared" si="0"/>
        <v>54　機械器具卸売業</v>
      </c>
      <c r="D57" s="38" t="s">
        <v>318</v>
      </c>
      <c r="E57" s="34" t="s">
        <v>317</v>
      </c>
      <c r="F57" s="34" t="str">
        <f t="shared" si="1"/>
        <v>100900　機械器具卸売業</v>
      </c>
      <c r="G57" s="37" t="s">
        <v>319</v>
      </c>
      <c r="H57" s="34" t="str">
        <f t="shared" si="2"/>
        <v>100900管理，補助的経済活動を行う事業所（54機械器具卸売業） </v>
      </c>
      <c r="I57" s="32" t="s">
        <v>320</v>
      </c>
    </row>
    <row r="58" spans="1:9" ht="30.75" customHeight="1">
      <c r="A58" s="37" t="s">
        <v>321</v>
      </c>
      <c r="B58" s="34" t="s">
        <v>322</v>
      </c>
      <c r="C58" s="35" t="str">
        <f t="shared" si="0"/>
        <v>55　その他の卸売業</v>
      </c>
      <c r="D58" s="38" t="s">
        <v>323</v>
      </c>
      <c r="E58" s="34" t="s">
        <v>322</v>
      </c>
      <c r="F58" s="34" t="str">
        <f t="shared" si="1"/>
        <v>101100　その他の卸売業</v>
      </c>
      <c r="G58" s="37" t="s">
        <v>324</v>
      </c>
      <c r="H58" s="34" t="str">
        <f t="shared" si="2"/>
        <v>101100管理，補助的経済活動を行う事業所（55その他の卸売業） </v>
      </c>
      <c r="I58" s="32" t="s">
        <v>325</v>
      </c>
    </row>
    <row r="59" spans="1:9" ht="30.75" customHeight="1">
      <c r="A59" s="37" t="s">
        <v>326</v>
      </c>
      <c r="B59" s="34" t="s">
        <v>327</v>
      </c>
      <c r="C59" s="35" t="str">
        <f t="shared" si="0"/>
        <v>56　各種商品小売業</v>
      </c>
      <c r="D59" s="38" t="s">
        <v>328</v>
      </c>
      <c r="E59" s="34" t="s">
        <v>327</v>
      </c>
      <c r="F59" s="34" t="str">
        <f t="shared" si="1"/>
        <v>105100　各種商品小売業</v>
      </c>
      <c r="G59" s="37" t="s">
        <v>329</v>
      </c>
      <c r="H59" s="34" t="str">
        <f t="shared" si="2"/>
        <v>105100管理，補助的経済活動を行う事業所（56各種商品小売業） </v>
      </c>
      <c r="I59" s="32" t="s">
        <v>330</v>
      </c>
    </row>
    <row r="60" spans="1:9" ht="30.75" customHeight="1">
      <c r="A60" s="37" t="s">
        <v>331</v>
      </c>
      <c r="B60" s="34" t="s">
        <v>332</v>
      </c>
      <c r="C60" s="35" t="str">
        <f t="shared" si="0"/>
        <v>57　織物・衣服・身の回り品小売業</v>
      </c>
      <c r="D60" s="38" t="s">
        <v>333</v>
      </c>
      <c r="E60" s="34" t="s">
        <v>332</v>
      </c>
      <c r="F60" s="34" t="str">
        <f t="shared" si="1"/>
        <v>105300　織物・衣服・身の回り品小売業</v>
      </c>
      <c r="G60" s="37" t="s">
        <v>334</v>
      </c>
      <c r="H60" s="34" t="str">
        <f t="shared" si="2"/>
        <v>105300管理，補助的経済活動を行う事業所（57織物・衣服・身の回り品小売業） </v>
      </c>
      <c r="I60" s="32" t="s">
        <v>335</v>
      </c>
    </row>
    <row r="61" spans="1:9" ht="30.75" customHeight="1">
      <c r="A61" s="37" t="s">
        <v>336</v>
      </c>
      <c r="B61" s="34" t="s">
        <v>337</v>
      </c>
      <c r="C61" s="35" t="str">
        <f t="shared" si="0"/>
        <v>58　飲食料品小売業</v>
      </c>
      <c r="D61" s="38" t="s">
        <v>338</v>
      </c>
      <c r="E61" s="34" t="s">
        <v>337</v>
      </c>
      <c r="F61" s="34" t="str">
        <f t="shared" si="1"/>
        <v>105500　飲食料品小売業</v>
      </c>
      <c r="G61" s="37" t="s">
        <v>339</v>
      </c>
      <c r="H61" s="34" t="str">
        <f t="shared" si="2"/>
        <v>105500管理，補助的経済活動を行う事業所（58飲食料品小売業） </v>
      </c>
      <c r="I61" s="32" t="s">
        <v>340</v>
      </c>
    </row>
    <row r="62" spans="1:9" ht="30.75" customHeight="1">
      <c r="A62" s="37" t="s">
        <v>341</v>
      </c>
      <c r="B62" s="34" t="s">
        <v>342</v>
      </c>
      <c r="C62" s="35" t="str">
        <f t="shared" si="0"/>
        <v>59　機械器具小売業</v>
      </c>
      <c r="D62" s="38" t="s">
        <v>343</v>
      </c>
      <c r="E62" s="34" t="s">
        <v>344</v>
      </c>
      <c r="F62" s="34" t="str">
        <f t="shared" si="1"/>
        <v>105700自動車・自転車小売業   　　　　</v>
      </c>
      <c r="G62" s="37" t="s">
        <v>345</v>
      </c>
      <c r="H62" s="34" t="str">
        <f t="shared" si="2"/>
        <v>105700管理，補助的経済活動を行う事業所（59機械器具小売業） </v>
      </c>
      <c r="I62" s="32" t="s">
        <v>346</v>
      </c>
    </row>
    <row r="63" spans="1:9" ht="30.75" customHeight="1">
      <c r="A63" s="37" t="s">
        <v>347</v>
      </c>
      <c r="B63" s="34" t="s">
        <v>348</v>
      </c>
      <c r="C63" s="35" t="str">
        <f t="shared" si="0"/>
        <v>60　その他の小売業</v>
      </c>
      <c r="D63" s="38" t="s">
        <v>349</v>
      </c>
      <c r="E63" s="34" t="s">
        <v>350</v>
      </c>
      <c r="F63" s="34" t="str">
        <f t="shared" si="1"/>
        <v>105900家具・じゅう器・機械器具小売業</v>
      </c>
      <c r="G63" s="37" t="s">
        <v>351</v>
      </c>
      <c r="H63" s="34" t="str">
        <f t="shared" si="2"/>
        <v>105900管理，補助的経済活動を行う事業所（60その他の小売業） </v>
      </c>
      <c r="I63" s="32" t="s">
        <v>352</v>
      </c>
    </row>
    <row r="64" spans="1:9" ht="30.75" customHeight="1">
      <c r="A64" s="37" t="s">
        <v>353</v>
      </c>
      <c r="B64" s="34" t="s">
        <v>354</v>
      </c>
      <c r="C64" s="35" t="str">
        <f t="shared" si="0"/>
        <v>61　無店舗小売業</v>
      </c>
      <c r="D64" s="38" t="s">
        <v>355</v>
      </c>
      <c r="E64" s="34" t="s">
        <v>348</v>
      </c>
      <c r="F64" s="34" t="str">
        <f t="shared" si="1"/>
        <v>106100　その他の小売業</v>
      </c>
      <c r="G64" s="37" t="s">
        <v>356</v>
      </c>
      <c r="H64" s="34" t="str">
        <f t="shared" si="2"/>
        <v>106100管理，補助的経済活動を行う事業所（61無店舗小売業） </v>
      </c>
      <c r="I64" s="32" t="s">
        <v>357</v>
      </c>
    </row>
    <row r="65" spans="1:9" ht="30.75" customHeight="1">
      <c r="A65" s="37" t="s">
        <v>358</v>
      </c>
      <c r="B65" s="34" t="s">
        <v>359</v>
      </c>
      <c r="C65" s="35" t="str">
        <f t="shared" si="0"/>
        <v>62　銀行業</v>
      </c>
      <c r="D65" s="38" t="s">
        <v>360</v>
      </c>
      <c r="E65" s="34" t="s">
        <v>359</v>
      </c>
      <c r="F65" s="34" t="str">
        <f t="shared" si="1"/>
        <v>110000　銀行業</v>
      </c>
      <c r="G65" s="37" t="s">
        <v>361</v>
      </c>
      <c r="H65" s="34" t="str">
        <f t="shared" si="2"/>
        <v>110000管理，補助的経済活動を行う事業所（62銀行業） </v>
      </c>
      <c r="I65" s="32" t="s">
        <v>362</v>
      </c>
    </row>
    <row r="66" spans="1:9" ht="30.75" customHeight="1">
      <c r="A66" s="37" t="s">
        <v>363</v>
      </c>
      <c r="B66" s="34" t="s">
        <v>364</v>
      </c>
      <c r="C66" s="35" t="str">
        <f t="shared" si="0"/>
        <v>63　協同組織金融業</v>
      </c>
      <c r="D66" s="38" t="s">
        <v>360</v>
      </c>
      <c r="E66" s="34" t="s">
        <v>364</v>
      </c>
      <c r="F66" s="34" t="str">
        <f t="shared" si="1"/>
        <v>110000　協同組織金融業</v>
      </c>
      <c r="G66" s="37" t="s">
        <v>365</v>
      </c>
      <c r="H66" s="34" t="str">
        <f t="shared" si="2"/>
        <v>110000管理，補助的経済活動を行う事業所（63協同組織金融業） </v>
      </c>
      <c r="I66" s="32" t="s">
        <v>366</v>
      </c>
    </row>
    <row r="67" spans="1:9" ht="30.75" customHeight="1">
      <c r="A67" s="37">
        <v>64</v>
      </c>
      <c r="B67" s="34" t="s">
        <v>367</v>
      </c>
      <c r="C67" s="35" t="str">
        <f aca="true" t="shared" si="3" ref="C67:C97">CONCATENATE(A67,B67)</f>
        <v>64　貸金業，クレジットカード業等非預金信用機関</v>
      </c>
      <c r="D67" s="38" t="s">
        <v>360</v>
      </c>
      <c r="E67" s="34" t="s">
        <v>367</v>
      </c>
      <c r="F67" s="34" t="str">
        <f aca="true" t="shared" si="4" ref="F67:F97">CONCATENATE(D67,E67)</f>
        <v>110000　貸金業，クレジットカード業等非預金信用機関</v>
      </c>
      <c r="G67" s="37" t="s">
        <v>368</v>
      </c>
      <c r="H67" s="34" t="str">
        <f aca="true" t="shared" si="5" ref="H67:H97">CONCATENATE(D67,I67)</f>
        <v>110000管理，補助的経済活動を行う事業所（64貸金業，クレジットカード業等非預金信用機関） </v>
      </c>
      <c r="I67" s="32" t="s">
        <v>369</v>
      </c>
    </row>
    <row r="68" spans="1:9" ht="30.75" customHeight="1">
      <c r="A68" s="37" t="s">
        <v>370</v>
      </c>
      <c r="B68" s="34" t="s">
        <v>371</v>
      </c>
      <c r="C68" s="35" t="str">
        <f t="shared" si="3"/>
        <v>65　金融商品取引業，商品先物取引業</v>
      </c>
      <c r="D68" s="38" t="s">
        <v>360</v>
      </c>
      <c r="E68" s="34" t="s">
        <v>371</v>
      </c>
      <c r="F68" s="34" t="str">
        <f t="shared" si="4"/>
        <v>110000　金融商品取引業，商品先物取引業</v>
      </c>
      <c r="G68" s="37" t="s">
        <v>372</v>
      </c>
      <c r="H68" s="34" t="str">
        <f t="shared" si="5"/>
        <v>110000管理，補助的経済活動を行う事業所（65金融商品取引業，商品先物取引業） </v>
      </c>
      <c r="I68" s="32" t="s">
        <v>373</v>
      </c>
    </row>
    <row r="69" spans="1:9" ht="30.75" customHeight="1">
      <c r="A69" s="37" t="s">
        <v>374</v>
      </c>
      <c r="B69" s="34" t="s">
        <v>375</v>
      </c>
      <c r="C69" s="35" t="str">
        <f t="shared" si="3"/>
        <v>66　補助的金融業等</v>
      </c>
      <c r="D69" s="38" t="s">
        <v>360</v>
      </c>
      <c r="E69" s="34" t="s">
        <v>375</v>
      </c>
      <c r="F69" s="34" t="str">
        <f t="shared" si="4"/>
        <v>110000　補助的金融業等</v>
      </c>
      <c r="G69" s="37" t="s">
        <v>376</v>
      </c>
      <c r="H69" s="34" t="str">
        <f t="shared" si="5"/>
        <v>110000管理，補助的経済活動を行う事業所（66補助的金融業等） </v>
      </c>
      <c r="I69" s="32" t="s">
        <v>377</v>
      </c>
    </row>
    <row r="70" spans="1:9" ht="30.75" customHeight="1">
      <c r="A70" s="37" t="s">
        <v>378</v>
      </c>
      <c r="B70" s="34" t="s">
        <v>379</v>
      </c>
      <c r="C70" s="35" t="str">
        <f t="shared" si="3"/>
        <v>67　保険業（保険媒介代理業，保険サービス業を含む）</v>
      </c>
      <c r="D70" s="38" t="s">
        <v>360</v>
      </c>
      <c r="E70" s="34" t="s">
        <v>379</v>
      </c>
      <c r="F70" s="34" t="str">
        <f t="shared" si="4"/>
        <v>110000　保険業（保険媒介代理業，保険サービス業を含む）</v>
      </c>
      <c r="G70" s="37" t="s">
        <v>380</v>
      </c>
      <c r="H70" s="34" t="str">
        <f t="shared" si="5"/>
        <v>110000管理，補助的経済活動を行う事業所（67保険業） </v>
      </c>
      <c r="I70" s="32" t="s">
        <v>381</v>
      </c>
    </row>
    <row r="71" spans="1:9" ht="30.75" customHeight="1">
      <c r="A71" s="37" t="s">
        <v>382</v>
      </c>
      <c r="B71" s="34" t="s">
        <v>383</v>
      </c>
      <c r="C71" s="35" t="str">
        <f t="shared" si="3"/>
        <v>68　不動産取引業</v>
      </c>
      <c r="D71" s="38" t="s">
        <v>384</v>
      </c>
      <c r="E71" s="34" t="s">
        <v>383</v>
      </c>
      <c r="F71" s="34" t="str">
        <f t="shared" si="4"/>
        <v>120000　不動産取引業</v>
      </c>
      <c r="G71" s="37" t="s">
        <v>385</v>
      </c>
      <c r="H71" s="34" t="str">
        <f t="shared" si="5"/>
        <v>120000管理，補助的経済活動を行う事業所（68不動産取引業） </v>
      </c>
      <c r="I71" s="32" t="s">
        <v>386</v>
      </c>
    </row>
    <row r="72" spans="1:9" ht="30.75" customHeight="1">
      <c r="A72" s="37" t="s">
        <v>387</v>
      </c>
      <c r="B72" s="34" t="s">
        <v>388</v>
      </c>
      <c r="C72" s="35" t="str">
        <f t="shared" si="3"/>
        <v>69　不動産賃貸業・管理業</v>
      </c>
      <c r="D72" s="38" t="s">
        <v>384</v>
      </c>
      <c r="E72" s="34" t="s">
        <v>388</v>
      </c>
      <c r="F72" s="34" t="str">
        <f t="shared" si="4"/>
        <v>120000　不動産賃貸業・管理業</v>
      </c>
      <c r="G72" s="37" t="s">
        <v>389</v>
      </c>
      <c r="H72" s="34" t="str">
        <f t="shared" si="5"/>
        <v>120000管理，補助的経済活動を行う事業所（69不動産賃貸業・管理業） </v>
      </c>
      <c r="I72" s="32" t="s">
        <v>390</v>
      </c>
    </row>
    <row r="73" spans="1:9" ht="30.75" customHeight="1">
      <c r="A73" s="37" t="s">
        <v>391</v>
      </c>
      <c r="B73" s="34" t="s">
        <v>392</v>
      </c>
      <c r="C73" s="35" t="str">
        <f t="shared" si="3"/>
        <v>70　物品賃貸業</v>
      </c>
      <c r="D73" s="38" t="s">
        <v>393</v>
      </c>
      <c r="E73" s="34" t="s">
        <v>392</v>
      </c>
      <c r="F73" s="34" t="str">
        <f t="shared" si="4"/>
        <v>171700　物品賃貸業</v>
      </c>
      <c r="G73" s="37" t="s">
        <v>394</v>
      </c>
      <c r="H73" s="34" t="str">
        <f t="shared" si="5"/>
        <v>171700管理，補助的経済活動を行う事業所（70物品賃貸業） </v>
      </c>
      <c r="I73" s="32" t="s">
        <v>395</v>
      </c>
    </row>
    <row r="74" spans="1:9" ht="30.75" customHeight="1">
      <c r="A74" s="37" t="s">
        <v>396</v>
      </c>
      <c r="B74" s="34" t="s">
        <v>397</v>
      </c>
      <c r="C74" s="35" t="str">
        <f t="shared" si="3"/>
        <v>71　学術・開発研究機関</v>
      </c>
      <c r="D74" s="38" t="s">
        <v>398</v>
      </c>
      <c r="E74" s="34" t="s">
        <v>397</v>
      </c>
      <c r="F74" s="34" t="str">
        <f t="shared" si="4"/>
        <v>170300　学術・開発研究機関</v>
      </c>
      <c r="G74" s="37" t="s">
        <v>399</v>
      </c>
      <c r="H74" s="34" t="str">
        <f t="shared" si="5"/>
        <v>170300管理，補助的経済活動を行う事業所（71学術・開発研究機関） </v>
      </c>
      <c r="I74" s="32" t="s">
        <v>400</v>
      </c>
    </row>
    <row r="75" spans="1:9" ht="30.75" customHeight="1">
      <c r="A75" s="37">
        <v>72</v>
      </c>
      <c r="B75" s="39" t="s">
        <v>401</v>
      </c>
      <c r="C75" s="35" t="str">
        <f t="shared" si="3"/>
        <v>72専門サービス業</v>
      </c>
      <c r="D75" s="38" t="s">
        <v>402</v>
      </c>
      <c r="E75" s="34" t="s">
        <v>401</v>
      </c>
      <c r="F75" s="34" t="str">
        <f t="shared" si="4"/>
        <v>170100専門サービス業</v>
      </c>
      <c r="G75" s="37" t="s">
        <v>403</v>
      </c>
      <c r="H75" s="34" t="str">
        <f t="shared" si="5"/>
        <v>170100管理，補助的経済活動を行う事業所（72専門サービス業） </v>
      </c>
      <c r="I75" s="32" t="s">
        <v>404</v>
      </c>
    </row>
    <row r="76" spans="1:9" ht="30.75" customHeight="1">
      <c r="A76" s="37">
        <v>73</v>
      </c>
      <c r="B76" s="39" t="s">
        <v>405</v>
      </c>
      <c r="C76" s="35" t="str">
        <f t="shared" si="3"/>
        <v>73広告業</v>
      </c>
      <c r="D76" s="38" t="s">
        <v>406</v>
      </c>
      <c r="E76" s="34" t="s">
        <v>407</v>
      </c>
      <c r="F76" s="34" t="str">
        <f t="shared" si="4"/>
        <v>171900　広告業</v>
      </c>
      <c r="G76" s="37" t="s">
        <v>408</v>
      </c>
      <c r="H76" s="34" t="str">
        <f t="shared" si="5"/>
        <v>171900管理，補助的経済活動を行う事業所（73広告業） </v>
      </c>
      <c r="I76" s="32" t="s">
        <v>409</v>
      </c>
    </row>
    <row r="77" spans="1:9" ht="30.75" customHeight="1">
      <c r="A77" s="37" t="s">
        <v>410</v>
      </c>
      <c r="B77" s="34" t="s">
        <v>411</v>
      </c>
      <c r="C77" s="35" t="str">
        <f t="shared" si="3"/>
        <v>74　技術サービス業（他に分類されないもの）</v>
      </c>
      <c r="D77" s="38" t="s">
        <v>402</v>
      </c>
      <c r="E77" s="39" t="s">
        <v>412</v>
      </c>
      <c r="F77" s="34" t="str">
        <f t="shared" si="4"/>
        <v>170100専門サービス業</v>
      </c>
      <c r="G77" s="37" t="s">
        <v>413</v>
      </c>
      <c r="H77" s="34" t="str">
        <f t="shared" si="5"/>
        <v>170100管理，補助的経済活動を行う事業所（74技術サービス業） </v>
      </c>
      <c r="I77" s="32" t="s">
        <v>414</v>
      </c>
    </row>
    <row r="78" spans="1:9" ht="30.75" customHeight="1">
      <c r="A78" s="37">
        <v>75</v>
      </c>
      <c r="B78" s="34" t="s">
        <v>415</v>
      </c>
      <c r="C78" s="35" t="str">
        <f t="shared" si="3"/>
        <v>75　宿泊業</v>
      </c>
      <c r="D78" s="38" t="s">
        <v>416</v>
      </c>
      <c r="E78" s="34" t="s">
        <v>415</v>
      </c>
      <c r="F78" s="34" t="str">
        <f t="shared" si="4"/>
        <v>130500　宿泊業</v>
      </c>
      <c r="G78" s="37" t="s">
        <v>417</v>
      </c>
      <c r="H78" s="34" t="str">
        <f t="shared" si="5"/>
        <v>130500管理，補助的経済活動を行う事業所（75宿泊業） </v>
      </c>
      <c r="I78" s="32" t="s">
        <v>418</v>
      </c>
    </row>
    <row r="79" spans="1:9" ht="30.75" customHeight="1">
      <c r="A79" s="37">
        <v>76</v>
      </c>
      <c r="B79" s="34" t="s">
        <v>419</v>
      </c>
      <c r="C79" s="35" t="str">
        <f t="shared" si="3"/>
        <v>76　飲食店</v>
      </c>
      <c r="D79" s="38" t="s">
        <v>420</v>
      </c>
      <c r="E79" s="34" t="s">
        <v>421</v>
      </c>
      <c r="F79" s="34" t="str">
        <f t="shared" si="4"/>
        <v>130100一般飲食店　</v>
      </c>
      <c r="G79" s="37" t="s">
        <v>422</v>
      </c>
      <c r="H79" s="34" t="str">
        <f t="shared" si="5"/>
        <v>130100管理，補助的経済活動を行う事業所（76飲食店） </v>
      </c>
      <c r="I79" s="32" t="s">
        <v>423</v>
      </c>
    </row>
    <row r="80" spans="1:9" ht="30.75" customHeight="1">
      <c r="A80" s="37" t="s">
        <v>424</v>
      </c>
      <c r="B80" s="34" t="s">
        <v>425</v>
      </c>
      <c r="C80" s="35" t="str">
        <f t="shared" si="3"/>
        <v>77　持ち帰り・配達飲食サービス業</v>
      </c>
      <c r="D80" s="38" t="s">
        <v>338</v>
      </c>
      <c r="E80" s="34" t="s">
        <v>337</v>
      </c>
      <c r="F80" s="34" t="str">
        <f t="shared" si="4"/>
        <v>105500　飲食料品小売業</v>
      </c>
      <c r="G80" s="37" t="s">
        <v>426</v>
      </c>
      <c r="H80" s="34" t="str">
        <f t="shared" si="5"/>
        <v>105500管理，補助的経済活動を行う事業所（77持ち帰り・配達飲食サービス業） </v>
      </c>
      <c r="I80" s="32" t="s">
        <v>427</v>
      </c>
    </row>
    <row r="81" spans="1:9" ht="30.75" customHeight="1">
      <c r="A81" s="37">
        <v>78</v>
      </c>
      <c r="B81" s="34" t="s">
        <v>428</v>
      </c>
      <c r="C81" s="35" t="str">
        <f t="shared" si="3"/>
        <v>78　洗濯・理容・美容・浴場業</v>
      </c>
      <c r="D81" s="38" t="s">
        <v>429</v>
      </c>
      <c r="E81" s="34" t="s">
        <v>428</v>
      </c>
      <c r="F81" s="34" t="str">
        <f t="shared" si="4"/>
        <v>170500　洗濯・理容・美容・浴場業</v>
      </c>
      <c r="G81" s="37" t="s">
        <v>430</v>
      </c>
      <c r="H81" s="34" t="str">
        <f t="shared" si="5"/>
        <v>170500管理，補助的経済活動を行う事業所（78洗濯・理容・美容・浴場業） </v>
      </c>
      <c r="I81" s="32" t="s">
        <v>431</v>
      </c>
    </row>
    <row r="82" spans="1:9" ht="30.75" customHeight="1">
      <c r="A82" s="37" t="s">
        <v>432</v>
      </c>
      <c r="B82" s="34" t="s">
        <v>433</v>
      </c>
      <c r="C82" s="35" t="str">
        <f t="shared" si="3"/>
        <v>79　その他の生活関連サービス業</v>
      </c>
      <c r="D82" s="38" t="s">
        <v>434</v>
      </c>
      <c r="E82" s="34" t="s">
        <v>433</v>
      </c>
      <c r="F82" s="34" t="str">
        <f t="shared" si="4"/>
        <v>170700　その他の生活関連サービス業</v>
      </c>
      <c r="G82" s="37" t="s">
        <v>435</v>
      </c>
      <c r="H82" s="34" t="str">
        <f t="shared" si="5"/>
        <v>170700管理，補助的経済活動を行う事業所（79その他の生活関連サービス業） </v>
      </c>
      <c r="I82" s="32" t="s">
        <v>436</v>
      </c>
    </row>
    <row r="83" spans="1:9" ht="30.75" customHeight="1">
      <c r="A83" s="37" t="s">
        <v>437</v>
      </c>
      <c r="B83" s="34" t="s">
        <v>438</v>
      </c>
      <c r="C83" s="35" t="str">
        <f t="shared" si="3"/>
        <v>80　娯楽業</v>
      </c>
      <c r="D83" s="38" t="s">
        <v>439</v>
      </c>
      <c r="E83" s="34" t="s">
        <v>438</v>
      </c>
      <c r="F83" s="34" t="str">
        <f t="shared" si="4"/>
        <v>170900　娯楽業</v>
      </c>
      <c r="G83" s="37" t="s">
        <v>440</v>
      </c>
      <c r="H83" s="34" t="str">
        <f t="shared" si="5"/>
        <v>170900管理，補助的経済活動を行う事業所（80娯楽業） </v>
      </c>
      <c r="I83" s="32" t="s">
        <v>441</v>
      </c>
    </row>
    <row r="84" spans="1:9" ht="30.75" customHeight="1">
      <c r="A84" s="37" t="s">
        <v>442</v>
      </c>
      <c r="B84" s="34" t="s">
        <v>443</v>
      </c>
      <c r="C84" s="35" t="str">
        <f t="shared" si="3"/>
        <v>81　学校教育</v>
      </c>
      <c r="D84" s="38" t="s">
        <v>444</v>
      </c>
      <c r="E84" s="34" t="s">
        <v>443</v>
      </c>
      <c r="F84" s="34" t="str">
        <f t="shared" si="4"/>
        <v>150000　学校教育</v>
      </c>
      <c r="G84" s="37" t="s">
        <v>445</v>
      </c>
      <c r="H84" s="34" t="str">
        <f t="shared" si="5"/>
        <v>150000管理，補助的経済活動を行う事業所（81学校教育） </v>
      </c>
      <c r="I84" s="32" t="s">
        <v>446</v>
      </c>
    </row>
    <row r="85" spans="1:9" ht="30.75" customHeight="1">
      <c r="A85" s="37">
        <v>82</v>
      </c>
      <c r="B85" s="34" t="s">
        <v>447</v>
      </c>
      <c r="C85" s="35" t="str">
        <f t="shared" si="3"/>
        <v>82　その他の教育，学習支援業</v>
      </c>
      <c r="D85" s="38" t="s">
        <v>444</v>
      </c>
      <c r="E85" s="34" t="s">
        <v>447</v>
      </c>
      <c r="F85" s="34" t="str">
        <f t="shared" si="4"/>
        <v>150000　その他の教育，学習支援業</v>
      </c>
      <c r="G85" s="37" t="s">
        <v>448</v>
      </c>
      <c r="H85" s="34" t="str">
        <f t="shared" si="5"/>
        <v>150000管理，補助的経済活動を行う事業所（82その他の教育，学習支援業） </v>
      </c>
      <c r="I85" s="32" t="s">
        <v>449</v>
      </c>
    </row>
    <row r="86" spans="1:9" ht="30.75" customHeight="1">
      <c r="A86" s="37" t="s">
        <v>450</v>
      </c>
      <c r="B86" s="34" t="s">
        <v>451</v>
      </c>
      <c r="C86" s="35" t="str">
        <f t="shared" si="3"/>
        <v>83　医療業</v>
      </c>
      <c r="D86" s="38" t="s">
        <v>452</v>
      </c>
      <c r="E86" s="34" t="s">
        <v>451</v>
      </c>
      <c r="F86" s="34" t="str">
        <f t="shared" si="4"/>
        <v>140100　医療業</v>
      </c>
      <c r="G86" s="37" t="s">
        <v>453</v>
      </c>
      <c r="H86" s="34" t="str">
        <f t="shared" si="5"/>
        <v>140100管理，補助的経済活動を行う事業所（83医療業） </v>
      </c>
      <c r="I86" s="32" t="s">
        <v>454</v>
      </c>
    </row>
    <row r="87" spans="1:9" ht="30.75" customHeight="1">
      <c r="A87" s="37" t="s">
        <v>455</v>
      </c>
      <c r="B87" s="34" t="s">
        <v>456</v>
      </c>
      <c r="C87" s="35" t="str">
        <f t="shared" si="3"/>
        <v>84　保健衛生</v>
      </c>
      <c r="D87" s="38" t="s">
        <v>457</v>
      </c>
      <c r="E87" s="34" t="s">
        <v>456</v>
      </c>
      <c r="F87" s="34" t="str">
        <f t="shared" si="4"/>
        <v>140300　保健衛生</v>
      </c>
      <c r="G87" s="37" t="s">
        <v>458</v>
      </c>
      <c r="H87" s="34" t="str">
        <f t="shared" si="5"/>
        <v>140300管理，補助的経済活動を行う事業所（84保健衛生） </v>
      </c>
      <c r="I87" s="32" t="s">
        <v>459</v>
      </c>
    </row>
    <row r="88" spans="1:9" ht="30.75" customHeight="1">
      <c r="A88" s="37" t="s">
        <v>460</v>
      </c>
      <c r="B88" s="34" t="s">
        <v>461</v>
      </c>
      <c r="C88" s="35" t="str">
        <f t="shared" si="3"/>
        <v>85　社会保険・社会福祉・介護事業</v>
      </c>
      <c r="D88" s="38" t="s">
        <v>462</v>
      </c>
      <c r="E88" s="34" t="s">
        <v>461</v>
      </c>
      <c r="F88" s="34" t="str">
        <f t="shared" si="4"/>
        <v>140500　社会保険・社会福祉・介護事業</v>
      </c>
      <c r="G88" s="37" t="s">
        <v>463</v>
      </c>
      <c r="H88" s="34" t="str">
        <f t="shared" si="5"/>
        <v>140500管理，補助的経済活動を行う事業所（85社会保険・社会福祉・介護事業） </v>
      </c>
      <c r="I88" s="32" t="s">
        <v>464</v>
      </c>
    </row>
    <row r="89" spans="1:9" ht="30.75" customHeight="1">
      <c r="A89" s="37" t="s">
        <v>465</v>
      </c>
      <c r="B89" s="34" t="s">
        <v>466</v>
      </c>
      <c r="C89" s="35" t="str">
        <f t="shared" si="3"/>
        <v>86　郵便局</v>
      </c>
      <c r="D89" s="38" t="s">
        <v>467</v>
      </c>
      <c r="E89" s="34" t="s">
        <v>466</v>
      </c>
      <c r="F89" s="34" t="str">
        <f t="shared" si="4"/>
        <v>160000　郵便局</v>
      </c>
      <c r="G89" s="37" t="s">
        <v>468</v>
      </c>
      <c r="H89" s="34" t="str">
        <f t="shared" si="5"/>
        <v>160000管理，補助的経済活動を行う事業所（86郵便局） </v>
      </c>
      <c r="I89" s="32" t="s">
        <v>469</v>
      </c>
    </row>
    <row r="90" spans="1:9" ht="30.75" customHeight="1">
      <c r="A90" s="37" t="s">
        <v>470</v>
      </c>
      <c r="B90" s="34" t="s">
        <v>471</v>
      </c>
      <c r="C90" s="35" t="str">
        <f t="shared" si="3"/>
        <v>87　協同組合（他に分類されないもの）</v>
      </c>
      <c r="D90" s="38" t="s">
        <v>467</v>
      </c>
      <c r="E90" s="34" t="s">
        <v>471</v>
      </c>
      <c r="F90" s="34" t="str">
        <f t="shared" si="4"/>
        <v>160000　協同組合（他に分類されないもの）</v>
      </c>
      <c r="G90" s="37" t="s">
        <v>472</v>
      </c>
      <c r="H90" s="34" t="str">
        <f t="shared" si="5"/>
        <v>160000管理，補助的経済活動を行う事業所（87協同組合） </v>
      </c>
      <c r="I90" s="32" t="s">
        <v>473</v>
      </c>
    </row>
    <row r="91" spans="1:9" ht="30.75" customHeight="1">
      <c r="A91" s="37" t="s">
        <v>474</v>
      </c>
      <c r="B91" s="34" t="s">
        <v>475</v>
      </c>
      <c r="C91" s="35" t="str">
        <f t="shared" si="3"/>
        <v>88　廃棄物処理業</v>
      </c>
      <c r="D91" s="38" t="s">
        <v>476</v>
      </c>
      <c r="E91" s="34" t="s">
        <v>475</v>
      </c>
      <c r="F91" s="34" t="str">
        <f t="shared" si="4"/>
        <v>171100　廃棄物処理業</v>
      </c>
      <c r="G91" s="37" t="s">
        <v>477</v>
      </c>
      <c r="H91" s="34" t="str">
        <f t="shared" si="5"/>
        <v>171100管理，補助的経済活動を行う事業所（88廃棄物処理業） </v>
      </c>
      <c r="I91" s="32" t="s">
        <v>478</v>
      </c>
    </row>
    <row r="92" spans="1:9" ht="30.75" customHeight="1">
      <c r="A92" s="37" t="s">
        <v>479</v>
      </c>
      <c r="B92" s="34" t="s">
        <v>480</v>
      </c>
      <c r="C92" s="35" t="str">
        <f t="shared" si="3"/>
        <v>89　自動車整備業</v>
      </c>
      <c r="D92" s="38" t="s">
        <v>481</v>
      </c>
      <c r="E92" s="34" t="s">
        <v>480</v>
      </c>
      <c r="F92" s="34" t="str">
        <f t="shared" si="4"/>
        <v>171300　自動車整備業</v>
      </c>
      <c r="G92" s="37" t="s">
        <v>482</v>
      </c>
      <c r="H92" s="34" t="str">
        <f t="shared" si="5"/>
        <v>171300管理，補助的経済活動を行う事業所（89自動車整備業） </v>
      </c>
      <c r="I92" s="32" t="s">
        <v>483</v>
      </c>
    </row>
    <row r="93" spans="1:9" ht="30.75" customHeight="1">
      <c r="A93" s="37" t="s">
        <v>484</v>
      </c>
      <c r="B93" s="34" t="s">
        <v>485</v>
      </c>
      <c r="C93" s="35" t="str">
        <f t="shared" si="3"/>
        <v>90　機械等修理業（別掲を除く）</v>
      </c>
      <c r="D93" s="38" t="s">
        <v>486</v>
      </c>
      <c r="E93" s="34" t="s">
        <v>485</v>
      </c>
      <c r="F93" s="34" t="str">
        <f t="shared" si="4"/>
        <v>171500　機械等修理業（別掲を除く）</v>
      </c>
      <c r="G93" s="37" t="s">
        <v>487</v>
      </c>
      <c r="H93" s="34" t="str">
        <f t="shared" si="5"/>
        <v>171500管理，補助的経済活動を行う事業所（90機械等修理業） </v>
      </c>
      <c r="I93" s="32" t="s">
        <v>488</v>
      </c>
    </row>
    <row r="94" spans="1:9" ht="30.75" customHeight="1">
      <c r="A94" s="37">
        <v>91</v>
      </c>
      <c r="B94" s="40" t="s">
        <v>489</v>
      </c>
      <c r="C94" s="35" t="str">
        <f t="shared" si="3"/>
        <v>91　職業紹介・労働者派遣業</v>
      </c>
      <c r="D94" s="38" t="s">
        <v>490</v>
      </c>
      <c r="E94" s="34" t="s">
        <v>491</v>
      </c>
      <c r="F94" s="34" t="str">
        <f t="shared" si="4"/>
        <v>172100　その他の事業サービス業</v>
      </c>
      <c r="G94" s="37" t="s">
        <v>492</v>
      </c>
      <c r="H94" s="34" t="str">
        <f t="shared" si="5"/>
        <v>172100管理，補助的経済活動を行う事業所（91職業紹介・労働者派遣業） </v>
      </c>
      <c r="I94" s="32" t="s">
        <v>493</v>
      </c>
    </row>
    <row r="95" spans="1:9" ht="30.75" customHeight="1">
      <c r="A95" s="37" t="s">
        <v>494</v>
      </c>
      <c r="B95" s="34" t="s">
        <v>491</v>
      </c>
      <c r="C95" s="35" t="str">
        <f t="shared" si="3"/>
        <v>92　その他の事業サービス業</v>
      </c>
      <c r="D95" s="38" t="s">
        <v>490</v>
      </c>
      <c r="E95" s="34" t="s">
        <v>491</v>
      </c>
      <c r="F95" s="34" t="str">
        <f t="shared" si="4"/>
        <v>172100　その他の事業サービス業</v>
      </c>
      <c r="G95" s="37" t="s">
        <v>495</v>
      </c>
      <c r="H95" s="34" t="str">
        <f t="shared" si="5"/>
        <v>172100管理，補助的経済活動を行う事業所（92その他の事業サービス業） </v>
      </c>
      <c r="I95" s="32" t="s">
        <v>496</v>
      </c>
    </row>
    <row r="96" spans="1:9" ht="30.75" customHeight="1">
      <c r="A96" s="37" t="s">
        <v>497</v>
      </c>
      <c r="B96" s="34" t="s">
        <v>498</v>
      </c>
      <c r="C96" s="35" t="str">
        <f t="shared" si="3"/>
        <v>93　政治・経済・文化団体</v>
      </c>
      <c r="D96" s="38" t="s">
        <v>499</v>
      </c>
      <c r="E96" s="34" t="s">
        <v>498</v>
      </c>
      <c r="F96" s="34" t="str">
        <f t="shared" si="4"/>
        <v>172300　政治・経済・文化団体</v>
      </c>
      <c r="G96" s="37" t="s">
        <v>500</v>
      </c>
      <c r="H96" s="34" t="str">
        <f t="shared" si="5"/>
        <v>172300経済団体 </v>
      </c>
      <c r="I96" s="32" t="s">
        <v>501</v>
      </c>
    </row>
    <row r="97" spans="1:9" ht="30.75" customHeight="1">
      <c r="A97" s="37" t="s">
        <v>502</v>
      </c>
      <c r="B97" s="34" t="s">
        <v>503</v>
      </c>
      <c r="C97" s="35" t="str">
        <f t="shared" si="3"/>
        <v>94　宗教</v>
      </c>
      <c r="D97" s="38" t="s">
        <v>499</v>
      </c>
      <c r="E97" s="34" t="s">
        <v>503</v>
      </c>
      <c r="F97" s="34" t="str">
        <f t="shared" si="4"/>
        <v>172300　宗教</v>
      </c>
      <c r="G97" s="37" t="s">
        <v>504</v>
      </c>
      <c r="H97" s="34" t="str">
        <f t="shared" si="5"/>
        <v>172300神道系宗教 </v>
      </c>
      <c r="I97" s="32" t="s">
        <v>505</v>
      </c>
    </row>
    <row r="98" spans="1:9" ht="30.75" customHeight="1">
      <c r="A98" s="37" t="s">
        <v>506</v>
      </c>
      <c r="B98" s="34" t="s">
        <v>507</v>
      </c>
      <c r="C98" s="35" t="str">
        <f>CONCATENATE(A98,B98)</f>
        <v>95　その他のサービス業</v>
      </c>
      <c r="D98" s="38" t="s">
        <v>499</v>
      </c>
      <c r="E98" s="34" t="s">
        <v>507</v>
      </c>
      <c r="F98" s="34" t="str">
        <f>CONCATENATE(D98,E98)</f>
        <v>172300　その他のサービス業</v>
      </c>
      <c r="G98" s="37" t="s">
        <v>508</v>
      </c>
      <c r="H98" s="34" t="str">
        <f>CONCATENATE(D98,I98)</f>
        <v>172300管理，補助的経済活動を行う事業所（95その他のサービス業） </v>
      </c>
      <c r="I98" s="32" t="s">
        <v>509</v>
      </c>
    </row>
    <row r="99" spans="1:9" ht="30.75" customHeight="1">
      <c r="A99" s="37" t="s">
        <v>510</v>
      </c>
      <c r="B99" s="34" t="s">
        <v>511</v>
      </c>
      <c r="C99" s="35" t="str">
        <f>CONCATENATE(A99,B99)</f>
        <v>96　外国公務</v>
      </c>
      <c r="D99" s="38" t="s">
        <v>499</v>
      </c>
      <c r="E99" s="34" t="s">
        <v>511</v>
      </c>
      <c r="F99" s="34" t="str">
        <f>CONCATENATE(D99,E99)</f>
        <v>172300　外国公務</v>
      </c>
      <c r="G99" s="37" t="s">
        <v>512</v>
      </c>
      <c r="H99" s="34" t="str">
        <f>CONCATENATE(D99,I99)</f>
        <v>172300外国公館 </v>
      </c>
      <c r="I99" s="32" t="s">
        <v>513</v>
      </c>
    </row>
    <row r="100" spans="1:9" ht="30.75" customHeight="1">
      <c r="A100" s="37">
        <v>97</v>
      </c>
      <c r="B100" s="34" t="s">
        <v>514</v>
      </c>
      <c r="C100" s="35" t="str">
        <f>CONCATENATE(A100,B100)</f>
        <v>97　国家公務</v>
      </c>
      <c r="D100" s="38" t="s">
        <v>499</v>
      </c>
      <c r="E100" s="34" t="s">
        <v>514</v>
      </c>
      <c r="F100" s="34" t="str">
        <f>CONCATENATE(D100,E100)</f>
        <v>172300　国家公務</v>
      </c>
      <c r="G100" s="37" t="s">
        <v>515</v>
      </c>
      <c r="H100" s="34" t="str">
        <f>CONCATENATE(D100,I100)</f>
        <v>172300立法機関 </v>
      </c>
      <c r="I100" s="32" t="s">
        <v>516</v>
      </c>
    </row>
    <row r="101" spans="1:9" ht="30.75" customHeight="1">
      <c r="A101" s="37" t="s">
        <v>517</v>
      </c>
      <c r="B101" s="34" t="s">
        <v>518</v>
      </c>
      <c r="C101" s="35" t="str">
        <f>CONCATENATE(A101,B101)</f>
        <v>98　地方公務</v>
      </c>
      <c r="D101" s="38" t="s">
        <v>499</v>
      </c>
      <c r="E101" s="34" t="s">
        <v>518</v>
      </c>
      <c r="F101" s="34" t="str">
        <f>CONCATENATE(D101,E101)</f>
        <v>172300　地方公務</v>
      </c>
      <c r="G101" s="37" t="s">
        <v>519</v>
      </c>
      <c r="H101" s="34" t="str">
        <f>CONCATENATE(D101,I101)</f>
        <v>172300都道府県機関 </v>
      </c>
      <c r="I101" s="32" t="s">
        <v>520</v>
      </c>
    </row>
    <row r="102" spans="1:9" ht="30.75" customHeight="1">
      <c r="A102" s="37" t="s">
        <v>521</v>
      </c>
      <c r="B102" s="34" t="s">
        <v>522</v>
      </c>
      <c r="C102" s="35" t="str">
        <f>CONCATENATE(A102,B102)</f>
        <v>99分類不能の産業</v>
      </c>
      <c r="D102" s="38" t="s">
        <v>523</v>
      </c>
      <c r="E102" s="34" t="s">
        <v>522</v>
      </c>
      <c r="F102" s="34" t="str">
        <f>CONCATENATE(D102,E102)</f>
        <v>990000分類不能の産業</v>
      </c>
      <c r="G102" s="37" t="s">
        <v>524</v>
      </c>
      <c r="H102" s="34" t="str">
        <f>CONCATENATE(D102,I102)</f>
        <v>990000分類不能の産業 </v>
      </c>
      <c r="I102" s="32" t="s">
        <v>525</v>
      </c>
    </row>
  </sheetData>
  <sheetProtection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>
    <tabColor rgb="FF92D050"/>
    <pageSetUpPr fitToPage="1"/>
  </sheetPr>
  <dimension ref="A2:T39"/>
  <sheetViews>
    <sheetView showGridLines="0" zoomScaleSheetLayoutView="80" zoomScalePageLayoutView="0" workbookViewId="0" topLeftCell="A1">
      <pane ySplit="3" topLeftCell="A4" activePane="bottomLeft" state="frozen"/>
      <selection pane="topLeft" activeCell="I5" sqref="I5"/>
      <selection pane="bottomLeft" activeCell="A1" sqref="A1"/>
    </sheetView>
  </sheetViews>
  <sheetFormatPr defaultColWidth="9.140625" defaultRowHeight="15"/>
  <cols>
    <col min="1" max="1" width="3.7109375" style="5" customWidth="1"/>
    <col min="2" max="4" width="3.7109375" style="1" customWidth="1"/>
    <col min="5" max="5" width="16.421875" style="85" customWidth="1"/>
    <col min="6" max="6" width="16.140625" style="80" customWidth="1"/>
    <col min="7" max="7" width="9.140625" style="1" customWidth="1"/>
    <col min="8" max="8" width="6.421875" style="5" customWidth="1"/>
    <col min="9" max="10" width="11.57421875" style="1" customWidth="1"/>
    <col min="11" max="14" width="15.140625" style="1" customWidth="1"/>
    <col min="15" max="15" width="5.28125" style="5" customWidth="1"/>
    <col min="16" max="16" width="9.00390625" style="5" customWidth="1"/>
    <col min="17" max="17" width="15.140625" style="1" customWidth="1"/>
    <col min="18" max="18" width="12.7109375" style="86" bestFit="1" customWidth="1"/>
    <col min="19" max="16384" width="9.00390625" style="1" customWidth="1"/>
  </cols>
  <sheetData>
    <row r="1" ht="13.5"/>
    <row r="2" ht="13.5">
      <c r="B2" s="246" t="s">
        <v>583</v>
      </c>
    </row>
    <row r="3" ht="13.5"/>
    <row r="4" spans="1:6" ht="13.5" customHeight="1">
      <c r="A4" s="590" t="s">
        <v>757</v>
      </c>
      <c r="B4" s="590"/>
      <c r="C4" s="590"/>
      <c r="D4" s="590"/>
      <c r="E4" s="590"/>
      <c r="F4" s="5"/>
    </row>
    <row r="5" spans="1:6" ht="13.5" customHeight="1">
      <c r="A5" s="11"/>
      <c r="B5" s="11"/>
      <c r="C5" s="11"/>
      <c r="D5" s="11"/>
      <c r="E5" s="111"/>
      <c r="F5" s="5"/>
    </row>
    <row r="6" spans="1:6" ht="13.5" customHeight="1">
      <c r="A6" s="11"/>
      <c r="B6" s="238" t="s">
        <v>669</v>
      </c>
      <c r="C6" s="239"/>
      <c r="D6" s="240"/>
      <c r="E6" s="241"/>
      <c r="F6" s="88" t="s">
        <v>15</v>
      </c>
    </row>
    <row r="7" spans="1:6" ht="13.5" customHeight="1">
      <c r="A7" s="11"/>
      <c r="B7" s="11"/>
      <c r="C7" s="11"/>
      <c r="D7" s="11"/>
      <c r="E7" s="111"/>
      <c r="F7" s="133" t="s">
        <v>574</v>
      </c>
    </row>
    <row r="8" spans="1:15" ht="13.5" customHeight="1">
      <c r="A8" s="11"/>
      <c r="B8" s="11"/>
      <c r="C8" s="11"/>
      <c r="D8" s="11"/>
      <c r="E8" s="111"/>
      <c r="F8" s="5"/>
      <c r="N8" s="1" t="s">
        <v>19</v>
      </c>
      <c r="O8" s="89"/>
    </row>
    <row r="9" spans="1:12" ht="13.5" customHeight="1">
      <c r="A9" s="11"/>
      <c r="F9" s="5"/>
      <c r="K9" s="2" t="s">
        <v>31</v>
      </c>
      <c r="L9" s="8" t="str">
        <f>IF('基本情報入力（使い方）'!$C$11="","",'基本情報入力（使い方）'!$C$11)</f>
        <v>Ｂ金属株式会社</v>
      </c>
    </row>
    <row r="10" spans="1:6" ht="13.5" customHeight="1" thickBot="1">
      <c r="A10" s="11"/>
      <c r="F10" s="5"/>
    </row>
    <row r="11" spans="1:17" ht="27" customHeight="1">
      <c r="A11" s="591" t="s">
        <v>1</v>
      </c>
      <c r="B11" s="583" t="s">
        <v>2</v>
      </c>
      <c r="C11" s="583"/>
      <c r="D11" s="582"/>
      <c r="E11" s="112" t="s">
        <v>3</v>
      </c>
      <c r="F11" s="3" t="s">
        <v>4</v>
      </c>
      <c r="G11" s="3" t="s">
        <v>5</v>
      </c>
      <c r="H11" s="83" t="s">
        <v>6</v>
      </c>
      <c r="I11" s="3" t="s">
        <v>0</v>
      </c>
      <c r="J11" s="3" t="s">
        <v>0</v>
      </c>
      <c r="K11" s="583" t="s">
        <v>7</v>
      </c>
      <c r="L11" s="582"/>
      <c r="M11" s="581" t="s">
        <v>561</v>
      </c>
      <c r="N11" s="582"/>
      <c r="O11" s="584" t="s">
        <v>39</v>
      </c>
      <c r="Q11" s="126" t="s">
        <v>562</v>
      </c>
    </row>
    <row r="12" spans="1:17" ht="42" customHeight="1" thickBot="1">
      <c r="A12" s="592"/>
      <c r="B12" s="92" t="s">
        <v>9</v>
      </c>
      <c r="C12" s="92" t="s">
        <v>10</v>
      </c>
      <c r="D12" s="93" t="s">
        <v>11</v>
      </c>
      <c r="E12" s="113"/>
      <c r="F12" s="95"/>
      <c r="G12" s="81"/>
      <c r="H12" s="4"/>
      <c r="I12" s="81" t="s">
        <v>12</v>
      </c>
      <c r="J12" s="81" t="s">
        <v>24</v>
      </c>
      <c r="K12" s="41" t="s">
        <v>13</v>
      </c>
      <c r="L12" s="4" t="s">
        <v>22</v>
      </c>
      <c r="M12" s="4" t="s">
        <v>744</v>
      </c>
      <c r="N12" s="4" t="s">
        <v>745</v>
      </c>
      <c r="O12" s="585"/>
      <c r="Q12" s="127" t="s">
        <v>560</v>
      </c>
    </row>
    <row r="13" spans="1:18" ht="30.75" customHeight="1">
      <c r="A13" s="179">
        <v>1</v>
      </c>
      <c r="B13" s="586"/>
      <c r="C13" s="587"/>
      <c r="D13" s="587"/>
      <c r="E13" s="73" t="s">
        <v>585</v>
      </c>
      <c r="F13" s="74" t="s">
        <v>586</v>
      </c>
      <c r="G13" s="169">
        <v>1</v>
      </c>
      <c r="H13" s="162" t="s">
        <v>587</v>
      </c>
      <c r="I13" s="146">
        <f aca="true" t="shared" si="0" ref="I13:I32">IF(J13="","",ROUNDDOWN(J13*(1+O13/100),0))</f>
        <v>2138400</v>
      </c>
      <c r="J13" s="148">
        <v>1980000</v>
      </c>
      <c r="K13" s="146">
        <f aca="true" t="shared" si="1" ref="K13:K32">IF(L13="","",ROUNDDOWN(L13*(1+O13/100),0))</f>
        <v>2138400</v>
      </c>
      <c r="L13" s="146">
        <f>IF(OR(J13="",G13=""),"",ROUNDDOWN(J13*G13,0))</f>
        <v>1980000</v>
      </c>
      <c r="M13" s="147">
        <f>L13</f>
        <v>1980000</v>
      </c>
      <c r="N13" s="160">
        <v>1980000</v>
      </c>
      <c r="O13" s="114">
        <v>8</v>
      </c>
      <c r="P13" s="1"/>
      <c r="Q13" s="183">
        <f>IF(N13="","",ROUNDDOWN(N13/G13*2/3,0)*G13)</f>
        <v>1320000</v>
      </c>
      <c r="R13" s="1"/>
    </row>
    <row r="14" spans="1:18" ht="30.75" customHeight="1">
      <c r="A14" s="180"/>
      <c r="B14" s="586"/>
      <c r="C14" s="587"/>
      <c r="D14" s="587"/>
      <c r="E14" s="75"/>
      <c r="F14" s="74"/>
      <c r="G14" s="170"/>
      <c r="H14" s="162"/>
      <c r="I14" s="146">
        <f t="shared" si="0"/>
      </c>
      <c r="J14" s="148"/>
      <c r="K14" s="146">
        <f t="shared" si="1"/>
      </c>
      <c r="L14" s="146">
        <f aca="true" t="shared" si="2" ref="L14:L32">IF(OR(J14="",G14=""),"",ROUNDDOWN(J14*G14,0))</f>
      </c>
      <c r="M14" s="147">
        <f aca="true" t="shared" si="3" ref="M14:M32">L14</f>
      </c>
      <c r="N14" s="160" t="s">
        <v>747</v>
      </c>
      <c r="O14" s="114">
        <v>8</v>
      </c>
      <c r="Q14" s="183">
        <f aca="true" t="shared" si="4" ref="Q14:Q32">IF(N14="","",ROUNDDOWN(N14/G14*2/3,0)*G14)</f>
      </c>
      <c r="R14" s="7"/>
    </row>
    <row r="15" spans="1:18" ht="30.75" customHeight="1">
      <c r="A15" s="179"/>
      <c r="B15" s="586"/>
      <c r="C15" s="587"/>
      <c r="D15" s="587"/>
      <c r="E15" s="75"/>
      <c r="F15" s="75"/>
      <c r="G15" s="169"/>
      <c r="H15" s="162"/>
      <c r="I15" s="146">
        <f t="shared" si="0"/>
      </c>
      <c r="J15" s="148"/>
      <c r="K15" s="146">
        <f t="shared" si="1"/>
      </c>
      <c r="L15" s="146">
        <f t="shared" si="2"/>
      </c>
      <c r="M15" s="147">
        <f t="shared" si="3"/>
      </c>
      <c r="N15" s="160" t="s">
        <v>747</v>
      </c>
      <c r="O15" s="114">
        <v>8</v>
      </c>
      <c r="P15" s="86"/>
      <c r="Q15" s="183">
        <f t="shared" si="4"/>
      </c>
      <c r="R15" s="7"/>
    </row>
    <row r="16" spans="1:18" s="10" customFormat="1" ht="30.75" customHeight="1">
      <c r="A16" s="180"/>
      <c r="B16" s="586"/>
      <c r="C16" s="587"/>
      <c r="D16" s="587"/>
      <c r="E16" s="75"/>
      <c r="F16" s="75"/>
      <c r="G16" s="169"/>
      <c r="H16" s="162"/>
      <c r="I16" s="146">
        <f t="shared" si="0"/>
      </c>
      <c r="J16" s="148"/>
      <c r="K16" s="146">
        <f t="shared" si="1"/>
      </c>
      <c r="L16" s="146">
        <f t="shared" si="2"/>
      </c>
      <c r="M16" s="147">
        <f t="shared" si="3"/>
      </c>
      <c r="N16" s="160" t="s">
        <v>747</v>
      </c>
      <c r="O16" s="114">
        <v>8</v>
      </c>
      <c r="P16" s="86"/>
      <c r="Q16" s="183">
        <f t="shared" si="4"/>
      </c>
      <c r="R16" s="7"/>
    </row>
    <row r="17" spans="1:18" ht="30.75" customHeight="1">
      <c r="A17" s="179"/>
      <c r="B17" s="586"/>
      <c r="C17" s="587"/>
      <c r="D17" s="587"/>
      <c r="E17" s="75"/>
      <c r="F17" s="75"/>
      <c r="G17" s="169"/>
      <c r="H17" s="162"/>
      <c r="I17" s="146">
        <f t="shared" si="0"/>
      </c>
      <c r="J17" s="148"/>
      <c r="K17" s="146">
        <f t="shared" si="1"/>
      </c>
      <c r="L17" s="146">
        <f t="shared" si="2"/>
      </c>
      <c r="M17" s="147">
        <f t="shared" si="3"/>
      </c>
      <c r="N17" s="160" t="s">
        <v>747</v>
      </c>
      <c r="O17" s="114">
        <v>8</v>
      </c>
      <c r="P17" s="86"/>
      <c r="Q17" s="183">
        <f t="shared" si="4"/>
      </c>
      <c r="R17" s="7"/>
    </row>
    <row r="18" spans="1:17" ht="30.75" customHeight="1">
      <c r="A18" s="180"/>
      <c r="B18" s="586"/>
      <c r="C18" s="587"/>
      <c r="D18" s="587"/>
      <c r="E18" s="75"/>
      <c r="F18" s="75"/>
      <c r="G18" s="169"/>
      <c r="H18" s="162"/>
      <c r="I18" s="146">
        <f t="shared" si="0"/>
      </c>
      <c r="J18" s="148"/>
      <c r="K18" s="146">
        <f t="shared" si="1"/>
      </c>
      <c r="L18" s="146">
        <f t="shared" si="2"/>
      </c>
      <c r="M18" s="147">
        <f t="shared" si="3"/>
      </c>
      <c r="N18" s="160" t="s">
        <v>747</v>
      </c>
      <c r="O18" s="114">
        <v>8</v>
      </c>
      <c r="P18" s="86"/>
      <c r="Q18" s="183">
        <f t="shared" si="4"/>
      </c>
    </row>
    <row r="19" spans="1:17" ht="30.75" customHeight="1">
      <c r="A19" s="179"/>
      <c r="B19" s="586"/>
      <c r="C19" s="587"/>
      <c r="D19" s="587"/>
      <c r="E19" s="75"/>
      <c r="F19" s="98"/>
      <c r="G19" s="169"/>
      <c r="H19" s="162"/>
      <c r="I19" s="146">
        <f t="shared" si="0"/>
      </c>
      <c r="J19" s="148"/>
      <c r="K19" s="146">
        <f t="shared" si="1"/>
      </c>
      <c r="L19" s="146">
        <f t="shared" si="2"/>
      </c>
      <c r="M19" s="147">
        <f t="shared" si="3"/>
      </c>
      <c r="N19" s="160" t="s">
        <v>747</v>
      </c>
      <c r="O19" s="114">
        <v>8</v>
      </c>
      <c r="P19" s="86"/>
      <c r="Q19" s="183">
        <f t="shared" si="4"/>
      </c>
    </row>
    <row r="20" spans="1:18" s="10" customFormat="1" ht="30.75" customHeight="1">
      <c r="A20" s="180"/>
      <c r="B20" s="586"/>
      <c r="C20" s="587"/>
      <c r="D20" s="587"/>
      <c r="E20" s="75"/>
      <c r="F20" s="75"/>
      <c r="G20" s="169"/>
      <c r="H20" s="162"/>
      <c r="I20" s="146">
        <f t="shared" si="0"/>
      </c>
      <c r="J20" s="148"/>
      <c r="K20" s="146">
        <f t="shared" si="1"/>
      </c>
      <c r="L20" s="146">
        <f t="shared" si="2"/>
      </c>
      <c r="M20" s="147">
        <f t="shared" si="3"/>
      </c>
      <c r="N20" s="160" t="s">
        <v>747</v>
      </c>
      <c r="O20" s="114">
        <v>8</v>
      </c>
      <c r="P20" s="121"/>
      <c r="Q20" s="183">
        <f t="shared" si="4"/>
      </c>
      <c r="R20" s="122"/>
    </row>
    <row r="21" spans="1:17" ht="30.75" customHeight="1">
      <c r="A21" s="179"/>
      <c r="B21" s="586"/>
      <c r="C21" s="587"/>
      <c r="D21" s="587"/>
      <c r="E21" s="75"/>
      <c r="F21" s="75"/>
      <c r="G21" s="169"/>
      <c r="H21" s="162"/>
      <c r="I21" s="146">
        <f t="shared" si="0"/>
      </c>
      <c r="J21" s="148"/>
      <c r="K21" s="146">
        <f t="shared" si="1"/>
      </c>
      <c r="L21" s="146">
        <f t="shared" si="2"/>
      </c>
      <c r="M21" s="147">
        <f t="shared" si="3"/>
      </c>
      <c r="N21" s="160" t="s">
        <v>747</v>
      </c>
      <c r="O21" s="114">
        <v>8</v>
      </c>
      <c r="Q21" s="183">
        <f t="shared" si="4"/>
      </c>
    </row>
    <row r="22" spans="1:17" ht="30.75" customHeight="1">
      <c r="A22" s="180"/>
      <c r="B22" s="586"/>
      <c r="C22" s="587"/>
      <c r="D22" s="587"/>
      <c r="E22" s="75"/>
      <c r="F22" s="75"/>
      <c r="G22" s="169"/>
      <c r="H22" s="162"/>
      <c r="I22" s="146">
        <f t="shared" si="0"/>
      </c>
      <c r="J22" s="148"/>
      <c r="K22" s="146">
        <f t="shared" si="1"/>
      </c>
      <c r="L22" s="146">
        <f t="shared" si="2"/>
      </c>
      <c r="M22" s="147">
        <f t="shared" si="3"/>
      </c>
      <c r="N22" s="160" t="s">
        <v>747</v>
      </c>
      <c r="O22" s="114">
        <v>8</v>
      </c>
      <c r="Q22" s="183">
        <f t="shared" si="4"/>
      </c>
    </row>
    <row r="23" spans="1:17" ht="30.75" customHeight="1">
      <c r="A23" s="179"/>
      <c r="B23" s="586"/>
      <c r="C23" s="587"/>
      <c r="D23" s="587"/>
      <c r="E23" s="75"/>
      <c r="F23" s="75"/>
      <c r="G23" s="169"/>
      <c r="H23" s="162"/>
      <c r="I23" s="146">
        <f t="shared" si="0"/>
      </c>
      <c r="J23" s="148"/>
      <c r="K23" s="146">
        <f t="shared" si="1"/>
      </c>
      <c r="L23" s="146">
        <f t="shared" si="2"/>
      </c>
      <c r="M23" s="147">
        <f t="shared" si="3"/>
      </c>
      <c r="N23" s="160" t="s">
        <v>747</v>
      </c>
      <c r="O23" s="114">
        <v>8</v>
      </c>
      <c r="Q23" s="183">
        <f t="shared" si="4"/>
      </c>
    </row>
    <row r="24" spans="1:17" ht="30.75" customHeight="1">
      <c r="A24" s="180"/>
      <c r="B24" s="586"/>
      <c r="C24" s="587"/>
      <c r="D24" s="587"/>
      <c r="E24" s="75"/>
      <c r="F24" s="75"/>
      <c r="G24" s="169"/>
      <c r="H24" s="162"/>
      <c r="I24" s="146">
        <f t="shared" si="0"/>
      </c>
      <c r="J24" s="148"/>
      <c r="K24" s="146">
        <f t="shared" si="1"/>
      </c>
      <c r="L24" s="146">
        <f t="shared" si="2"/>
      </c>
      <c r="M24" s="147">
        <f t="shared" si="3"/>
      </c>
      <c r="N24" s="160" t="s">
        <v>747</v>
      </c>
      <c r="O24" s="114">
        <v>8</v>
      </c>
      <c r="Q24" s="183">
        <f t="shared" si="4"/>
      </c>
    </row>
    <row r="25" spans="1:17" ht="30.75" customHeight="1">
      <c r="A25" s="179"/>
      <c r="B25" s="586"/>
      <c r="C25" s="587"/>
      <c r="D25" s="587"/>
      <c r="E25" s="75"/>
      <c r="F25" s="75"/>
      <c r="G25" s="169"/>
      <c r="H25" s="162"/>
      <c r="I25" s="146">
        <f t="shared" si="0"/>
      </c>
      <c r="J25" s="148"/>
      <c r="K25" s="146">
        <f t="shared" si="1"/>
      </c>
      <c r="L25" s="146">
        <f t="shared" si="2"/>
      </c>
      <c r="M25" s="147">
        <f t="shared" si="3"/>
      </c>
      <c r="N25" s="160" t="s">
        <v>747</v>
      </c>
      <c r="O25" s="114">
        <v>8</v>
      </c>
      <c r="Q25" s="183">
        <f t="shared" si="4"/>
      </c>
    </row>
    <row r="26" spans="1:17" ht="30.75" customHeight="1">
      <c r="A26" s="180"/>
      <c r="B26" s="586"/>
      <c r="C26" s="587"/>
      <c r="D26" s="587"/>
      <c r="E26" s="76"/>
      <c r="F26" s="75"/>
      <c r="G26" s="169"/>
      <c r="H26" s="162"/>
      <c r="I26" s="146">
        <f t="shared" si="0"/>
      </c>
      <c r="J26" s="148"/>
      <c r="K26" s="146">
        <f t="shared" si="1"/>
      </c>
      <c r="L26" s="146">
        <f t="shared" si="2"/>
      </c>
      <c r="M26" s="147">
        <f t="shared" si="3"/>
      </c>
      <c r="N26" s="160" t="s">
        <v>747</v>
      </c>
      <c r="O26" s="114">
        <v>8</v>
      </c>
      <c r="Q26" s="183">
        <f t="shared" si="4"/>
      </c>
    </row>
    <row r="27" spans="1:17" ht="30.75" customHeight="1">
      <c r="A27" s="179"/>
      <c r="B27" s="586"/>
      <c r="C27" s="587"/>
      <c r="D27" s="587"/>
      <c r="E27" s="76"/>
      <c r="F27" s="75"/>
      <c r="G27" s="169"/>
      <c r="H27" s="162"/>
      <c r="I27" s="146">
        <f t="shared" si="0"/>
      </c>
      <c r="J27" s="148"/>
      <c r="K27" s="146">
        <f t="shared" si="1"/>
      </c>
      <c r="L27" s="146">
        <f t="shared" si="2"/>
      </c>
      <c r="M27" s="147">
        <f t="shared" si="3"/>
      </c>
      <c r="N27" s="160" t="s">
        <v>747</v>
      </c>
      <c r="O27" s="114">
        <v>8</v>
      </c>
      <c r="Q27" s="183">
        <f t="shared" si="4"/>
      </c>
    </row>
    <row r="28" spans="1:17" ht="30.75" customHeight="1">
      <c r="A28" s="180"/>
      <c r="B28" s="586"/>
      <c r="C28" s="587"/>
      <c r="D28" s="587"/>
      <c r="E28" s="75"/>
      <c r="F28" s="75"/>
      <c r="G28" s="169"/>
      <c r="H28" s="162"/>
      <c r="I28" s="146">
        <f t="shared" si="0"/>
      </c>
      <c r="J28" s="148"/>
      <c r="K28" s="146">
        <f t="shared" si="1"/>
      </c>
      <c r="L28" s="146">
        <f t="shared" si="2"/>
      </c>
      <c r="M28" s="147">
        <f t="shared" si="3"/>
      </c>
      <c r="N28" s="160" t="s">
        <v>747</v>
      </c>
      <c r="O28" s="114">
        <v>8</v>
      </c>
      <c r="Q28" s="183">
        <f t="shared" si="4"/>
      </c>
    </row>
    <row r="29" spans="1:17" ht="30.75" customHeight="1">
      <c r="A29" s="179"/>
      <c r="B29" s="586"/>
      <c r="C29" s="587"/>
      <c r="D29" s="587"/>
      <c r="E29" s="75"/>
      <c r="F29" s="75"/>
      <c r="G29" s="169"/>
      <c r="H29" s="162"/>
      <c r="I29" s="146">
        <f t="shared" si="0"/>
      </c>
      <c r="J29" s="148"/>
      <c r="K29" s="146">
        <f t="shared" si="1"/>
      </c>
      <c r="L29" s="146">
        <f t="shared" si="2"/>
      </c>
      <c r="M29" s="147">
        <f t="shared" si="3"/>
      </c>
      <c r="N29" s="160" t="s">
        <v>747</v>
      </c>
      <c r="O29" s="114">
        <v>8</v>
      </c>
      <c r="Q29" s="183">
        <f t="shared" si="4"/>
      </c>
    </row>
    <row r="30" spans="1:17" ht="30.75" customHeight="1">
      <c r="A30" s="180"/>
      <c r="B30" s="586"/>
      <c r="C30" s="587"/>
      <c r="D30" s="587"/>
      <c r="E30" s="75"/>
      <c r="F30" s="75"/>
      <c r="G30" s="169"/>
      <c r="H30" s="162"/>
      <c r="I30" s="146">
        <f t="shared" si="0"/>
      </c>
      <c r="J30" s="148"/>
      <c r="K30" s="146">
        <f t="shared" si="1"/>
      </c>
      <c r="L30" s="146">
        <f t="shared" si="2"/>
      </c>
      <c r="M30" s="147">
        <f t="shared" si="3"/>
      </c>
      <c r="N30" s="160" t="s">
        <v>747</v>
      </c>
      <c r="O30" s="114">
        <v>8</v>
      </c>
      <c r="Q30" s="183">
        <f t="shared" si="4"/>
      </c>
    </row>
    <row r="31" spans="1:17" ht="30.75" customHeight="1">
      <c r="A31" s="179"/>
      <c r="B31" s="586"/>
      <c r="C31" s="587"/>
      <c r="D31" s="587"/>
      <c r="E31" s="76"/>
      <c r="F31" s="75"/>
      <c r="G31" s="169"/>
      <c r="H31" s="162"/>
      <c r="I31" s="146">
        <f t="shared" si="0"/>
      </c>
      <c r="J31" s="148"/>
      <c r="K31" s="146">
        <f t="shared" si="1"/>
      </c>
      <c r="L31" s="146">
        <f t="shared" si="2"/>
      </c>
      <c r="M31" s="147">
        <f t="shared" si="3"/>
      </c>
      <c r="N31" s="160" t="s">
        <v>747</v>
      </c>
      <c r="O31" s="114">
        <v>8</v>
      </c>
      <c r="Q31" s="183">
        <f t="shared" si="4"/>
      </c>
    </row>
    <row r="32" spans="1:17" ht="30.75" customHeight="1" thickBot="1">
      <c r="A32" s="181"/>
      <c r="B32" s="593"/>
      <c r="C32" s="594"/>
      <c r="D32" s="594"/>
      <c r="E32" s="79"/>
      <c r="F32" s="79"/>
      <c r="G32" s="171"/>
      <c r="H32" s="163"/>
      <c r="I32" s="151">
        <f t="shared" si="0"/>
      </c>
      <c r="J32" s="161"/>
      <c r="K32" s="149">
        <f t="shared" si="1"/>
      </c>
      <c r="L32" s="149">
        <f t="shared" si="2"/>
      </c>
      <c r="M32" s="151">
        <f t="shared" si="3"/>
      </c>
      <c r="N32" s="161"/>
      <c r="O32" s="115">
        <v>8</v>
      </c>
      <c r="Q32" s="183">
        <f t="shared" si="4"/>
      </c>
    </row>
    <row r="33" spans="1:18" ht="21" customHeight="1" thickBot="1">
      <c r="A33" s="588" t="s">
        <v>14</v>
      </c>
      <c r="B33" s="589"/>
      <c r="C33" s="589"/>
      <c r="D33" s="589"/>
      <c r="E33" s="589"/>
      <c r="F33" s="589"/>
      <c r="G33" s="589"/>
      <c r="H33" s="589"/>
      <c r="I33" s="589"/>
      <c r="J33" s="82"/>
      <c r="K33" s="157">
        <f>SUM(K13:K32)</f>
        <v>2138400</v>
      </c>
      <c r="L33" s="157">
        <f>SUM(L13:L32)</f>
        <v>1980000</v>
      </c>
      <c r="M33" s="157">
        <f>SUM(M13:M32)</f>
        <v>1980000</v>
      </c>
      <c r="N33" s="159">
        <f>SUM(N13:N32)</f>
        <v>1980000</v>
      </c>
      <c r="Q33" s="416">
        <f>SUM(Q13:Q32)</f>
        <v>1320000</v>
      </c>
      <c r="R33" s="177"/>
    </row>
    <row r="34" spans="1:20" ht="13.5" customHeight="1">
      <c r="A34" s="11"/>
      <c r="R34" s="128"/>
      <c r="S34" s="129"/>
      <c r="T34" s="129"/>
    </row>
    <row r="35" spans="2:20" ht="13.5" customHeight="1">
      <c r="B35" s="1" t="s">
        <v>16</v>
      </c>
      <c r="D35" s="90"/>
      <c r="E35" s="80" t="s">
        <v>32</v>
      </c>
      <c r="H35" s="1"/>
      <c r="M35" s="101"/>
      <c r="N35" s="101"/>
      <c r="Q35" s="101"/>
      <c r="R35" s="128"/>
      <c r="S35" s="129"/>
      <c r="T35" s="129"/>
    </row>
    <row r="36" spans="1:20" s="80" customFormat="1" ht="13.5" customHeight="1">
      <c r="A36" s="5"/>
      <c r="B36" s="1"/>
      <c r="C36" s="1"/>
      <c r="D36" s="1"/>
      <c r="E36" s="80" t="s">
        <v>33</v>
      </c>
      <c r="G36" s="1"/>
      <c r="H36" s="1"/>
      <c r="I36" s="1"/>
      <c r="J36" s="1"/>
      <c r="K36" s="1"/>
      <c r="L36" s="1"/>
      <c r="M36" s="1"/>
      <c r="N36" s="1"/>
      <c r="O36" s="5"/>
      <c r="P36" s="5"/>
      <c r="Q36" s="84"/>
      <c r="R36" s="128"/>
      <c r="S36" s="130"/>
      <c r="T36" s="130"/>
    </row>
    <row r="37" spans="1:20" s="80" customFormat="1" ht="13.5" customHeight="1">
      <c r="A37" s="5"/>
      <c r="B37" s="1" t="s">
        <v>17</v>
      </c>
      <c r="C37" s="1"/>
      <c r="D37" s="1"/>
      <c r="E37" s="80" t="s">
        <v>34</v>
      </c>
      <c r="G37" s="1"/>
      <c r="H37" s="1"/>
      <c r="I37" s="1"/>
      <c r="J37" s="1"/>
      <c r="K37" s="1"/>
      <c r="L37" s="1"/>
      <c r="M37" s="1"/>
      <c r="N37" s="1"/>
      <c r="O37" s="5"/>
      <c r="P37" s="5"/>
      <c r="Q37" s="101"/>
      <c r="R37" s="131"/>
      <c r="S37" s="130"/>
      <c r="T37" s="130"/>
    </row>
    <row r="38" spans="1:18" s="80" customFormat="1" ht="13.5" customHeight="1">
      <c r="A38" s="5"/>
      <c r="B38" s="1" t="s">
        <v>18</v>
      </c>
      <c r="C38" s="1"/>
      <c r="D38" s="1"/>
      <c r="E38" s="80" t="s">
        <v>35</v>
      </c>
      <c r="G38" s="1"/>
      <c r="H38" s="1"/>
      <c r="I38" s="1"/>
      <c r="J38" s="1"/>
      <c r="K38" s="1"/>
      <c r="L38" s="1"/>
      <c r="M38" s="1"/>
      <c r="N38" s="1"/>
      <c r="O38" s="5"/>
      <c r="P38" s="5"/>
      <c r="Q38" s="101"/>
      <c r="R38" s="56"/>
    </row>
    <row r="39" ht="13.5">
      <c r="Q39" s="9"/>
    </row>
  </sheetData>
  <sheetProtection sheet="1" objects="1" scenarios="1"/>
  <mergeCells count="27">
    <mergeCell ref="B28:D28"/>
    <mergeCell ref="B29:D29"/>
    <mergeCell ref="B30:D30"/>
    <mergeCell ref="B31:D31"/>
    <mergeCell ref="B32:D32"/>
    <mergeCell ref="B22:D22"/>
    <mergeCell ref="B23:D23"/>
    <mergeCell ref="B24:D24"/>
    <mergeCell ref="B25:D25"/>
    <mergeCell ref="B26:D26"/>
    <mergeCell ref="B27:D27"/>
    <mergeCell ref="A4:E4"/>
    <mergeCell ref="A11:A12"/>
    <mergeCell ref="B11:D11"/>
    <mergeCell ref="B15:D15"/>
    <mergeCell ref="B16:D16"/>
    <mergeCell ref="B17:D17"/>
    <mergeCell ref="M11:N11"/>
    <mergeCell ref="K11:L11"/>
    <mergeCell ref="O11:O12"/>
    <mergeCell ref="B13:D13"/>
    <mergeCell ref="B14:D14"/>
    <mergeCell ref="A33:I33"/>
    <mergeCell ref="B18:D18"/>
    <mergeCell ref="B19:D19"/>
    <mergeCell ref="B20:D20"/>
    <mergeCell ref="B21:D21"/>
  </mergeCells>
  <dataValidations count="4">
    <dataValidation allowBlank="1" showInputMessage="1" showErrorMessage="1" imeMode="halfAlpha" sqref="Q13:Q32 I13:N32"/>
    <dataValidation type="list" allowBlank="1" showInputMessage="1" showErrorMessage="1" sqref="P18:P19 P15:P16">
      <formula1>$Q$12:$Q$14</formula1>
    </dataValidation>
    <dataValidation type="list" allowBlank="1" showInputMessage="1" showErrorMessage="1" sqref="P20:P32">
      <formula1>$Q$12:$Q$13</formula1>
    </dataValidation>
    <dataValidation allowBlank="1" showInputMessage="1" showErrorMessage="1" imeMode="hiragana" sqref="L9"/>
  </dataValidations>
  <hyperlinks>
    <hyperlink ref="B2" location="経費明細表!A1" display="戻る"/>
  </hyperlinks>
  <printOptions/>
  <pageMargins left="0.8661417322834646" right="0.7086614173228347" top="0.7480314960629921" bottom="0.7480314960629921" header="0.31496062992125984" footer="0.31496062992125984"/>
  <pageSetup fitToHeight="1" fitToWidth="1" horizontalDpi="600" verticalDpi="600" orientation="portrait" paperSize="9" scale="60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9">
    <tabColor rgb="FF92D050"/>
    <pageSetUpPr fitToPage="1"/>
  </sheetPr>
  <dimension ref="A2:X39"/>
  <sheetViews>
    <sheetView showGridLines="0" zoomScaleSheetLayoutView="80" zoomScalePageLayoutView="0" workbookViewId="0" topLeftCell="A1">
      <pane ySplit="3" topLeftCell="A4" activePane="bottomLeft" state="frozen"/>
      <selection pane="topLeft" activeCell="O8" sqref="O8"/>
      <selection pane="bottomLeft" activeCell="I12" sqref="I12"/>
    </sheetView>
  </sheetViews>
  <sheetFormatPr defaultColWidth="9.140625" defaultRowHeight="15"/>
  <cols>
    <col min="1" max="1" width="3.7109375" style="5" customWidth="1"/>
    <col min="2" max="4" width="3.7109375" style="1" customWidth="1"/>
    <col min="5" max="5" width="16.421875" style="85" customWidth="1"/>
    <col min="6" max="6" width="16.140625" style="80" customWidth="1"/>
    <col min="7" max="7" width="9.140625" style="1" customWidth="1"/>
    <col min="8" max="8" width="6.421875" style="5" customWidth="1"/>
    <col min="9" max="10" width="11.57421875" style="1" customWidth="1"/>
    <col min="11" max="14" width="15.140625" style="1" customWidth="1"/>
    <col min="15" max="15" width="5.28125" style="5" customWidth="1"/>
    <col min="16" max="16" width="9.00390625" style="5" customWidth="1"/>
    <col min="17" max="17" width="15.140625" style="1" customWidth="1"/>
    <col min="18" max="18" width="12.7109375" style="86" bestFit="1" customWidth="1"/>
    <col min="19" max="16384" width="9.00390625" style="1" customWidth="1"/>
  </cols>
  <sheetData>
    <row r="1" ht="13.5"/>
    <row r="2" ht="13.5">
      <c r="B2" s="246" t="s">
        <v>583</v>
      </c>
    </row>
    <row r="3" ht="13.5"/>
    <row r="4" spans="1:6" ht="13.5" customHeight="1">
      <c r="A4" s="590" t="s">
        <v>757</v>
      </c>
      <c r="B4" s="590"/>
      <c r="C4" s="590"/>
      <c r="D4" s="590"/>
      <c r="E4" s="590"/>
      <c r="F4" s="5"/>
    </row>
    <row r="5" spans="1:6" ht="13.5" customHeight="1">
      <c r="A5" s="11"/>
      <c r="B5" s="11"/>
      <c r="C5" s="11"/>
      <c r="D5" s="11"/>
      <c r="E5" s="111"/>
      <c r="F5" s="5"/>
    </row>
    <row r="6" spans="1:6" ht="13.5" customHeight="1">
      <c r="A6" s="11"/>
      <c r="B6" s="238" t="s">
        <v>669</v>
      </c>
      <c r="C6" s="239"/>
      <c r="D6" s="240"/>
      <c r="E6" s="241"/>
      <c r="F6" s="88" t="s">
        <v>15</v>
      </c>
    </row>
    <row r="7" spans="1:6" ht="13.5" customHeight="1">
      <c r="A7" s="11"/>
      <c r="B7" s="11"/>
      <c r="C7" s="11"/>
      <c r="D7" s="11"/>
      <c r="E7" s="111"/>
      <c r="F7" s="133" t="s">
        <v>575</v>
      </c>
    </row>
    <row r="8" spans="1:15" ht="13.5" customHeight="1">
      <c r="A8" s="11"/>
      <c r="B8" s="11"/>
      <c r="C8" s="11"/>
      <c r="D8" s="11"/>
      <c r="E8" s="111"/>
      <c r="F8" s="5"/>
      <c r="N8" s="1" t="s">
        <v>19</v>
      </c>
      <c r="O8" s="89"/>
    </row>
    <row r="9" spans="1:12" ht="13.5" customHeight="1">
      <c r="A9" s="11"/>
      <c r="F9" s="5"/>
      <c r="K9" s="2" t="s">
        <v>31</v>
      </c>
      <c r="L9" s="8" t="str">
        <f>IF('基本情報入力（使い方）'!$C$11="","",'基本情報入力（使い方）'!$C$11)</f>
        <v>Ｂ金属株式会社</v>
      </c>
    </row>
    <row r="10" spans="1:6" ht="13.5" customHeight="1" thickBot="1">
      <c r="A10" s="11"/>
      <c r="F10" s="5"/>
    </row>
    <row r="11" spans="1:17" ht="27" customHeight="1">
      <c r="A11" s="595" t="s">
        <v>1</v>
      </c>
      <c r="B11" s="583" t="s">
        <v>2</v>
      </c>
      <c r="C11" s="583"/>
      <c r="D11" s="582"/>
      <c r="E11" s="112" t="s">
        <v>3</v>
      </c>
      <c r="F11" s="3" t="s">
        <v>4</v>
      </c>
      <c r="G11" s="3" t="s">
        <v>5</v>
      </c>
      <c r="H11" s="83" t="s">
        <v>6</v>
      </c>
      <c r="I11" s="3" t="s">
        <v>0</v>
      </c>
      <c r="J11" s="3" t="s">
        <v>0</v>
      </c>
      <c r="K11" s="583" t="s">
        <v>7</v>
      </c>
      <c r="L11" s="582"/>
      <c r="M11" s="581" t="s">
        <v>746</v>
      </c>
      <c r="N11" s="582"/>
      <c r="O11" s="597" t="s">
        <v>39</v>
      </c>
      <c r="Q11" s="126" t="s">
        <v>562</v>
      </c>
    </row>
    <row r="12" spans="1:17" ht="42" customHeight="1" thickBot="1">
      <c r="A12" s="596"/>
      <c r="B12" s="92" t="s">
        <v>9</v>
      </c>
      <c r="C12" s="92" t="s">
        <v>10</v>
      </c>
      <c r="D12" s="93" t="s">
        <v>11</v>
      </c>
      <c r="E12" s="113"/>
      <c r="F12" s="95"/>
      <c r="G12" s="81"/>
      <c r="H12" s="4"/>
      <c r="I12" s="81" t="s">
        <v>12</v>
      </c>
      <c r="J12" s="81" t="s">
        <v>24</v>
      </c>
      <c r="K12" s="41" t="s">
        <v>13</v>
      </c>
      <c r="L12" s="4" t="s">
        <v>22</v>
      </c>
      <c r="M12" s="4" t="s">
        <v>744</v>
      </c>
      <c r="N12" s="4" t="s">
        <v>745</v>
      </c>
      <c r="O12" s="598"/>
      <c r="Q12" s="127" t="s">
        <v>560</v>
      </c>
    </row>
    <row r="13" spans="1:18" ht="30.75" customHeight="1">
      <c r="A13" s="182">
        <v>2</v>
      </c>
      <c r="B13" s="599"/>
      <c r="C13" s="600"/>
      <c r="D13" s="600"/>
      <c r="E13" s="73" t="s">
        <v>588</v>
      </c>
      <c r="F13" s="73" t="s">
        <v>589</v>
      </c>
      <c r="G13" s="173">
        <v>1</v>
      </c>
      <c r="H13" s="165" t="s">
        <v>587</v>
      </c>
      <c r="I13" s="153">
        <f aca="true" t="shared" si="0" ref="I13:I32">IF(J13="","",ROUNDDOWN(J13*(1+O13/100),0))</f>
        <v>432000</v>
      </c>
      <c r="J13" s="154">
        <v>400000</v>
      </c>
      <c r="K13" s="153">
        <f aca="true" t="shared" si="1" ref="K13:K32">IF(L13="","",ROUNDDOWN(L13*(1+O13/100),0))</f>
        <v>432000</v>
      </c>
      <c r="L13" s="153">
        <f>IF(OR(J13="",G13=""),"",ROUNDDOWN(J13*G13,0))</f>
        <v>400000</v>
      </c>
      <c r="M13" s="153">
        <f>L13</f>
        <v>400000</v>
      </c>
      <c r="N13" s="154">
        <v>400000</v>
      </c>
      <c r="O13" s="135">
        <v>8</v>
      </c>
      <c r="P13" s="1"/>
      <c r="Q13" s="183">
        <f>IF(N13="","",ROUNDDOWN(N13/G13*2/3,0)*G13)</f>
        <v>266666</v>
      </c>
      <c r="R13" s="1"/>
    </row>
    <row r="14" spans="1:18" ht="30.75" customHeight="1">
      <c r="A14" s="180">
        <v>3</v>
      </c>
      <c r="B14" s="601"/>
      <c r="C14" s="602"/>
      <c r="D14" s="602"/>
      <c r="E14" s="75" t="s">
        <v>590</v>
      </c>
      <c r="F14" s="75" t="s">
        <v>591</v>
      </c>
      <c r="G14" s="170">
        <v>1</v>
      </c>
      <c r="H14" s="166" t="s">
        <v>587</v>
      </c>
      <c r="I14" s="147">
        <f t="shared" si="0"/>
        <v>432000</v>
      </c>
      <c r="J14" s="160">
        <v>400000</v>
      </c>
      <c r="K14" s="147">
        <f t="shared" si="1"/>
        <v>432000</v>
      </c>
      <c r="L14" s="147">
        <f aca="true" t="shared" si="2" ref="L14:L32">IF(OR(J14="",G14=""),"",ROUNDDOWN(J14*G14,0))</f>
        <v>400000</v>
      </c>
      <c r="M14" s="147">
        <f aca="true" t="shared" si="3" ref="M14:M32">L14</f>
        <v>400000</v>
      </c>
      <c r="N14" s="160">
        <v>400000</v>
      </c>
      <c r="O14" s="136">
        <v>8</v>
      </c>
      <c r="Q14" s="183">
        <f aca="true" t="shared" si="4" ref="Q14:Q32">IF(N14="","",ROUNDDOWN(N14/G14*2/3,0)*G14)</f>
        <v>266666</v>
      </c>
      <c r="R14" s="7"/>
    </row>
    <row r="15" spans="1:18" ht="30.75" customHeight="1">
      <c r="A15" s="180">
        <v>4</v>
      </c>
      <c r="B15" s="601"/>
      <c r="C15" s="602"/>
      <c r="D15" s="602"/>
      <c r="E15" s="75" t="s">
        <v>590</v>
      </c>
      <c r="F15" s="75" t="s">
        <v>592</v>
      </c>
      <c r="G15" s="170">
        <v>1</v>
      </c>
      <c r="H15" s="166" t="s">
        <v>587</v>
      </c>
      <c r="I15" s="147">
        <f t="shared" si="0"/>
        <v>432000</v>
      </c>
      <c r="J15" s="160">
        <v>400000</v>
      </c>
      <c r="K15" s="147">
        <f t="shared" si="1"/>
        <v>432000</v>
      </c>
      <c r="L15" s="147">
        <f t="shared" si="2"/>
        <v>400000</v>
      </c>
      <c r="M15" s="147">
        <f t="shared" si="3"/>
        <v>400000</v>
      </c>
      <c r="N15" s="160">
        <v>400000</v>
      </c>
      <c r="O15" s="136">
        <v>8</v>
      </c>
      <c r="P15" s="86"/>
      <c r="Q15" s="183">
        <f t="shared" si="4"/>
        <v>266666</v>
      </c>
      <c r="R15" s="7"/>
    </row>
    <row r="16" spans="1:18" s="10" customFormat="1" ht="30.75" customHeight="1">
      <c r="A16" s="180">
        <v>5</v>
      </c>
      <c r="B16" s="601"/>
      <c r="C16" s="602"/>
      <c r="D16" s="602"/>
      <c r="E16" s="75" t="s">
        <v>590</v>
      </c>
      <c r="F16" s="75" t="s">
        <v>593</v>
      </c>
      <c r="G16" s="170">
        <v>1</v>
      </c>
      <c r="H16" s="166" t="s">
        <v>587</v>
      </c>
      <c r="I16" s="147">
        <f t="shared" si="0"/>
        <v>432000</v>
      </c>
      <c r="J16" s="160">
        <v>400000</v>
      </c>
      <c r="K16" s="147">
        <f t="shared" si="1"/>
        <v>432000</v>
      </c>
      <c r="L16" s="147">
        <f t="shared" si="2"/>
        <v>400000</v>
      </c>
      <c r="M16" s="147">
        <f t="shared" si="3"/>
        <v>400000</v>
      </c>
      <c r="N16" s="160">
        <v>400000</v>
      </c>
      <c r="O16" s="136">
        <v>8</v>
      </c>
      <c r="P16" s="86"/>
      <c r="Q16" s="183">
        <f t="shared" si="4"/>
        <v>266666</v>
      </c>
      <c r="R16" s="7"/>
    </row>
    <row r="17" spans="1:18" ht="30.75" customHeight="1">
      <c r="A17" s="180">
        <v>6</v>
      </c>
      <c r="B17" s="601"/>
      <c r="C17" s="602"/>
      <c r="D17" s="602"/>
      <c r="E17" s="75" t="s">
        <v>590</v>
      </c>
      <c r="F17" s="75" t="s">
        <v>594</v>
      </c>
      <c r="G17" s="170">
        <v>1</v>
      </c>
      <c r="H17" s="166" t="s">
        <v>587</v>
      </c>
      <c r="I17" s="147">
        <f t="shared" si="0"/>
        <v>432000</v>
      </c>
      <c r="J17" s="160">
        <v>400000</v>
      </c>
      <c r="K17" s="147">
        <f t="shared" si="1"/>
        <v>432000</v>
      </c>
      <c r="L17" s="147">
        <f t="shared" si="2"/>
        <v>400000</v>
      </c>
      <c r="M17" s="147">
        <f t="shared" si="3"/>
        <v>400000</v>
      </c>
      <c r="N17" s="160">
        <v>400000</v>
      </c>
      <c r="O17" s="136">
        <v>8</v>
      </c>
      <c r="P17" s="86"/>
      <c r="Q17" s="183">
        <f t="shared" si="4"/>
        <v>266666</v>
      </c>
      <c r="R17" s="7"/>
    </row>
    <row r="18" spans="1:17" ht="30.75" customHeight="1">
      <c r="A18" s="180">
        <v>7</v>
      </c>
      <c r="B18" s="601"/>
      <c r="C18" s="602"/>
      <c r="D18" s="602"/>
      <c r="E18" s="75" t="s">
        <v>590</v>
      </c>
      <c r="F18" s="75" t="s">
        <v>595</v>
      </c>
      <c r="G18" s="170">
        <v>1</v>
      </c>
      <c r="H18" s="166" t="s">
        <v>587</v>
      </c>
      <c r="I18" s="147">
        <f t="shared" si="0"/>
        <v>432000</v>
      </c>
      <c r="J18" s="160">
        <v>400000</v>
      </c>
      <c r="K18" s="147">
        <f t="shared" si="1"/>
        <v>432000</v>
      </c>
      <c r="L18" s="147">
        <f t="shared" si="2"/>
        <v>400000</v>
      </c>
      <c r="M18" s="147">
        <f t="shared" si="3"/>
        <v>400000</v>
      </c>
      <c r="N18" s="160">
        <v>400000</v>
      </c>
      <c r="O18" s="136">
        <v>8</v>
      </c>
      <c r="P18" s="86"/>
      <c r="Q18" s="183">
        <f t="shared" si="4"/>
        <v>266666</v>
      </c>
    </row>
    <row r="19" spans="1:17" ht="30.75" customHeight="1">
      <c r="A19" s="180">
        <v>8</v>
      </c>
      <c r="B19" s="601"/>
      <c r="C19" s="602"/>
      <c r="D19" s="602"/>
      <c r="E19" s="75" t="s">
        <v>590</v>
      </c>
      <c r="F19" s="75" t="s">
        <v>596</v>
      </c>
      <c r="G19" s="170">
        <v>1</v>
      </c>
      <c r="H19" s="166" t="s">
        <v>587</v>
      </c>
      <c r="I19" s="147">
        <f t="shared" si="0"/>
        <v>432000</v>
      </c>
      <c r="J19" s="160">
        <v>400000</v>
      </c>
      <c r="K19" s="147">
        <f t="shared" si="1"/>
        <v>432000</v>
      </c>
      <c r="L19" s="147">
        <f t="shared" si="2"/>
        <v>400000</v>
      </c>
      <c r="M19" s="147">
        <f t="shared" si="3"/>
        <v>400000</v>
      </c>
      <c r="N19" s="160">
        <v>400000</v>
      </c>
      <c r="O19" s="136">
        <v>8</v>
      </c>
      <c r="P19" s="86"/>
      <c r="Q19" s="183">
        <f t="shared" si="4"/>
        <v>266666</v>
      </c>
    </row>
    <row r="20" spans="1:18" s="10" customFormat="1" ht="30.75" customHeight="1">
      <c r="A20" s="180">
        <v>9</v>
      </c>
      <c r="B20" s="601"/>
      <c r="C20" s="602"/>
      <c r="D20" s="602"/>
      <c r="E20" s="75" t="s">
        <v>590</v>
      </c>
      <c r="F20" s="75" t="s">
        <v>597</v>
      </c>
      <c r="G20" s="170">
        <v>1</v>
      </c>
      <c r="H20" s="166" t="s">
        <v>587</v>
      </c>
      <c r="I20" s="147">
        <f t="shared" si="0"/>
        <v>432000</v>
      </c>
      <c r="J20" s="160">
        <v>400000</v>
      </c>
      <c r="K20" s="147">
        <f t="shared" si="1"/>
        <v>432000</v>
      </c>
      <c r="L20" s="147">
        <f t="shared" si="2"/>
        <v>400000</v>
      </c>
      <c r="M20" s="147">
        <f t="shared" si="3"/>
        <v>400000</v>
      </c>
      <c r="N20" s="160">
        <v>400000</v>
      </c>
      <c r="O20" s="136">
        <v>8</v>
      </c>
      <c r="P20" s="121"/>
      <c r="Q20" s="183">
        <f t="shared" si="4"/>
        <v>266666</v>
      </c>
      <c r="R20" s="122"/>
    </row>
    <row r="21" spans="1:17" ht="30.75" customHeight="1">
      <c r="A21" s="180"/>
      <c r="B21" s="601"/>
      <c r="C21" s="602"/>
      <c r="D21" s="602"/>
      <c r="E21" s="75"/>
      <c r="F21" s="75"/>
      <c r="G21" s="170"/>
      <c r="H21" s="166"/>
      <c r="I21" s="147">
        <f t="shared" si="0"/>
      </c>
      <c r="J21" s="160"/>
      <c r="K21" s="147">
        <f t="shared" si="1"/>
      </c>
      <c r="L21" s="147">
        <f t="shared" si="2"/>
      </c>
      <c r="M21" s="147">
        <f t="shared" si="3"/>
      </c>
      <c r="N21" s="160" t="s">
        <v>747</v>
      </c>
      <c r="O21" s="136">
        <v>8</v>
      </c>
      <c r="Q21" s="183">
        <f t="shared" si="4"/>
      </c>
    </row>
    <row r="22" spans="1:17" ht="30.75" customHeight="1">
      <c r="A22" s="180"/>
      <c r="B22" s="586"/>
      <c r="C22" s="587"/>
      <c r="D22" s="587"/>
      <c r="E22" s="75"/>
      <c r="F22" s="75"/>
      <c r="G22" s="169"/>
      <c r="H22" s="162"/>
      <c r="I22" s="146">
        <f t="shared" si="0"/>
      </c>
      <c r="J22" s="148"/>
      <c r="K22" s="146">
        <f t="shared" si="1"/>
      </c>
      <c r="L22" s="146">
        <f t="shared" si="2"/>
      </c>
      <c r="M22" s="147">
        <f t="shared" si="3"/>
      </c>
      <c r="N22" s="160" t="s">
        <v>747</v>
      </c>
      <c r="O22" s="114">
        <v>8</v>
      </c>
      <c r="Q22" s="183">
        <f t="shared" si="4"/>
      </c>
    </row>
    <row r="23" spans="1:17" ht="30.75" customHeight="1">
      <c r="A23" s="179"/>
      <c r="B23" s="586"/>
      <c r="C23" s="587"/>
      <c r="D23" s="587"/>
      <c r="E23" s="75"/>
      <c r="F23" s="75"/>
      <c r="G23" s="169"/>
      <c r="H23" s="162"/>
      <c r="I23" s="146">
        <f t="shared" si="0"/>
      </c>
      <c r="J23" s="148"/>
      <c r="K23" s="146">
        <f t="shared" si="1"/>
      </c>
      <c r="L23" s="146">
        <f t="shared" si="2"/>
      </c>
      <c r="M23" s="147">
        <f t="shared" si="3"/>
      </c>
      <c r="N23" s="160" t="s">
        <v>747</v>
      </c>
      <c r="O23" s="114">
        <v>8</v>
      </c>
      <c r="Q23" s="183">
        <f t="shared" si="4"/>
      </c>
    </row>
    <row r="24" spans="1:17" ht="30.75" customHeight="1">
      <c r="A24" s="180"/>
      <c r="B24" s="586"/>
      <c r="C24" s="587"/>
      <c r="D24" s="587"/>
      <c r="E24" s="75"/>
      <c r="F24" s="75"/>
      <c r="G24" s="169"/>
      <c r="H24" s="162"/>
      <c r="I24" s="146">
        <f t="shared" si="0"/>
      </c>
      <c r="J24" s="148"/>
      <c r="K24" s="146">
        <f t="shared" si="1"/>
      </c>
      <c r="L24" s="146">
        <f t="shared" si="2"/>
      </c>
      <c r="M24" s="147">
        <f t="shared" si="3"/>
      </c>
      <c r="N24" s="160" t="s">
        <v>747</v>
      </c>
      <c r="O24" s="114">
        <v>8</v>
      </c>
      <c r="Q24" s="183">
        <f t="shared" si="4"/>
      </c>
    </row>
    <row r="25" spans="1:17" ht="30.75" customHeight="1">
      <c r="A25" s="179"/>
      <c r="B25" s="586"/>
      <c r="C25" s="587"/>
      <c r="D25" s="587"/>
      <c r="E25" s="75"/>
      <c r="F25" s="75"/>
      <c r="G25" s="169"/>
      <c r="H25" s="162"/>
      <c r="I25" s="146">
        <f t="shared" si="0"/>
      </c>
      <c r="J25" s="148"/>
      <c r="K25" s="146">
        <f t="shared" si="1"/>
      </c>
      <c r="L25" s="146">
        <f t="shared" si="2"/>
      </c>
      <c r="M25" s="147">
        <f t="shared" si="3"/>
      </c>
      <c r="N25" s="160" t="s">
        <v>747</v>
      </c>
      <c r="O25" s="114">
        <v>8</v>
      </c>
      <c r="Q25" s="183">
        <f t="shared" si="4"/>
      </c>
    </row>
    <row r="26" spans="1:17" ht="30.75" customHeight="1">
      <c r="A26" s="180"/>
      <c r="B26" s="586"/>
      <c r="C26" s="587"/>
      <c r="D26" s="587"/>
      <c r="E26" s="76"/>
      <c r="F26" s="75"/>
      <c r="G26" s="169"/>
      <c r="H26" s="162"/>
      <c r="I26" s="146">
        <f t="shared" si="0"/>
      </c>
      <c r="J26" s="148"/>
      <c r="K26" s="146">
        <f t="shared" si="1"/>
      </c>
      <c r="L26" s="146">
        <f t="shared" si="2"/>
      </c>
      <c r="M26" s="147">
        <f t="shared" si="3"/>
      </c>
      <c r="N26" s="160" t="s">
        <v>747</v>
      </c>
      <c r="O26" s="114">
        <v>8</v>
      </c>
      <c r="Q26" s="183">
        <f t="shared" si="4"/>
      </c>
    </row>
    <row r="27" spans="1:17" ht="30.75" customHeight="1">
      <c r="A27" s="179"/>
      <c r="B27" s="586"/>
      <c r="C27" s="587"/>
      <c r="D27" s="587"/>
      <c r="E27" s="76"/>
      <c r="F27" s="75"/>
      <c r="G27" s="169"/>
      <c r="H27" s="162"/>
      <c r="I27" s="146">
        <f t="shared" si="0"/>
      </c>
      <c r="J27" s="148"/>
      <c r="K27" s="146">
        <f t="shared" si="1"/>
      </c>
      <c r="L27" s="146">
        <f t="shared" si="2"/>
      </c>
      <c r="M27" s="147">
        <f t="shared" si="3"/>
      </c>
      <c r="N27" s="160" t="s">
        <v>747</v>
      </c>
      <c r="O27" s="114">
        <v>8</v>
      </c>
      <c r="Q27" s="183">
        <f t="shared" si="4"/>
      </c>
    </row>
    <row r="28" spans="1:17" ht="30.75" customHeight="1">
      <c r="A28" s="180"/>
      <c r="B28" s="586"/>
      <c r="C28" s="587"/>
      <c r="D28" s="587"/>
      <c r="E28" s="75"/>
      <c r="F28" s="75"/>
      <c r="G28" s="169"/>
      <c r="H28" s="162"/>
      <c r="I28" s="146">
        <f t="shared" si="0"/>
      </c>
      <c r="J28" s="148"/>
      <c r="K28" s="146">
        <f t="shared" si="1"/>
      </c>
      <c r="L28" s="146">
        <f t="shared" si="2"/>
      </c>
      <c r="M28" s="147">
        <f t="shared" si="3"/>
      </c>
      <c r="N28" s="160" t="s">
        <v>747</v>
      </c>
      <c r="O28" s="114">
        <v>8</v>
      </c>
      <c r="Q28" s="183">
        <f t="shared" si="4"/>
      </c>
    </row>
    <row r="29" spans="1:17" ht="30.75" customHeight="1">
      <c r="A29" s="179"/>
      <c r="B29" s="586"/>
      <c r="C29" s="587"/>
      <c r="D29" s="587"/>
      <c r="E29" s="75"/>
      <c r="F29" s="75"/>
      <c r="G29" s="169"/>
      <c r="H29" s="162"/>
      <c r="I29" s="146">
        <f t="shared" si="0"/>
      </c>
      <c r="J29" s="148"/>
      <c r="K29" s="146">
        <f t="shared" si="1"/>
      </c>
      <c r="L29" s="146">
        <f t="shared" si="2"/>
      </c>
      <c r="M29" s="147">
        <f t="shared" si="3"/>
      </c>
      <c r="N29" s="160" t="s">
        <v>747</v>
      </c>
      <c r="O29" s="114">
        <v>8</v>
      </c>
      <c r="Q29" s="183">
        <f t="shared" si="4"/>
      </c>
    </row>
    <row r="30" spans="1:17" ht="30.75" customHeight="1">
      <c r="A30" s="180"/>
      <c r="B30" s="586"/>
      <c r="C30" s="587"/>
      <c r="D30" s="587"/>
      <c r="E30" s="75"/>
      <c r="F30" s="75"/>
      <c r="G30" s="169"/>
      <c r="H30" s="162"/>
      <c r="I30" s="146">
        <f t="shared" si="0"/>
      </c>
      <c r="J30" s="148"/>
      <c r="K30" s="146">
        <f t="shared" si="1"/>
      </c>
      <c r="L30" s="146">
        <f t="shared" si="2"/>
      </c>
      <c r="M30" s="147">
        <f t="shared" si="3"/>
      </c>
      <c r="N30" s="160" t="s">
        <v>747</v>
      </c>
      <c r="O30" s="114">
        <v>8</v>
      </c>
      <c r="Q30" s="183">
        <f t="shared" si="4"/>
      </c>
    </row>
    <row r="31" spans="1:17" ht="30.75" customHeight="1">
      <c r="A31" s="179"/>
      <c r="B31" s="586"/>
      <c r="C31" s="587"/>
      <c r="D31" s="587"/>
      <c r="E31" s="76"/>
      <c r="F31" s="75"/>
      <c r="G31" s="169"/>
      <c r="H31" s="162"/>
      <c r="I31" s="146">
        <f t="shared" si="0"/>
      </c>
      <c r="J31" s="148"/>
      <c r="K31" s="146">
        <f t="shared" si="1"/>
      </c>
      <c r="L31" s="146">
        <f t="shared" si="2"/>
      </c>
      <c r="M31" s="147">
        <f t="shared" si="3"/>
      </c>
      <c r="N31" s="160" t="s">
        <v>747</v>
      </c>
      <c r="O31" s="114">
        <v>8</v>
      </c>
      <c r="Q31" s="183">
        <f t="shared" si="4"/>
      </c>
    </row>
    <row r="32" spans="1:17" ht="30.75" customHeight="1" thickBot="1">
      <c r="A32" s="181"/>
      <c r="B32" s="593"/>
      <c r="C32" s="594"/>
      <c r="D32" s="594"/>
      <c r="E32" s="79"/>
      <c r="F32" s="79"/>
      <c r="G32" s="171"/>
      <c r="H32" s="163"/>
      <c r="I32" s="151">
        <f t="shared" si="0"/>
      </c>
      <c r="J32" s="161"/>
      <c r="K32" s="149">
        <f t="shared" si="1"/>
      </c>
      <c r="L32" s="149">
        <f t="shared" si="2"/>
      </c>
      <c r="M32" s="151">
        <f t="shared" si="3"/>
      </c>
      <c r="N32" s="161" t="s">
        <v>747</v>
      </c>
      <c r="O32" s="115">
        <v>8</v>
      </c>
      <c r="Q32" s="183">
        <f t="shared" si="4"/>
      </c>
    </row>
    <row r="33" spans="1:18" ht="21" customHeight="1" thickBot="1">
      <c r="A33" s="588" t="s">
        <v>14</v>
      </c>
      <c r="B33" s="589"/>
      <c r="C33" s="589"/>
      <c r="D33" s="589"/>
      <c r="E33" s="589"/>
      <c r="F33" s="589"/>
      <c r="G33" s="589"/>
      <c r="H33" s="589"/>
      <c r="I33" s="589"/>
      <c r="J33" s="82"/>
      <c r="K33" s="157">
        <f>SUM(K13:K32)</f>
        <v>3456000</v>
      </c>
      <c r="L33" s="157">
        <f>SUM(L13:L32)</f>
        <v>3200000</v>
      </c>
      <c r="M33" s="157">
        <f>SUM(M13:M32)</f>
        <v>3200000</v>
      </c>
      <c r="N33" s="159">
        <f>SUM(N13:N32)</f>
        <v>3200000</v>
      </c>
      <c r="Q33" s="416">
        <f>SUM(Q13:Q32)</f>
        <v>2133328</v>
      </c>
      <c r="R33" s="178"/>
    </row>
    <row r="34" spans="1:18" ht="13.5" customHeight="1">
      <c r="A34" s="11"/>
      <c r="R34" s="132"/>
    </row>
    <row r="35" spans="2:18" ht="13.5" customHeight="1">
      <c r="B35" s="1" t="s">
        <v>16</v>
      </c>
      <c r="D35" s="90"/>
      <c r="E35" s="80" t="s">
        <v>32</v>
      </c>
      <c r="H35" s="1"/>
      <c r="M35" s="101"/>
      <c r="N35" s="101"/>
      <c r="Q35" s="101"/>
      <c r="R35" s="132"/>
    </row>
    <row r="36" spans="1:24" s="80" customFormat="1" ht="13.5" customHeight="1">
      <c r="A36" s="5"/>
      <c r="B36" s="1"/>
      <c r="C36" s="1"/>
      <c r="D36" s="1"/>
      <c r="E36" s="80" t="s">
        <v>33</v>
      </c>
      <c r="G36" s="1"/>
      <c r="H36" s="1"/>
      <c r="I36" s="1"/>
      <c r="J36" s="1"/>
      <c r="K36" s="1"/>
      <c r="L36" s="1"/>
      <c r="N36" s="84"/>
      <c r="O36" s="5"/>
      <c r="P36" s="5"/>
      <c r="Q36" s="84"/>
      <c r="R36" s="132"/>
      <c r="S36" s="84"/>
      <c r="T36" s="84"/>
      <c r="U36" s="84"/>
      <c r="V36" s="84"/>
      <c r="W36" s="84"/>
      <c r="X36" s="84"/>
    </row>
    <row r="37" spans="1:24" s="80" customFormat="1" ht="13.5" customHeight="1">
      <c r="A37" s="5"/>
      <c r="B37" s="1" t="s">
        <v>17</v>
      </c>
      <c r="C37" s="1"/>
      <c r="D37" s="1"/>
      <c r="E37" s="80" t="s">
        <v>34</v>
      </c>
      <c r="G37" s="1"/>
      <c r="H37" s="1"/>
      <c r="I37" s="1"/>
      <c r="J37" s="1"/>
      <c r="K37" s="1"/>
      <c r="L37" s="1"/>
      <c r="M37" s="101"/>
      <c r="N37" s="101"/>
      <c r="O37" s="5"/>
      <c r="P37" s="5"/>
      <c r="Q37" s="101"/>
      <c r="R37" s="56"/>
      <c r="S37" s="84"/>
      <c r="T37" s="84"/>
      <c r="U37" s="84"/>
      <c r="V37" s="84"/>
      <c r="W37" s="84"/>
      <c r="X37" s="84"/>
    </row>
    <row r="38" spans="1:24" s="80" customFormat="1" ht="13.5" customHeight="1">
      <c r="A38" s="5"/>
      <c r="B38" s="1" t="s">
        <v>18</v>
      </c>
      <c r="C38" s="1"/>
      <c r="D38" s="1"/>
      <c r="E38" s="80" t="s">
        <v>35</v>
      </c>
      <c r="G38" s="1"/>
      <c r="H38" s="1"/>
      <c r="I38" s="1"/>
      <c r="J38" s="1"/>
      <c r="K38" s="1"/>
      <c r="L38" s="1"/>
      <c r="M38" s="101"/>
      <c r="N38" s="101"/>
      <c r="O38" s="5"/>
      <c r="P38" s="5"/>
      <c r="Q38" s="101"/>
      <c r="R38" s="56"/>
      <c r="S38" s="84"/>
      <c r="T38" s="84"/>
      <c r="U38" s="84"/>
      <c r="V38" s="84"/>
      <c r="W38" s="84"/>
      <c r="X38" s="84"/>
    </row>
    <row r="39" spans="13:17" ht="13.5">
      <c r="M39" s="9"/>
      <c r="N39" s="9"/>
      <c r="Q39" s="9"/>
    </row>
  </sheetData>
  <sheetProtection sheet="1" objects="1" scenarios="1"/>
  <mergeCells count="27">
    <mergeCell ref="B31:D31"/>
    <mergeCell ref="B32:D32"/>
    <mergeCell ref="A33:I33"/>
    <mergeCell ref="B25:D25"/>
    <mergeCell ref="B26:D26"/>
    <mergeCell ref="B27:D27"/>
    <mergeCell ref="B28:D28"/>
    <mergeCell ref="B29:D29"/>
    <mergeCell ref="B30:D30"/>
    <mergeCell ref="B19:D19"/>
    <mergeCell ref="B20:D20"/>
    <mergeCell ref="B21:D21"/>
    <mergeCell ref="B22:D22"/>
    <mergeCell ref="B23:D23"/>
    <mergeCell ref="B24:D24"/>
    <mergeCell ref="B13:D13"/>
    <mergeCell ref="B14:D14"/>
    <mergeCell ref="B15:D15"/>
    <mergeCell ref="B16:D16"/>
    <mergeCell ref="B17:D17"/>
    <mergeCell ref="B18:D18"/>
    <mergeCell ref="A4:E4"/>
    <mergeCell ref="A11:A12"/>
    <mergeCell ref="B11:D11"/>
    <mergeCell ref="K11:L11"/>
    <mergeCell ref="O11:O12"/>
    <mergeCell ref="M11:N11"/>
  </mergeCells>
  <dataValidations count="4">
    <dataValidation allowBlank="1" showInputMessage="1" showErrorMessage="1" imeMode="hiragana" sqref="L9"/>
    <dataValidation type="list" allowBlank="1" showInputMessage="1" showErrorMessage="1" sqref="P20:P32">
      <formula1>$Q$12:$Q$13</formula1>
    </dataValidation>
    <dataValidation type="list" allowBlank="1" showInputMessage="1" showErrorMessage="1" sqref="P18:P19 P15:P16">
      <formula1>$Q$12:$Q$14</formula1>
    </dataValidation>
    <dataValidation allowBlank="1" showInputMessage="1" showErrorMessage="1" imeMode="halfAlpha" sqref="Q13:Q32 I13:N32"/>
  </dataValidations>
  <hyperlinks>
    <hyperlink ref="B2" location="経費明細表!A1" display="戻る"/>
  </hyperlinks>
  <printOptions/>
  <pageMargins left="0.8661417322834646" right="0.7086614173228347" top="0.7480314960629921" bottom="0.7480314960629921" header="0.31496062992125984" footer="0.31496062992125984"/>
  <pageSetup fitToHeight="1" fitToWidth="1" horizontalDpi="600" verticalDpi="600" orientation="portrait" paperSize="9" scale="62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">
    <tabColor rgb="FF92D050"/>
    <pageSetUpPr fitToPage="1"/>
  </sheetPr>
  <dimension ref="A1:S41"/>
  <sheetViews>
    <sheetView showGridLines="0" zoomScaleSheetLayoutView="80" workbookViewId="0" topLeftCell="A1">
      <pane ySplit="3" topLeftCell="A4" activePane="bottomLeft" state="frozen"/>
      <selection pane="topLeft" activeCell="O8" sqref="O8"/>
      <selection pane="bottomLeft" activeCell="A1" sqref="A1"/>
    </sheetView>
  </sheetViews>
  <sheetFormatPr defaultColWidth="9.140625" defaultRowHeight="15"/>
  <cols>
    <col min="1" max="1" width="3.7109375" style="5" customWidth="1"/>
    <col min="2" max="4" width="3.7109375" style="1" customWidth="1"/>
    <col min="5" max="5" width="16.421875" style="85" customWidth="1"/>
    <col min="6" max="6" width="16.140625" style="80" customWidth="1"/>
    <col min="7" max="7" width="9.140625" style="1" customWidth="1"/>
    <col min="8" max="8" width="6.421875" style="1" customWidth="1"/>
    <col min="9" max="10" width="11.57421875" style="1" customWidth="1"/>
    <col min="11" max="14" width="15.140625" style="1" customWidth="1"/>
    <col min="15" max="15" width="3.8515625" style="5" customWidth="1"/>
    <col min="16" max="16" width="5.28125" style="5" customWidth="1"/>
    <col min="17" max="17" width="10.421875" style="1" bestFit="1" customWidth="1"/>
    <col min="18" max="18" width="9.00390625" style="1" customWidth="1"/>
    <col min="19" max="19" width="10.421875" style="1" bestFit="1" customWidth="1"/>
    <col min="20" max="16384" width="9.00390625" style="1" customWidth="1"/>
  </cols>
  <sheetData>
    <row r="1" spans="8:19" ht="13.5">
      <c r="H1" s="5"/>
      <c r="Q1" s="5"/>
      <c r="R1" s="86"/>
      <c r="S1" s="86"/>
    </row>
    <row r="2" spans="2:19" ht="13.5">
      <c r="B2" s="246" t="s">
        <v>583</v>
      </c>
      <c r="H2" s="5"/>
      <c r="Q2" s="5"/>
      <c r="R2" s="86"/>
      <c r="S2" s="86"/>
    </row>
    <row r="3" spans="8:19" ht="13.5">
      <c r="H3" s="5"/>
      <c r="Q3" s="5"/>
      <c r="R3" s="86"/>
      <c r="S3" s="86"/>
    </row>
    <row r="4" spans="1:6" ht="13.5" customHeight="1">
      <c r="A4" s="590" t="s">
        <v>757</v>
      </c>
      <c r="B4" s="590"/>
      <c r="C4" s="590"/>
      <c r="D4" s="590"/>
      <c r="E4" s="590"/>
      <c r="F4" s="5"/>
    </row>
    <row r="5" spans="1:15" ht="13.5" customHeight="1">
      <c r="A5" s="11"/>
      <c r="B5" s="11"/>
      <c r="C5" s="11"/>
      <c r="D5" s="11"/>
      <c r="E5" s="111"/>
      <c r="F5" s="5"/>
      <c r="O5" s="11"/>
    </row>
    <row r="6" spans="1:15" ht="13.5" customHeight="1">
      <c r="A6" s="11"/>
      <c r="B6" s="238" t="s">
        <v>669</v>
      </c>
      <c r="C6" s="239"/>
      <c r="D6" s="240"/>
      <c r="E6" s="241"/>
      <c r="F6" s="88" t="s">
        <v>15</v>
      </c>
      <c r="O6" s="11"/>
    </row>
    <row r="7" spans="1:15" ht="13.5" customHeight="1">
      <c r="A7" s="11"/>
      <c r="B7" s="11"/>
      <c r="C7" s="11"/>
      <c r="D7" s="11"/>
      <c r="E7" s="111"/>
      <c r="F7" s="133" t="s">
        <v>23</v>
      </c>
      <c r="O7" s="11"/>
    </row>
    <row r="8" spans="1:16" ht="13.5" customHeight="1">
      <c r="A8" s="11"/>
      <c r="B8" s="11"/>
      <c r="C8" s="11"/>
      <c r="D8" s="11"/>
      <c r="E8" s="111"/>
      <c r="F8" s="5"/>
      <c r="N8" s="1" t="s">
        <v>19</v>
      </c>
      <c r="O8" s="11"/>
      <c r="P8" s="89"/>
    </row>
    <row r="9" spans="1:15" ht="13.5" customHeight="1">
      <c r="A9" s="11"/>
      <c r="F9" s="5"/>
      <c r="K9" s="2" t="s">
        <v>31</v>
      </c>
      <c r="L9" s="8" t="str">
        <f>IF('基本情報入力（使い方）'!$C$11="","",'基本情報入力（使い方）'!$C$11)</f>
        <v>Ｂ金属株式会社</v>
      </c>
      <c r="M9" s="2"/>
      <c r="N9" s="2"/>
      <c r="O9" s="11"/>
    </row>
    <row r="10" spans="1:15" ht="13.5" customHeight="1" thickBot="1">
      <c r="A10" s="11"/>
      <c r="F10" s="5"/>
      <c r="O10" s="11"/>
    </row>
    <row r="11" spans="1:16" ht="27" customHeight="1">
      <c r="A11" s="591" t="s">
        <v>1</v>
      </c>
      <c r="B11" s="583" t="s">
        <v>2</v>
      </c>
      <c r="C11" s="583"/>
      <c r="D11" s="582"/>
      <c r="E11" s="112" t="s">
        <v>3</v>
      </c>
      <c r="F11" s="3" t="s">
        <v>4</v>
      </c>
      <c r="G11" s="3" t="s">
        <v>5</v>
      </c>
      <c r="H11" s="3" t="s">
        <v>6</v>
      </c>
      <c r="I11" s="3" t="s">
        <v>0</v>
      </c>
      <c r="J11" s="3" t="s">
        <v>0</v>
      </c>
      <c r="K11" s="581" t="s">
        <v>7</v>
      </c>
      <c r="L11" s="582"/>
      <c r="M11" s="581" t="s">
        <v>8</v>
      </c>
      <c r="N11" s="582"/>
      <c r="O11" s="595" t="s">
        <v>1</v>
      </c>
      <c r="P11" s="597" t="s">
        <v>39</v>
      </c>
    </row>
    <row r="12" spans="1:16" ht="42" customHeight="1" thickBot="1">
      <c r="A12" s="592"/>
      <c r="B12" s="92" t="s">
        <v>9</v>
      </c>
      <c r="C12" s="92" t="s">
        <v>10</v>
      </c>
      <c r="D12" s="93" t="s">
        <v>11</v>
      </c>
      <c r="E12" s="113"/>
      <c r="F12" s="95"/>
      <c r="G12" s="81"/>
      <c r="H12" s="81"/>
      <c r="I12" s="81" t="s">
        <v>12</v>
      </c>
      <c r="J12" s="81" t="s">
        <v>24</v>
      </c>
      <c r="K12" s="81" t="s">
        <v>13</v>
      </c>
      <c r="L12" s="4" t="s">
        <v>22</v>
      </c>
      <c r="M12" s="412" t="s">
        <v>744</v>
      </c>
      <c r="N12" s="4" t="s">
        <v>745</v>
      </c>
      <c r="O12" s="596"/>
      <c r="P12" s="598"/>
    </row>
    <row r="13" spans="1:16" ht="30.75" customHeight="1">
      <c r="A13" s="16">
        <v>1</v>
      </c>
      <c r="B13" s="586"/>
      <c r="C13" s="587"/>
      <c r="D13" s="587"/>
      <c r="E13" s="73" t="s">
        <v>598</v>
      </c>
      <c r="F13" s="74" t="s">
        <v>599</v>
      </c>
      <c r="G13" s="169">
        <v>20</v>
      </c>
      <c r="H13" s="162" t="s">
        <v>600</v>
      </c>
      <c r="I13" s="146">
        <f>IF(J13="","",ROUNDDOWN(J13*(1+P13/100),0))</f>
        <v>5140</v>
      </c>
      <c r="J13" s="148">
        <v>4760</v>
      </c>
      <c r="K13" s="146">
        <f>IF(L13="","",ROUNDDOWN(L13*(1+P13/100),0))</f>
        <v>102816</v>
      </c>
      <c r="L13" s="146">
        <f>IF(OR(J13="",G13=""),"",ROUNDDOWN(J13*G13,0))</f>
        <v>95200</v>
      </c>
      <c r="M13" s="146">
        <f aca="true" t="shared" si="0" ref="M13:M32">L13</f>
        <v>95200</v>
      </c>
      <c r="N13" s="148">
        <v>95200</v>
      </c>
      <c r="O13" s="12">
        <v>1</v>
      </c>
      <c r="P13" s="114">
        <v>8</v>
      </c>
    </row>
    <row r="14" spans="1:17" ht="30.75" customHeight="1">
      <c r="A14" s="17">
        <v>2</v>
      </c>
      <c r="B14" s="586"/>
      <c r="C14" s="587"/>
      <c r="D14" s="587"/>
      <c r="E14" s="74" t="s">
        <v>598</v>
      </c>
      <c r="F14" s="74" t="s">
        <v>601</v>
      </c>
      <c r="G14" s="170">
        <v>10</v>
      </c>
      <c r="H14" s="162" t="s">
        <v>602</v>
      </c>
      <c r="I14" s="146">
        <f aca="true" t="shared" si="1" ref="I14:I32">IF(J14="","",ROUNDDOWN(J14*(1+P14/100),0))</f>
        <v>3807</v>
      </c>
      <c r="J14" s="160">
        <v>3525</v>
      </c>
      <c r="K14" s="146">
        <f aca="true" t="shared" si="2" ref="K14:K32">IF(L14="","",ROUNDDOWN(L14*(1+P14/100),0))</f>
        <v>38070</v>
      </c>
      <c r="L14" s="147">
        <f aca="true" t="shared" si="3" ref="L14:L32">IF(OR(J14="",G14=""),"",ROUNDDOWN(J14*G14,0))</f>
        <v>35250</v>
      </c>
      <c r="M14" s="147">
        <f t="shared" si="0"/>
        <v>35250</v>
      </c>
      <c r="N14" s="160">
        <v>35250</v>
      </c>
      <c r="O14" s="13">
        <v>2</v>
      </c>
      <c r="P14" s="114">
        <v>8</v>
      </c>
      <c r="Q14" s="89"/>
    </row>
    <row r="15" spans="1:17" ht="30.75" customHeight="1">
      <c r="A15" s="16">
        <v>3</v>
      </c>
      <c r="B15" s="586"/>
      <c r="C15" s="587"/>
      <c r="D15" s="587"/>
      <c r="E15" s="75" t="s">
        <v>598</v>
      </c>
      <c r="F15" s="75" t="s">
        <v>603</v>
      </c>
      <c r="G15" s="170">
        <v>10</v>
      </c>
      <c r="H15" s="162" t="s">
        <v>604</v>
      </c>
      <c r="I15" s="146">
        <f t="shared" si="1"/>
        <v>16200</v>
      </c>
      <c r="J15" s="160">
        <v>15000</v>
      </c>
      <c r="K15" s="146">
        <f t="shared" si="2"/>
        <v>162000</v>
      </c>
      <c r="L15" s="147">
        <f t="shared" si="3"/>
        <v>150000</v>
      </c>
      <c r="M15" s="147">
        <f t="shared" si="0"/>
        <v>150000</v>
      </c>
      <c r="N15" s="160">
        <v>150000</v>
      </c>
      <c r="O15" s="12">
        <v>3</v>
      </c>
      <c r="P15" s="114">
        <v>8</v>
      </c>
      <c r="Q15" s="89"/>
    </row>
    <row r="16" spans="1:19" s="10" customFormat="1" ht="30.75" customHeight="1">
      <c r="A16" s="17">
        <v>4</v>
      </c>
      <c r="B16" s="586"/>
      <c r="C16" s="587"/>
      <c r="D16" s="587"/>
      <c r="E16" s="75" t="s">
        <v>598</v>
      </c>
      <c r="F16" s="75" t="s">
        <v>605</v>
      </c>
      <c r="G16" s="169">
        <v>10</v>
      </c>
      <c r="H16" s="162" t="s">
        <v>602</v>
      </c>
      <c r="I16" s="146">
        <f t="shared" si="1"/>
        <v>1620</v>
      </c>
      <c r="J16" s="160">
        <v>1500</v>
      </c>
      <c r="K16" s="146">
        <f t="shared" si="2"/>
        <v>16200</v>
      </c>
      <c r="L16" s="147">
        <f t="shared" si="3"/>
        <v>15000</v>
      </c>
      <c r="M16" s="147">
        <f t="shared" si="0"/>
        <v>15000</v>
      </c>
      <c r="N16" s="160">
        <v>15000</v>
      </c>
      <c r="O16" s="13">
        <v>4</v>
      </c>
      <c r="P16" s="114">
        <v>8</v>
      </c>
      <c r="Q16" s="89"/>
      <c r="R16" s="1"/>
      <c r="S16" s="1"/>
    </row>
    <row r="17" spans="1:19" s="10" customFormat="1" ht="30.75" customHeight="1">
      <c r="A17" s="16">
        <v>5</v>
      </c>
      <c r="B17" s="586"/>
      <c r="C17" s="587"/>
      <c r="D17" s="587"/>
      <c r="E17" s="75" t="s">
        <v>598</v>
      </c>
      <c r="F17" s="75" t="s">
        <v>605</v>
      </c>
      <c r="G17" s="170">
        <v>1</v>
      </c>
      <c r="H17" s="162" t="s">
        <v>604</v>
      </c>
      <c r="I17" s="146">
        <f t="shared" si="1"/>
        <v>129600</v>
      </c>
      <c r="J17" s="160">
        <v>120000</v>
      </c>
      <c r="K17" s="146">
        <f t="shared" si="2"/>
        <v>129600</v>
      </c>
      <c r="L17" s="147">
        <f t="shared" si="3"/>
        <v>120000</v>
      </c>
      <c r="M17" s="147">
        <f t="shared" si="0"/>
        <v>120000</v>
      </c>
      <c r="N17" s="160">
        <v>120000</v>
      </c>
      <c r="O17" s="12">
        <v>5</v>
      </c>
      <c r="P17" s="114">
        <v>8</v>
      </c>
      <c r="Q17" s="1"/>
      <c r="R17" s="1"/>
      <c r="S17" s="1"/>
    </row>
    <row r="18" spans="1:16" ht="30.75" customHeight="1">
      <c r="A18" s="17">
        <v>6</v>
      </c>
      <c r="B18" s="586"/>
      <c r="C18" s="587"/>
      <c r="D18" s="587"/>
      <c r="E18" s="76" t="s">
        <v>598</v>
      </c>
      <c r="F18" s="75" t="s">
        <v>605</v>
      </c>
      <c r="G18" s="170">
        <v>1</v>
      </c>
      <c r="H18" s="162" t="s">
        <v>606</v>
      </c>
      <c r="I18" s="146">
        <f t="shared" si="1"/>
        <v>105840</v>
      </c>
      <c r="J18" s="160">
        <v>98000</v>
      </c>
      <c r="K18" s="146">
        <f t="shared" si="2"/>
        <v>105840</v>
      </c>
      <c r="L18" s="147">
        <f t="shared" si="3"/>
        <v>98000</v>
      </c>
      <c r="M18" s="147">
        <f t="shared" si="0"/>
        <v>98000</v>
      </c>
      <c r="N18" s="160">
        <v>98000</v>
      </c>
      <c r="O18" s="13">
        <v>6</v>
      </c>
      <c r="P18" s="114">
        <v>8</v>
      </c>
    </row>
    <row r="19" spans="1:16" ht="30.75" customHeight="1">
      <c r="A19" s="16">
        <v>7</v>
      </c>
      <c r="B19" s="586"/>
      <c r="C19" s="587"/>
      <c r="D19" s="587"/>
      <c r="E19" s="76" t="s">
        <v>598</v>
      </c>
      <c r="F19" s="75" t="s">
        <v>732</v>
      </c>
      <c r="G19" s="170">
        <v>3</v>
      </c>
      <c r="H19" s="162" t="s">
        <v>602</v>
      </c>
      <c r="I19" s="146">
        <f t="shared" si="1"/>
        <v>60480</v>
      </c>
      <c r="J19" s="160">
        <v>56000</v>
      </c>
      <c r="K19" s="146">
        <f t="shared" si="2"/>
        <v>181440</v>
      </c>
      <c r="L19" s="147">
        <f t="shared" si="3"/>
        <v>168000</v>
      </c>
      <c r="M19" s="147">
        <f t="shared" si="0"/>
        <v>168000</v>
      </c>
      <c r="N19" s="160">
        <v>168000</v>
      </c>
      <c r="O19" s="12">
        <v>7</v>
      </c>
      <c r="P19" s="114">
        <v>8</v>
      </c>
    </row>
    <row r="20" spans="1:16" ht="30.75" customHeight="1">
      <c r="A20" s="17">
        <v>8</v>
      </c>
      <c r="B20" s="586"/>
      <c r="C20" s="587"/>
      <c r="D20" s="587"/>
      <c r="E20" s="76"/>
      <c r="F20" s="75"/>
      <c r="G20" s="170"/>
      <c r="H20" s="166"/>
      <c r="I20" s="146">
        <f t="shared" si="1"/>
      </c>
      <c r="J20" s="160"/>
      <c r="K20" s="146">
        <f t="shared" si="2"/>
      </c>
      <c r="L20" s="147">
        <f t="shared" si="3"/>
      </c>
      <c r="M20" s="147">
        <f t="shared" si="0"/>
      </c>
      <c r="N20" s="160"/>
      <c r="O20" s="13">
        <v>8</v>
      </c>
      <c r="P20" s="114">
        <v>8</v>
      </c>
    </row>
    <row r="21" spans="1:16" ht="30.75" customHeight="1">
      <c r="A21" s="16">
        <v>9</v>
      </c>
      <c r="B21" s="586"/>
      <c r="C21" s="587"/>
      <c r="D21" s="587"/>
      <c r="E21" s="76"/>
      <c r="F21" s="75"/>
      <c r="G21" s="170"/>
      <c r="H21" s="166"/>
      <c r="I21" s="146">
        <f t="shared" si="1"/>
      </c>
      <c r="J21" s="160"/>
      <c r="K21" s="146">
        <f t="shared" si="2"/>
      </c>
      <c r="L21" s="147">
        <f t="shared" si="3"/>
      </c>
      <c r="M21" s="147">
        <f t="shared" si="0"/>
      </c>
      <c r="N21" s="160" t="s">
        <v>747</v>
      </c>
      <c r="O21" s="12">
        <v>9</v>
      </c>
      <c r="P21" s="114">
        <v>8</v>
      </c>
    </row>
    <row r="22" spans="1:16" ht="30.75" customHeight="1">
      <c r="A22" s="17">
        <v>10</v>
      </c>
      <c r="B22" s="586"/>
      <c r="C22" s="587"/>
      <c r="D22" s="587"/>
      <c r="E22" s="76"/>
      <c r="F22" s="75"/>
      <c r="G22" s="169"/>
      <c r="H22" s="166"/>
      <c r="I22" s="146">
        <f t="shared" si="1"/>
      </c>
      <c r="J22" s="160"/>
      <c r="K22" s="146">
        <f t="shared" si="2"/>
      </c>
      <c r="L22" s="147">
        <f t="shared" si="3"/>
      </c>
      <c r="M22" s="147">
        <f t="shared" si="0"/>
      </c>
      <c r="N22" s="160" t="s">
        <v>747</v>
      </c>
      <c r="O22" s="13">
        <v>10</v>
      </c>
      <c r="P22" s="114">
        <v>8</v>
      </c>
    </row>
    <row r="23" spans="1:16" ht="30.75" customHeight="1">
      <c r="A23" s="16">
        <v>11</v>
      </c>
      <c r="B23" s="586"/>
      <c r="C23" s="587"/>
      <c r="D23" s="587"/>
      <c r="E23" s="76"/>
      <c r="F23" s="75"/>
      <c r="G23" s="170"/>
      <c r="H23" s="166"/>
      <c r="I23" s="146">
        <f t="shared" si="1"/>
      </c>
      <c r="J23" s="160"/>
      <c r="K23" s="146">
        <f t="shared" si="2"/>
      </c>
      <c r="L23" s="147">
        <f t="shared" si="3"/>
      </c>
      <c r="M23" s="147">
        <f t="shared" si="0"/>
      </c>
      <c r="N23" s="160" t="s">
        <v>747</v>
      </c>
      <c r="O23" s="12">
        <v>11</v>
      </c>
      <c r="P23" s="114">
        <v>8</v>
      </c>
    </row>
    <row r="24" spans="1:16" ht="30.75" customHeight="1">
      <c r="A24" s="17">
        <v>12</v>
      </c>
      <c r="B24" s="586"/>
      <c r="C24" s="587"/>
      <c r="D24" s="587"/>
      <c r="E24" s="76"/>
      <c r="F24" s="75"/>
      <c r="G24" s="170"/>
      <c r="H24" s="166"/>
      <c r="I24" s="146">
        <f t="shared" si="1"/>
      </c>
      <c r="J24" s="160"/>
      <c r="K24" s="146">
        <f t="shared" si="2"/>
      </c>
      <c r="L24" s="147">
        <f t="shared" si="3"/>
      </c>
      <c r="M24" s="147">
        <f t="shared" si="0"/>
      </c>
      <c r="N24" s="160" t="s">
        <v>747</v>
      </c>
      <c r="O24" s="13">
        <v>12</v>
      </c>
      <c r="P24" s="114">
        <v>8</v>
      </c>
    </row>
    <row r="25" spans="1:16" ht="30.75" customHeight="1">
      <c r="A25" s="16">
        <v>13</v>
      </c>
      <c r="B25" s="586"/>
      <c r="C25" s="587"/>
      <c r="D25" s="587"/>
      <c r="E25" s="76"/>
      <c r="F25" s="75"/>
      <c r="G25" s="169"/>
      <c r="H25" s="166"/>
      <c r="I25" s="146">
        <f t="shared" si="1"/>
      </c>
      <c r="J25" s="160"/>
      <c r="K25" s="146">
        <f t="shared" si="2"/>
      </c>
      <c r="L25" s="147">
        <f t="shared" si="3"/>
      </c>
      <c r="M25" s="147">
        <f t="shared" si="0"/>
      </c>
      <c r="N25" s="160" t="s">
        <v>747</v>
      </c>
      <c r="O25" s="12">
        <v>13</v>
      </c>
      <c r="P25" s="114">
        <v>8</v>
      </c>
    </row>
    <row r="26" spans="1:16" ht="30.75" customHeight="1">
      <c r="A26" s="17">
        <v>14</v>
      </c>
      <c r="B26" s="586"/>
      <c r="C26" s="587"/>
      <c r="D26" s="587"/>
      <c r="E26" s="76"/>
      <c r="F26" s="75"/>
      <c r="G26" s="170"/>
      <c r="H26" s="166"/>
      <c r="I26" s="146">
        <f t="shared" si="1"/>
      </c>
      <c r="J26" s="160"/>
      <c r="K26" s="146">
        <f t="shared" si="2"/>
      </c>
      <c r="L26" s="147">
        <f t="shared" si="3"/>
      </c>
      <c r="M26" s="147">
        <f t="shared" si="0"/>
      </c>
      <c r="N26" s="160" t="s">
        <v>747</v>
      </c>
      <c r="O26" s="13">
        <v>14</v>
      </c>
      <c r="P26" s="114">
        <v>8</v>
      </c>
    </row>
    <row r="27" spans="1:16" ht="30.75" customHeight="1">
      <c r="A27" s="16">
        <v>15</v>
      </c>
      <c r="B27" s="586"/>
      <c r="C27" s="587"/>
      <c r="D27" s="587"/>
      <c r="E27" s="76"/>
      <c r="F27" s="75"/>
      <c r="G27" s="169"/>
      <c r="H27" s="166"/>
      <c r="I27" s="146">
        <f t="shared" si="1"/>
      </c>
      <c r="J27" s="160"/>
      <c r="K27" s="146">
        <f t="shared" si="2"/>
      </c>
      <c r="L27" s="147">
        <f t="shared" si="3"/>
      </c>
      <c r="M27" s="147">
        <f t="shared" si="0"/>
      </c>
      <c r="N27" s="160" t="s">
        <v>747</v>
      </c>
      <c r="O27" s="12">
        <v>15</v>
      </c>
      <c r="P27" s="114">
        <v>8</v>
      </c>
    </row>
    <row r="28" spans="1:16" ht="30.75" customHeight="1">
      <c r="A28" s="17">
        <v>16</v>
      </c>
      <c r="B28" s="586"/>
      <c r="C28" s="587"/>
      <c r="D28" s="587"/>
      <c r="E28" s="76"/>
      <c r="F28" s="75"/>
      <c r="G28" s="170"/>
      <c r="H28" s="166"/>
      <c r="I28" s="146">
        <f t="shared" si="1"/>
      </c>
      <c r="J28" s="160"/>
      <c r="K28" s="146">
        <f t="shared" si="2"/>
      </c>
      <c r="L28" s="147">
        <f t="shared" si="3"/>
      </c>
      <c r="M28" s="147">
        <f t="shared" si="0"/>
      </c>
      <c r="N28" s="160" t="s">
        <v>747</v>
      </c>
      <c r="O28" s="13">
        <v>16</v>
      </c>
      <c r="P28" s="114">
        <v>8</v>
      </c>
    </row>
    <row r="29" spans="1:16" ht="30.75" customHeight="1">
      <c r="A29" s="16">
        <v>17</v>
      </c>
      <c r="B29" s="586"/>
      <c r="C29" s="587"/>
      <c r="D29" s="587"/>
      <c r="E29" s="76"/>
      <c r="F29" s="75"/>
      <c r="G29" s="169"/>
      <c r="H29" s="166"/>
      <c r="I29" s="146">
        <f t="shared" si="1"/>
      </c>
      <c r="J29" s="160"/>
      <c r="K29" s="146">
        <f t="shared" si="2"/>
      </c>
      <c r="L29" s="147">
        <f t="shared" si="3"/>
      </c>
      <c r="M29" s="147">
        <f t="shared" si="0"/>
      </c>
      <c r="N29" s="160" t="s">
        <v>747</v>
      </c>
      <c r="O29" s="12">
        <v>17</v>
      </c>
      <c r="P29" s="114">
        <v>8</v>
      </c>
    </row>
    <row r="30" spans="1:16" ht="30.75" customHeight="1">
      <c r="A30" s="17">
        <v>18</v>
      </c>
      <c r="B30" s="586"/>
      <c r="C30" s="587"/>
      <c r="D30" s="587"/>
      <c r="E30" s="77"/>
      <c r="F30" s="77"/>
      <c r="G30" s="174"/>
      <c r="H30" s="167"/>
      <c r="I30" s="146">
        <f t="shared" si="1"/>
      </c>
      <c r="J30" s="160"/>
      <c r="K30" s="146">
        <f t="shared" si="2"/>
      </c>
      <c r="L30" s="147">
        <f t="shared" si="3"/>
      </c>
      <c r="M30" s="147">
        <f t="shared" si="0"/>
      </c>
      <c r="N30" s="160" t="s">
        <v>747</v>
      </c>
      <c r="O30" s="13">
        <v>18</v>
      </c>
      <c r="P30" s="114">
        <v>8</v>
      </c>
    </row>
    <row r="31" spans="1:16" ht="30.75" customHeight="1">
      <c r="A31" s="16">
        <v>19</v>
      </c>
      <c r="B31" s="586"/>
      <c r="C31" s="587"/>
      <c r="D31" s="587"/>
      <c r="E31" s="77"/>
      <c r="F31" s="77"/>
      <c r="G31" s="174"/>
      <c r="H31" s="167"/>
      <c r="I31" s="146">
        <f t="shared" si="1"/>
      </c>
      <c r="J31" s="160"/>
      <c r="K31" s="146">
        <f t="shared" si="2"/>
      </c>
      <c r="L31" s="147">
        <f t="shared" si="3"/>
      </c>
      <c r="M31" s="147">
        <f t="shared" si="0"/>
      </c>
      <c r="N31" s="160" t="s">
        <v>747</v>
      </c>
      <c r="O31" s="12">
        <v>19</v>
      </c>
      <c r="P31" s="114">
        <v>8</v>
      </c>
    </row>
    <row r="32" spans="1:16" ht="30.75" customHeight="1" thickBot="1">
      <c r="A32" s="27">
        <v>20</v>
      </c>
      <c r="B32" s="593"/>
      <c r="C32" s="594"/>
      <c r="D32" s="594"/>
      <c r="E32" s="78"/>
      <c r="F32" s="78"/>
      <c r="G32" s="175"/>
      <c r="H32" s="168"/>
      <c r="I32" s="149">
        <f t="shared" si="1"/>
      </c>
      <c r="J32" s="161"/>
      <c r="K32" s="149">
        <f t="shared" si="2"/>
      </c>
      <c r="L32" s="151">
        <f t="shared" si="3"/>
      </c>
      <c r="M32" s="151">
        <f t="shared" si="0"/>
      </c>
      <c r="N32" s="161" t="s">
        <v>747</v>
      </c>
      <c r="O32" s="28">
        <v>20</v>
      </c>
      <c r="P32" s="115">
        <v>8</v>
      </c>
    </row>
    <row r="33" spans="1:15" ht="21" customHeight="1" thickBot="1">
      <c r="A33" s="588" t="s">
        <v>14</v>
      </c>
      <c r="B33" s="589"/>
      <c r="C33" s="589"/>
      <c r="D33" s="589"/>
      <c r="E33" s="589"/>
      <c r="F33" s="589"/>
      <c r="G33" s="589"/>
      <c r="H33" s="589"/>
      <c r="I33" s="589"/>
      <c r="J33" s="82"/>
      <c r="K33" s="157">
        <f>SUM(K13:K32)</f>
        <v>735966</v>
      </c>
      <c r="L33" s="158">
        <f>SUM(L13:L32)</f>
        <v>681450</v>
      </c>
      <c r="M33" s="157">
        <f>SUM(M13:M32)</f>
        <v>681450</v>
      </c>
      <c r="N33" s="159">
        <f>SUM(N13:N32)</f>
        <v>681450</v>
      </c>
      <c r="O33" s="14"/>
    </row>
    <row r="34" spans="1:15" ht="13.5" customHeight="1">
      <c r="A34" s="11"/>
      <c r="O34" s="11"/>
    </row>
    <row r="35" spans="2:15" ht="13.5" customHeight="1">
      <c r="B35" s="1" t="s">
        <v>16</v>
      </c>
      <c r="D35" s="90"/>
      <c r="E35" s="80" t="s">
        <v>32</v>
      </c>
      <c r="O35" s="11"/>
    </row>
    <row r="36" spans="5:17" ht="13.5" customHeight="1">
      <c r="E36" s="80" t="s">
        <v>33</v>
      </c>
      <c r="O36" s="15"/>
      <c r="Q36" s="80"/>
    </row>
    <row r="37" spans="2:17" ht="13.5" customHeight="1">
      <c r="B37" s="1" t="s">
        <v>17</v>
      </c>
      <c r="E37" s="80" t="s">
        <v>34</v>
      </c>
      <c r="Q37" s="80"/>
    </row>
    <row r="38" spans="2:17" ht="13.5" customHeight="1">
      <c r="B38" s="1" t="s">
        <v>18</v>
      </c>
      <c r="E38" s="80" t="s">
        <v>35</v>
      </c>
      <c r="Q38" s="80"/>
    </row>
    <row r="39" spans="1:17" s="80" customFormat="1" ht="13.5">
      <c r="A39" s="5"/>
      <c r="B39" s="1"/>
      <c r="C39" s="1"/>
      <c r="D39" s="1"/>
      <c r="E39" s="85"/>
      <c r="G39" s="1"/>
      <c r="H39" s="1"/>
      <c r="I39" s="1"/>
      <c r="J39" s="1"/>
      <c r="K39" s="1"/>
      <c r="L39" s="1"/>
      <c r="M39" s="1"/>
      <c r="N39" s="1"/>
      <c r="O39" s="5"/>
      <c r="P39" s="5"/>
      <c r="Q39" s="1"/>
    </row>
    <row r="40" spans="1:17" s="80" customFormat="1" ht="13.5">
      <c r="A40" s="5"/>
      <c r="B40" s="1"/>
      <c r="C40" s="1"/>
      <c r="D40" s="1"/>
      <c r="E40" s="85"/>
      <c r="G40" s="1"/>
      <c r="H40" s="1"/>
      <c r="I40" s="1"/>
      <c r="J40" s="1"/>
      <c r="K40" s="1"/>
      <c r="L40" s="1"/>
      <c r="M40" s="1"/>
      <c r="N40" s="1"/>
      <c r="O40" s="5"/>
      <c r="P40" s="5"/>
      <c r="Q40" s="1"/>
    </row>
    <row r="41" spans="1:17" s="80" customFormat="1" ht="13.5">
      <c r="A41" s="5"/>
      <c r="B41" s="1"/>
      <c r="C41" s="1"/>
      <c r="D41" s="1"/>
      <c r="E41" s="85"/>
      <c r="G41" s="1"/>
      <c r="H41" s="1"/>
      <c r="I41" s="1"/>
      <c r="J41" s="1"/>
      <c r="K41" s="1"/>
      <c r="L41" s="1"/>
      <c r="M41" s="1"/>
      <c r="N41" s="1"/>
      <c r="O41" s="5"/>
      <c r="P41" s="5"/>
      <c r="Q41" s="1"/>
    </row>
  </sheetData>
  <sheetProtection sheet="1" objects="1" scenarios="1"/>
  <mergeCells count="28">
    <mergeCell ref="A4:E4"/>
    <mergeCell ref="A11:A12"/>
    <mergeCell ref="B11:D11"/>
    <mergeCell ref="K11:L11"/>
    <mergeCell ref="O11:O12"/>
    <mergeCell ref="P11:P12"/>
    <mergeCell ref="M11:N11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31:D31"/>
    <mergeCell ref="B32:D32"/>
    <mergeCell ref="A33:I33"/>
    <mergeCell ref="B25:D25"/>
    <mergeCell ref="B26:D26"/>
    <mergeCell ref="B27:D27"/>
    <mergeCell ref="B28:D28"/>
    <mergeCell ref="B29:D29"/>
    <mergeCell ref="B30:D30"/>
  </mergeCells>
  <dataValidations count="2">
    <dataValidation allowBlank="1" showInputMessage="1" showErrorMessage="1" imeMode="halfAlpha" sqref="I13:N32"/>
    <dataValidation allowBlank="1" showInputMessage="1" showErrorMessage="1" imeMode="hiragana" sqref="L9"/>
  </dataValidations>
  <hyperlinks>
    <hyperlink ref="B2" location="経費明細表!A1" display="戻る"/>
  </hyperlinks>
  <printOptions/>
  <pageMargins left="0.8661417322834646" right="0.7086614173228347" top="0.7480314960629921" bottom="0.7480314960629921" header="0.31496062992125984" footer="0.31496062992125984"/>
  <pageSetup fitToHeight="1" fitToWidth="1" horizontalDpi="600" verticalDpi="600" orientation="portrait" paperSize="9" scale="62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5">
    <tabColor rgb="FF92D050"/>
    <pageSetUpPr fitToPage="1"/>
  </sheetPr>
  <dimension ref="A1:S38"/>
  <sheetViews>
    <sheetView showGridLines="0" zoomScaleSheetLayoutView="80" zoomScalePageLayoutView="0" workbookViewId="0" topLeftCell="A1">
      <pane ySplit="3" topLeftCell="A4" activePane="bottomLeft" state="frozen"/>
      <selection pane="topLeft" activeCell="I12" sqref="I12"/>
      <selection pane="bottomLeft" activeCell="A1" sqref="A1"/>
    </sheetView>
  </sheetViews>
  <sheetFormatPr defaultColWidth="9.140625" defaultRowHeight="15"/>
  <cols>
    <col min="1" max="4" width="3.7109375" style="1" customWidth="1"/>
    <col min="5" max="5" width="16.421875" style="85" customWidth="1"/>
    <col min="6" max="6" width="16.140625" style="80" customWidth="1"/>
    <col min="7" max="7" width="9.140625" style="1" customWidth="1"/>
    <col min="8" max="8" width="6.421875" style="1" customWidth="1"/>
    <col min="9" max="10" width="11.57421875" style="1" customWidth="1"/>
    <col min="11" max="14" width="15.140625" style="1" customWidth="1"/>
    <col min="15" max="15" width="3.8515625" style="5" customWidth="1"/>
    <col min="16" max="16" width="5.28125" style="5" customWidth="1"/>
    <col min="17" max="17" width="3.57421875" style="5" customWidth="1"/>
    <col min="18" max="16384" width="9.00390625" style="1" customWidth="1"/>
  </cols>
  <sheetData>
    <row r="1" spans="1:19" ht="13.5">
      <c r="A1" s="5"/>
      <c r="H1" s="5"/>
      <c r="R1" s="86"/>
      <c r="S1" s="86"/>
    </row>
    <row r="2" spans="1:19" ht="13.5">
      <c r="A2" s="5"/>
      <c r="B2" s="246" t="s">
        <v>583</v>
      </c>
      <c r="H2" s="5"/>
      <c r="R2" s="86"/>
      <c r="S2" s="86"/>
    </row>
    <row r="3" spans="1:19" ht="13.5">
      <c r="A3" s="5"/>
      <c r="H3" s="5"/>
      <c r="R3" s="86"/>
      <c r="S3" s="86"/>
    </row>
    <row r="4" spans="1:6" ht="13.5" customHeight="1">
      <c r="A4" s="590" t="s">
        <v>757</v>
      </c>
      <c r="B4" s="590"/>
      <c r="C4" s="590"/>
      <c r="D4" s="590"/>
      <c r="E4" s="590"/>
      <c r="F4" s="5"/>
    </row>
    <row r="5" spans="1:17" ht="13.5" customHeight="1">
      <c r="A5" s="11"/>
      <c r="B5" s="11"/>
      <c r="C5" s="11"/>
      <c r="D5" s="11"/>
      <c r="E5" s="111"/>
      <c r="F5" s="5"/>
      <c r="O5" s="11"/>
      <c r="Q5" s="11"/>
    </row>
    <row r="6" spans="1:17" ht="13.5" customHeight="1">
      <c r="A6" s="11"/>
      <c r="B6" s="238" t="s">
        <v>669</v>
      </c>
      <c r="C6" s="239"/>
      <c r="D6" s="240"/>
      <c r="E6" s="241"/>
      <c r="F6" s="88" t="s">
        <v>15</v>
      </c>
      <c r="O6" s="11"/>
      <c r="Q6" s="11"/>
    </row>
    <row r="7" spans="1:17" ht="13.5" customHeight="1">
      <c r="A7" s="11"/>
      <c r="B7" s="11"/>
      <c r="C7" s="11"/>
      <c r="D7" s="11"/>
      <c r="E7" s="111"/>
      <c r="F7" s="133" t="s">
        <v>26</v>
      </c>
      <c r="O7" s="11"/>
      <c r="Q7" s="11"/>
    </row>
    <row r="8" spans="1:17" ht="13.5" customHeight="1">
      <c r="A8" s="11"/>
      <c r="B8" s="11"/>
      <c r="C8" s="11"/>
      <c r="D8" s="11"/>
      <c r="E8" s="111"/>
      <c r="F8" s="5"/>
      <c r="N8" s="1" t="s">
        <v>19</v>
      </c>
      <c r="O8" s="11"/>
      <c r="P8" s="89"/>
      <c r="Q8" s="11"/>
    </row>
    <row r="9" spans="1:17" ht="13.5" customHeight="1">
      <c r="A9" s="90"/>
      <c r="F9" s="5"/>
      <c r="K9" s="2" t="s">
        <v>31</v>
      </c>
      <c r="L9" s="8" t="str">
        <f>IF('基本情報入力（使い方）'!$C$11="","",'基本情報入力（使い方）'!$C$11)</f>
        <v>Ｂ金属株式会社</v>
      </c>
      <c r="O9" s="11"/>
      <c r="Q9" s="11"/>
    </row>
    <row r="10" spans="1:17" ht="13.5" customHeight="1" thickBot="1">
      <c r="A10" s="90"/>
      <c r="F10" s="5"/>
      <c r="O10" s="11"/>
      <c r="Q10" s="11"/>
    </row>
    <row r="11" spans="1:17" ht="27" customHeight="1">
      <c r="A11" s="591" t="s">
        <v>1</v>
      </c>
      <c r="B11" s="583" t="s">
        <v>2</v>
      </c>
      <c r="C11" s="583"/>
      <c r="D11" s="582"/>
      <c r="E11" s="112" t="s">
        <v>3</v>
      </c>
      <c r="F11" s="3" t="s">
        <v>4</v>
      </c>
      <c r="G11" s="3" t="s">
        <v>5</v>
      </c>
      <c r="H11" s="3" t="s">
        <v>6</v>
      </c>
      <c r="I11" s="3" t="s">
        <v>0</v>
      </c>
      <c r="J11" s="3" t="s">
        <v>0</v>
      </c>
      <c r="K11" s="581" t="s">
        <v>7</v>
      </c>
      <c r="L11" s="582"/>
      <c r="M11" s="581" t="s">
        <v>8</v>
      </c>
      <c r="N11" s="582"/>
      <c r="O11" s="595" t="s">
        <v>1</v>
      </c>
      <c r="P11" s="597" t="s">
        <v>39</v>
      </c>
      <c r="Q11" s="104"/>
    </row>
    <row r="12" spans="1:17" ht="42" customHeight="1" thickBot="1">
      <c r="A12" s="592"/>
      <c r="B12" s="92" t="s">
        <v>9</v>
      </c>
      <c r="C12" s="92" t="s">
        <v>10</v>
      </c>
      <c r="D12" s="93" t="s">
        <v>11</v>
      </c>
      <c r="E12" s="113"/>
      <c r="F12" s="95"/>
      <c r="G12" s="81"/>
      <c r="H12" s="81"/>
      <c r="I12" s="81" t="s">
        <v>12</v>
      </c>
      <c r="J12" s="81" t="s">
        <v>24</v>
      </c>
      <c r="K12" s="81" t="s">
        <v>13</v>
      </c>
      <c r="L12" s="4" t="s">
        <v>22</v>
      </c>
      <c r="M12" s="412" t="s">
        <v>744</v>
      </c>
      <c r="N12" s="4" t="s">
        <v>745</v>
      </c>
      <c r="O12" s="596"/>
      <c r="P12" s="598"/>
      <c r="Q12" s="104"/>
    </row>
    <row r="13" spans="1:17" ht="30.75" customHeight="1">
      <c r="A13" s="16">
        <v>1</v>
      </c>
      <c r="B13" s="599"/>
      <c r="C13" s="600"/>
      <c r="D13" s="600"/>
      <c r="E13" s="73" t="s">
        <v>607</v>
      </c>
      <c r="F13" s="74" t="s">
        <v>608</v>
      </c>
      <c r="G13" s="169">
        <v>100</v>
      </c>
      <c r="H13" s="162" t="s">
        <v>576</v>
      </c>
      <c r="I13" s="146">
        <f>IF(J13="","",ROUNDDOWN(J13*(1+P13/100),0))</f>
        <v>58320</v>
      </c>
      <c r="J13" s="148">
        <v>54000</v>
      </c>
      <c r="K13" s="146">
        <f>IF(L13="","",ROUNDDOWN(L13*(1+P13/100),0))</f>
        <v>5832000</v>
      </c>
      <c r="L13" s="146">
        <f>IF(OR(J13="",G13=""),"",ROUNDDOWN(J13*G13,0))</f>
        <v>5400000</v>
      </c>
      <c r="M13" s="155">
        <f aca="true" t="shared" si="0" ref="M13:M32">L13</f>
        <v>5400000</v>
      </c>
      <c r="N13" s="413">
        <v>5377000</v>
      </c>
      <c r="O13" s="106">
        <v>1</v>
      </c>
      <c r="P13" s="107">
        <v>8</v>
      </c>
      <c r="Q13" s="1"/>
    </row>
    <row r="14" spans="1:17" ht="30.75" customHeight="1">
      <c r="A14" s="17">
        <v>2</v>
      </c>
      <c r="B14" s="586"/>
      <c r="C14" s="587"/>
      <c r="D14" s="587"/>
      <c r="E14" s="97"/>
      <c r="F14" s="75"/>
      <c r="G14" s="169"/>
      <c r="H14" s="162"/>
      <c r="I14" s="146">
        <f aca="true" t="shared" si="1" ref="I14:I32">IF(J14="","",ROUNDDOWN(J14*(1+P14/100),0))</f>
      </c>
      <c r="J14" s="148"/>
      <c r="K14" s="146">
        <f aca="true" t="shared" si="2" ref="K14:K32">IF(L14="","",ROUNDDOWN(L14*(1+P14/100),0))</f>
      </c>
      <c r="L14" s="146">
        <f aca="true" t="shared" si="3" ref="L14:L32">IF(OR(J14="",G14=""),"",ROUNDDOWN(J14*G14,0))</f>
      </c>
      <c r="M14" s="155">
        <f t="shared" si="0"/>
      </c>
      <c r="N14" s="413" t="s">
        <v>747</v>
      </c>
      <c r="O14" s="108">
        <v>2</v>
      </c>
      <c r="P14" s="107">
        <v>8</v>
      </c>
      <c r="Q14" s="104"/>
    </row>
    <row r="15" spans="1:17" ht="30.75" customHeight="1">
      <c r="A15" s="16">
        <v>3</v>
      </c>
      <c r="B15" s="586"/>
      <c r="C15" s="587"/>
      <c r="D15" s="587"/>
      <c r="E15" s="97"/>
      <c r="F15" s="75"/>
      <c r="G15" s="169"/>
      <c r="H15" s="162"/>
      <c r="I15" s="146">
        <f t="shared" si="1"/>
      </c>
      <c r="J15" s="148"/>
      <c r="K15" s="146">
        <f t="shared" si="2"/>
      </c>
      <c r="L15" s="146">
        <f t="shared" si="3"/>
      </c>
      <c r="M15" s="155">
        <f t="shared" si="0"/>
      </c>
      <c r="N15" s="413" t="s">
        <v>747</v>
      </c>
      <c r="O15" s="106">
        <v>3</v>
      </c>
      <c r="P15" s="107">
        <v>8</v>
      </c>
      <c r="Q15" s="104"/>
    </row>
    <row r="16" spans="1:17" s="10" customFormat="1" ht="30.75" customHeight="1">
      <c r="A16" s="120">
        <v>4</v>
      </c>
      <c r="B16" s="586"/>
      <c r="C16" s="587"/>
      <c r="D16" s="587"/>
      <c r="E16" s="97"/>
      <c r="F16" s="75"/>
      <c r="G16" s="169"/>
      <c r="H16" s="162"/>
      <c r="I16" s="146">
        <f t="shared" si="1"/>
      </c>
      <c r="J16" s="148"/>
      <c r="K16" s="146">
        <f t="shared" si="2"/>
      </c>
      <c r="L16" s="146">
        <f t="shared" si="3"/>
      </c>
      <c r="M16" s="155">
        <f t="shared" si="0"/>
      </c>
      <c r="N16" s="413" t="s">
        <v>747</v>
      </c>
      <c r="O16" s="116">
        <v>4</v>
      </c>
      <c r="P16" s="107">
        <v>8</v>
      </c>
      <c r="Q16" s="117"/>
    </row>
    <row r="17" spans="1:17" s="10" customFormat="1" ht="30.75" customHeight="1">
      <c r="A17" s="123">
        <v>5</v>
      </c>
      <c r="B17" s="586"/>
      <c r="C17" s="587"/>
      <c r="D17" s="587"/>
      <c r="E17" s="97"/>
      <c r="F17" s="75"/>
      <c r="G17" s="169"/>
      <c r="H17" s="162"/>
      <c r="I17" s="146">
        <f t="shared" si="1"/>
      </c>
      <c r="J17" s="148"/>
      <c r="K17" s="146">
        <f t="shared" si="2"/>
      </c>
      <c r="L17" s="146">
        <f t="shared" si="3"/>
      </c>
      <c r="M17" s="155">
        <f t="shared" si="0"/>
      </c>
      <c r="N17" s="413" t="s">
        <v>747</v>
      </c>
      <c r="O17" s="118">
        <v>5</v>
      </c>
      <c r="P17" s="107">
        <v>8</v>
      </c>
      <c r="Q17" s="117"/>
    </row>
    <row r="18" spans="1:17" ht="30.75" customHeight="1">
      <c r="A18" s="17">
        <v>6</v>
      </c>
      <c r="B18" s="586"/>
      <c r="C18" s="587"/>
      <c r="D18" s="587"/>
      <c r="E18" s="97"/>
      <c r="F18" s="75"/>
      <c r="G18" s="169"/>
      <c r="H18" s="162"/>
      <c r="I18" s="146">
        <f t="shared" si="1"/>
      </c>
      <c r="J18" s="148"/>
      <c r="K18" s="146">
        <f t="shared" si="2"/>
      </c>
      <c r="L18" s="146">
        <f t="shared" si="3"/>
      </c>
      <c r="M18" s="155">
        <f t="shared" si="0"/>
      </c>
      <c r="N18" s="413" t="s">
        <v>747</v>
      </c>
      <c r="O18" s="108">
        <v>6</v>
      </c>
      <c r="P18" s="107">
        <v>8</v>
      </c>
      <c r="Q18" s="104"/>
    </row>
    <row r="19" spans="1:17" ht="30.75" customHeight="1">
      <c r="A19" s="16">
        <v>7</v>
      </c>
      <c r="B19" s="586"/>
      <c r="C19" s="587"/>
      <c r="D19" s="587"/>
      <c r="E19" s="97"/>
      <c r="F19" s="98"/>
      <c r="G19" s="169"/>
      <c r="H19" s="162"/>
      <c r="I19" s="146">
        <f t="shared" si="1"/>
      </c>
      <c r="J19" s="148"/>
      <c r="K19" s="146">
        <f t="shared" si="2"/>
      </c>
      <c r="L19" s="146">
        <f t="shared" si="3"/>
      </c>
      <c r="M19" s="155">
        <f t="shared" si="0"/>
      </c>
      <c r="N19" s="413" t="s">
        <v>747</v>
      </c>
      <c r="O19" s="106">
        <v>7</v>
      </c>
      <c r="P19" s="107">
        <v>8</v>
      </c>
      <c r="Q19" s="104"/>
    </row>
    <row r="20" spans="1:17" ht="30.75" customHeight="1">
      <c r="A20" s="17">
        <v>8</v>
      </c>
      <c r="B20" s="586"/>
      <c r="C20" s="587"/>
      <c r="D20" s="587"/>
      <c r="E20" s="97"/>
      <c r="F20" s="75"/>
      <c r="G20" s="169"/>
      <c r="H20" s="162"/>
      <c r="I20" s="146">
        <f t="shared" si="1"/>
      </c>
      <c r="J20" s="148"/>
      <c r="K20" s="146">
        <f t="shared" si="2"/>
      </c>
      <c r="L20" s="146">
        <f t="shared" si="3"/>
      </c>
      <c r="M20" s="155">
        <f t="shared" si="0"/>
      </c>
      <c r="N20" s="413" t="s">
        <v>747</v>
      </c>
      <c r="O20" s="108">
        <v>8</v>
      </c>
      <c r="P20" s="107">
        <v>8</v>
      </c>
      <c r="Q20" s="104"/>
    </row>
    <row r="21" spans="1:17" ht="30.75" customHeight="1">
      <c r="A21" s="16">
        <v>9</v>
      </c>
      <c r="B21" s="586"/>
      <c r="C21" s="587"/>
      <c r="D21" s="587"/>
      <c r="E21" s="97"/>
      <c r="F21" s="75"/>
      <c r="G21" s="169"/>
      <c r="H21" s="162"/>
      <c r="I21" s="146">
        <f t="shared" si="1"/>
      </c>
      <c r="J21" s="148"/>
      <c r="K21" s="146">
        <f t="shared" si="2"/>
      </c>
      <c r="L21" s="146">
        <f t="shared" si="3"/>
      </c>
      <c r="M21" s="155">
        <f t="shared" si="0"/>
      </c>
      <c r="N21" s="413" t="s">
        <v>747</v>
      </c>
      <c r="O21" s="106">
        <v>9</v>
      </c>
      <c r="P21" s="107">
        <v>8</v>
      </c>
      <c r="Q21" s="104"/>
    </row>
    <row r="22" spans="1:17" ht="30.75" customHeight="1">
      <c r="A22" s="17">
        <v>10</v>
      </c>
      <c r="B22" s="586"/>
      <c r="C22" s="587"/>
      <c r="D22" s="587"/>
      <c r="E22" s="97"/>
      <c r="F22" s="75"/>
      <c r="G22" s="169"/>
      <c r="H22" s="162"/>
      <c r="I22" s="146">
        <f t="shared" si="1"/>
      </c>
      <c r="J22" s="148"/>
      <c r="K22" s="146">
        <f t="shared" si="2"/>
      </c>
      <c r="L22" s="146">
        <f t="shared" si="3"/>
      </c>
      <c r="M22" s="155">
        <f t="shared" si="0"/>
      </c>
      <c r="N22" s="413" t="s">
        <v>747</v>
      </c>
      <c r="O22" s="108">
        <v>10</v>
      </c>
      <c r="P22" s="107">
        <v>8</v>
      </c>
      <c r="Q22" s="104"/>
    </row>
    <row r="23" spans="1:17" ht="30.75" customHeight="1">
      <c r="A23" s="16">
        <v>11</v>
      </c>
      <c r="B23" s="586"/>
      <c r="C23" s="587"/>
      <c r="D23" s="587"/>
      <c r="E23" s="97"/>
      <c r="F23" s="75"/>
      <c r="G23" s="169"/>
      <c r="H23" s="162"/>
      <c r="I23" s="146">
        <f t="shared" si="1"/>
      </c>
      <c r="J23" s="148"/>
      <c r="K23" s="146">
        <f t="shared" si="2"/>
      </c>
      <c r="L23" s="146">
        <f t="shared" si="3"/>
      </c>
      <c r="M23" s="155">
        <f t="shared" si="0"/>
      </c>
      <c r="N23" s="413" t="s">
        <v>747</v>
      </c>
      <c r="O23" s="106">
        <v>11</v>
      </c>
      <c r="P23" s="107">
        <v>8</v>
      </c>
      <c r="Q23" s="104"/>
    </row>
    <row r="24" spans="1:17" ht="30.75" customHeight="1">
      <c r="A24" s="17">
        <v>12</v>
      </c>
      <c r="B24" s="586"/>
      <c r="C24" s="587"/>
      <c r="D24" s="587"/>
      <c r="E24" s="97"/>
      <c r="F24" s="75"/>
      <c r="G24" s="169"/>
      <c r="H24" s="162"/>
      <c r="I24" s="146">
        <f t="shared" si="1"/>
      </c>
      <c r="J24" s="148"/>
      <c r="K24" s="146">
        <f t="shared" si="2"/>
      </c>
      <c r="L24" s="146">
        <f t="shared" si="3"/>
      </c>
      <c r="M24" s="155">
        <f t="shared" si="0"/>
      </c>
      <c r="N24" s="413" t="s">
        <v>747</v>
      </c>
      <c r="O24" s="108">
        <v>12</v>
      </c>
      <c r="P24" s="107">
        <v>8</v>
      </c>
      <c r="Q24" s="104"/>
    </row>
    <row r="25" spans="1:17" ht="30.75" customHeight="1">
      <c r="A25" s="16">
        <v>13</v>
      </c>
      <c r="B25" s="586"/>
      <c r="C25" s="587"/>
      <c r="D25" s="587"/>
      <c r="E25" s="97"/>
      <c r="F25" s="75"/>
      <c r="G25" s="169"/>
      <c r="H25" s="162"/>
      <c r="I25" s="146">
        <f t="shared" si="1"/>
      </c>
      <c r="J25" s="148"/>
      <c r="K25" s="146">
        <f t="shared" si="2"/>
      </c>
      <c r="L25" s="146">
        <f t="shared" si="3"/>
      </c>
      <c r="M25" s="155">
        <f t="shared" si="0"/>
      </c>
      <c r="N25" s="413" t="s">
        <v>747</v>
      </c>
      <c r="O25" s="106">
        <v>13</v>
      </c>
      <c r="P25" s="107">
        <v>8</v>
      </c>
      <c r="Q25" s="104"/>
    </row>
    <row r="26" spans="1:17" ht="30.75" customHeight="1">
      <c r="A26" s="17">
        <v>14</v>
      </c>
      <c r="B26" s="586"/>
      <c r="C26" s="587"/>
      <c r="D26" s="587"/>
      <c r="E26" s="119"/>
      <c r="F26" s="75"/>
      <c r="G26" s="169"/>
      <c r="H26" s="162"/>
      <c r="I26" s="146">
        <f t="shared" si="1"/>
      </c>
      <c r="J26" s="148"/>
      <c r="K26" s="146">
        <f t="shared" si="2"/>
      </c>
      <c r="L26" s="146">
        <f t="shared" si="3"/>
      </c>
      <c r="M26" s="155">
        <f t="shared" si="0"/>
      </c>
      <c r="N26" s="413" t="s">
        <v>747</v>
      </c>
      <c r="O26" s="108">
        <v>14</v>
      </c>
      <c r="P26" s="107">
        <v>8</v>
      </c>
      <c r="Q26" s="104"/>
    </row>
    <row r="27" spans="1:17" ht="30.75" customHeight="1">
      <c r="A27" s="16">
        <v>15</v>
      </c>
      <c r="B27" s="586"/>
      <c r="C27" s="587"/>
      <c r="D27" s="587"/>
      <c r="E27" s="119"/>
      <c r="F27" s="75"/>
      <c r="G27" s="169"/>
      <c r="H27" s="162"/>
      <c r="I27" s="146">
        <f t="shared" si="1"/>
      </c>
      <c r="J27" s="148"/>
      <c r="K27" s="146">
        <f t="shared" si="2"/>
      </c>
      <c r="L27" s="146">
        <f t="shared" si="3"/>
      </c>
      <c r="M27" s="155">
        <f t="shared" si="0"/>
      </c>
      <c r="N27" s="413" t="s">
        <v>747</v>
      </c>
      <c r="O27" s="106">
        <v>15</v>
      </c>
      <c r="P27" s="107">
        <v>8</v>
      </c>
      <c r="Q27" s="104"/>
    </row>
    <row r="28" spans="1:17" ht="30.75" customHeight="1">
      <c r="A28" s="17">
        <v>16</v>
      </c>
      <c r="B28" s="586"/>
      <c r="C28" s="587"/>
      <c r="D28" s="587"/>
      <c r="E28" s="97"/>
      <c r="F28" s="75"/>
      <c r="G28" s="169"/>
      <c r="H28" s="162"/>
      <c r="I28" s="146">
        <f t="shared" si="1"/>
      </c>
      <c r="J28" s="148"/>
      <c r="K28" s="146">
        <f t="shared" si="2"/>
      </c>
      <c r="L28" s="146">
        <f t="shared" si="3"/>
      </c>
      <c r="M28" s="155">
        <f t="shared" si="0"/>
      </c>
      <c r="N28" s="413" t="s">
        <v>747</v>
      </c>
      <c r="O28" s="108">
        <v>16</v>
      </c>
      <c r="P28" s="107">
        <v>8</v>
      </c>
      <c r="Q28" s="104"/>
    </row>
    <row r="29" spans="1:17" ht="30.75" customHeight="1">
      <c r="A29" s="16">
        <v>17</v>
      </c>
      <c r="B29" s="586"/>
      <c r="C29" s="587"/>
      <c r="D29" s="587"/>
      <c r="E29" s="97"/>
      <c r="F29" s="75"/>
      <c r="G29" s="169"/>
      <c r="H29" s="162"/>
      <c r="I29" s="146">
        <f t="shared" si="1"/>
      </c>
      <c r="J29" s="148"/>
      <c r="K29" s="146">
        <f t="shared" si="2"/>
      </c>
      <c r="L29" s="146">
        <f t="shared" si="3"/>
      </c>
      <c r="M29" s="155">
        <f t="shared" si="0"/>
      </c>
      <c r="N29" s="413" t="s">
        <v>747</v>
      </c>
      <c r="O29" s="106">
        <v>17</v>
      </c>
      <c r="P29" s="107">
        <v>8</v>
      </c>
      <c r="Q29" s="104"/>
    </row>
    <row r="30" spans="1:17" ht="30.75" customHeight="1">
      <c r="A30" s="17">
        <v>18</v>
      </c>
      <c r="B30" s="586"/>
      <c r="C30" s="587"/>
      <c r="D30" s="587"/>
      <c r="E30" s="97"/>
      <c r="F30" s="75"/>
      <c r="G30" s="169"/>
      <c r="H30" s="162"/>
      <c r="I30" s="146">
        <f t="shared" si="1"/>
      </c>
      <c r="J30" s="148"/>
      <c r="K30" s="146">
        <f t="shared" si="2"/>
      </c>
      <c r="L30" s="146">
        <f t="shared" si="3"/>
      </c>
      <c r="M30" s="155">
        <f t="shared" si="0"/>
      </c>
      <c r="N30" s="413" t="s">
        <v>747</v>
      </c>
      <c r="O30" s="108">
        <v>18</v>
      </c>
      <c r="P30" s="107">
        <v>8</v>
      </c>
      <c r="Q30" s="104"/>
    </row>
    <row r="31" spans="1:17" ht="30.75" customHeight="1">
      <c r="A31" s="16">
        <v>19</v>
      </c>
      <c r="B31" s="586"/>
      <c r="C31" s="587"/>
      <c r="D31" s="587"/>
      <c r="E31" s="119"/>
      <c r="F31" s="75"/>
      <c r="G31" s="169"/>
      <c r="H31" s="162"/>
      <c r="I31" s="146">
        <f t="shared" si="1"/>
      </c>
      <c r="J31" s="148"/>
      <c r="K31" s="146">
        <f t="shared" si="2"/>
      </c>
      <c r="L31" s="146">
        <f t="shared" si="3"/>
      </c>
      <c r="M31" s="155">
        <f t="shared" si="0"/>
      </c>
      <c r="N31" s="413" t="s">
        <v>747</v>
      </c>
      <c r="O31" s="106">
        <v>19</v>
      </c>
      <c r="P31" s="107">
        <v>8</v>
      </c>
      <c r="Q31" s="104"/>
    </row>
    <row r="32" spans="1:17" ht="30.75" customHeight="1" thickBot="1">
      <c r="A32" s="27">
        <v>20</v>
      </c>
      <c r="B32" s="593"/>
      <c r="C32" s="594"/>
      <c r="D32" s="594"/>
      <c r="E32" s="100"/>
      <c r="F32" s="79"/>
      <c r="G32" s="172"/>
      <c r="H32" s="164"/>
      <c r="I32" s="149">
        <f t="shared" si="1"/>
      </c>
      <c r="J32" s="150"/>
      <c r="K32" s="149">
        <f t="shared" si="2"/>
      </c>
      <c r="L32" s="149">
        <f t="shared" si="3"/>
      </c>
      <c r="M32" s="156">
        <f t="shared" si="0"/>
      </c>
      <c r="N32" s="414" t="s">
        <v>747</v>
      </c>
      <c r="O32" s="109">
        <v>20</v>
      </c>
      <c r="P32" s="110">
        <v>8</v>
      </c>
      <c r="Q32" s="104"/>
    </row>
    <row r="33" spans="1:17" ht="21" customHeight="1" thickBot="1">
      <c r="A33" s="588" t="s">
        <v>14</v>
      </c>
      <c r="B33" s="589"/>
      <c r="C33" s="589"/>
      <c r="D33" s="589"/>
      <c r="E33" s="589"/>
      <c r="F33" s="589"/>
      <c r="G33" s="589"/>
      <c r="H33" s="589"/>
      <c r="I33" s="589"/>
      <c r="J33" s="82"/>
      <c r="K33" s="145">
        <f>SUM(K13:K32)</f>
        <v>5832000</v>
      </c>
      <c r="L33" s="157">
        <f>SUM(L13:L32)</f>
        <v>5400000</v>
      </c>
      <c r="M33" s="157">
        <f>SUM(M13:M32)</f>
        <v>5400000</v>
      </c>
      <c r="N33" s="159">
        <f>SUM(N13:N32)</f>
        <v>5377000</v>
      </c>
      <c r="O33" s="14"/>
      <c r="Q33" s="14"/>
    </row>
    <row r="34" spans="1:17" ht="13.5" customHeight="1">
      <c r="A34" s="90"/>
      <c r="O34" s="11"/>
      <c r="Q34" s="11"/>
    </row>
    <row r="35" spans="2:17" ht="13.5" customHeight="1">
      <c r="B35" s="1" t="s">
        <v>16</v>
      </c>
      <c r="D35" s="90"/>
      <c r="E35" s="80" t="s">
        <v>32</v>
      </c>
      <c r="O35" s="11"/>
      <c r="Q35" s="11"/>
    </row>
    <row r="36" spans="1:17" s="80" customFormat="1" ht="13.5" customHeight="1">
      <c r="A36" s="1"/>
      <c r="B36" s="1"/>
      <c r="C36" s="1"/>
      <c r="D36" s="1"/>
      <c r="E36" s="80" t="s">
        <v>33</v>
      </c>
      <c r="G36" s="1"/>
      <c r="H36" s="1"/>
      <c r="I36" s="1"/>
      <c r="J36" s="1"/>
      <c r="K36" s="1"/>
      <c r="L36" s="1"/>
      <c r="M36" s="1"/>
      <c r="N36" s="1"/>
      <c r="O36" s="15"/>
      <c r="P36" s="5"/>
      <c r="Q36" s="15"/>
    </row>
    <row r="37" spans="1:17" s="80" customFormat="1" ht="13.5" customHeight="1">
      <c r="A37" s="1"/>
      <c r="B37" s="1" t="s">
        <v>17</v>
      </c>
      <c r="C37" s="1"/>
      <c r="D37" s="1"/>
      <c r="E37" s="80" t="s">
        <v>34</v>
      </c>
      <c r="G37" s="1"/>
      <c r="H37" s="1"/>
      <c r="I37" s="1"/>
      <c r="J37" s="1"/>
      <c r="K37" s="1"/>
      <c r="L37" s="1"/>
      <c r="M37" s="1"/>
      <c r="N37" s="1"/>
      <c r="O37" s="5"/>
      <c r="P37" s="5"/>
      <c r="Q37" s="5"/>
    </row>
    <row r="38" spans="1:17" s="80" customFormat="1" ht="13.5" customHeight="1">
      <c r="A38" s="1"/>
      <c r="B38" s="1" t="s">
        <v>18</v>
      </c>
      <c r="C38" s="1"/>
      <c r="D38" s="1"/>
      <c r="E38" s="80" t="s">
        <v>35</v>
      </c>
      <c r="G38" s="1"/>
      <c r="H38" s="1"/>
      <c r="I38" s="1"/>
      <c r="J38" s="1"/>
      <c r="K38" s="1"/>
      <c r="L38" s="1"/>
      <c r="M38" s="1"/>
      <c r="N38" s="1"/>
      <c r="O38" s="5"/>
      <c r="P38" s="5"/>
      <c r="Q38" s="5"/>
    </row>
  </sheetData>
  <sheetProtection sheet="1" objects="1" scenarios="1"/>
  <mergeCells count="28">
    <mergeCell ref="A4:E4"/>
    <mergeCell ref="A11:A12"/>
    <mergeCell ref="B11:D11"/>
    <mergeCell ref="K11:L11"/>
    <mergeCell ref="O11:O12"/>
    <mergeCell ref="P11:P12"/>
    <mergeCell ref="M11:N11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31:D31"/>
    <mergeCell ref="B32:D32"/>
    <mergeCell ref="A33:I33"/>
    <mergeCell ref="B25:D25"/>
    <mergeCell ref="B26:D26"/>
    <mergeCell ref="B27:D27"/>
    <mergeCell ref="B28:D28"/>
    <mergeCell ref="B29:D29"/>
    <mergeCell ref="B30:D30"/>
  </mergeCells>
  <dataValidations count="2">
    <dataValidation allowBlank="1" showInputMessage="1" showErrorMessage="1" imeMode="halfAlpha" sqref="I13:N32"/>
    <dataValidation allowBlank="1" showInputMessage="1" showErrorMessage="1" imeMode="hiragana" sqref="L9"/>
  </dataValidations>
  <hyperlinks>
    <hyperlink ref="B2" location="経費明細表!A1" display="戻る"/>
  </hyperlinks>
  <printOptions/>
  <pageMargins left="0.8661417322834646" right="0.7086614173228347" top="0.7480314960629921" bottom="0.7480314960629921" header="0.31496062992125984" footer="0.31496062992125984"/>
  <pageSetup fitToHeight="1" fitToWidth="1" horizontalDpi="600" verticalDpi="600" orientation="portrait" paperSize="9" scale="6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bara</dc:creator>
  <cp:keywords/>
  <dc:description/>
  <cp:lastModifiedBy>NR1504-720</cp:lastModifiedBy>
  <cp:lastPrinted>2016-07-25T01:20:55Z</cp:lastPrinted>
  <dcterms:created xsi:type="dcterms:W3CDTF">2013-05-03T10:01:41Z</dcterms:created>
  <dcterms:modified xsi:type="dcterms:W3CDTF">2016-07-25T01:54:51Z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