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055" windowHeight="6270" tabRatio="726" activeTab="0"/>
  </bookViews>
  <sheets>
    <sheet name="目次" sheetId="1" r:id="rId1"/>
    <sheet name="基本情報入力（使い方）" sheetId="2" r:id="rId2"/>
    <sheet name="設定" sheetId="3" state="hidden" r:id="rId3"/>
    <sheet name="経費明細表" sheetId="4" r:id="rId4"/>
    <sheet name="日本標準産業分類" sheetId="5" r:id="rId5"/>
    <sheet name="機械装置費（50万円以上）" sheetId="6" r:id="rId6"/>
    <sheet name="機械装置費（50万円未満）" sheetId="7" r:id="rId7"/>
    <sheet name="原材料費" sheetId="8" r:id="rId8"/>
    <sheet name="技術導入費" sheetId="9" r:id="rId9"/>
    <sheet name="外注加工費" sheetId="10" r:id="rId10"/>
    <sheet name="委託費" sheetId="11" r:id="rId11"/>
    <sheet name="知的財産権等関連経費" sheetId="12" r:id="rId12"/>
    <sheet name="運搬費" sheetId="13" r:id="rId13"/>
    <sheet name="専門家経費" sheetId="14" r:id="rId14"/>
    <sheet name="クラウド利用費" sheetId="15" r:id="rId15"/>
  </sheets>
  <definedNames>
    <definedName name="_xlfn.IFERROR" hidden="1">#NAME?</definedName>
    <definedName name="_xlfn.SHEETS" hidden="1">#NAME?</definedName>
    <definedName name="_xlfn.SUMIFS" hidden="1">#NAME?</definedName>
    <definedName name="_xlnm.Print_Area" localSheetId="14">'クラウド利用費'!$A$4:$O$38</definedName>
    <definedName name="_xlnm.Print_Area" localSheetId="10">'委託費'!$A$4:$O$38</definedName>
    <definedName name="_xlnm.Print_Area" localSheetId="12">'運搬費'!$A$4:$O$38</definedName>
    <definedName name="_xlnm.Print_Area" localSheetId="9">'外注加工費'!$A$4:$O$38</definedName>
    <definedName name="_xlnm.Print_Area" localSheetId="5">'機械装置費（50万円以上）'!$A$4:$O$38</definedName>
    <definedName name="_xlnm.Print_Area" localSheetId="6">'機械装置費（50万円未満）'!$A$4:$O$38</definedName>
    <definedName name="_xlnm.Print_Area" localSheetId="8">'技術導入費'!$A$4:$O$38</definedName>
    <definedName name="_xlnm.Print_Area" localSheetId="3">'経費明細表'!$B$3:$J$23</definedName>
    <definedName name="_xlnm.Print_Area" localSheetId="7">'原材料費'!$A$4:$O$38</definedName>
    <definedName name="_xlnm.Print_Area" localSheetId="13">'専門家経費'!$A$4:$O$38</definedName>
    <definedName name="_xlnm.Print_Area" localSheetId="11">'知的財産権等関連経費'!$A$4:$O$38</definedName>
    <definedName name="事業類型" localSheetId="3">'経費明細表'!$M$49</definedName>
    <definedName name="消費税率" localSheetId="3">'経費明細表'!$M$48</definedName>
    <definedName name="補助下限額">'経費明細表'!$M$52</definedName>
    <definedName name="補助上限額" localSheetId="3">'経費明細表'!$M$51</definedName>
  </definedNames>
  <calcPr fullCalcOnLoad="1"/>
</workbook>
</file>

<file path=xl/comments4.xml><?xml version="1.0" encoding="utf-8"?>
<comments xmlns="http://schemas.openxmlformats.org/spreadsheetml/2006/main">
  <authors>
    <author>PCUser</author>
    <author>bara</author>
    <author>EH</author>
  </authors>
  <commentList>
    <comment ref="R25" authorId="0">
      <text>
        <r>
          <rPr>
            <sz val="11"/>
            <rFont val="ＭＳ Ｐゴシック"/>
            <family val="3"/>
          </rPr>
          <t xml:space="preserve">各経費区分ごとに判定。
判定１～判定３に「×」が１つでもあると、「×」と判定。
</t>
        </r>
      </text>
    </comment>
    <comment ref="S25" authorId="1">
      <text>
        <r>
          <rPr>
            <sz val="11"/>
            <rFont val="ＭＳ Ｐゴシック"/>
            <family val="3"/>
          </rPr>
          <t xml:space="preserve">外注加工費、委託費、知的財産関連経費については、補助対象経費総額の1/2、1/2、1/3を超えてはならない。外注加工費＋委託費についても補助対象経費総額の1/2を超えないこと。
</t>
        </r>
      </text>
    </comment>
    <comment ref="T25" authorId="0">
      <text>
        <r>
          <rPr>
            <sz val="11"/>
            <rFont val="ＭＳ Ｐゴシック"/>
            <family val="3"/>
          </rPr>
          <t xml:space="preserve">直接人件費・雑役務費については、給与は消費税課税対象外のため、
</t>
        </r>
        <r>
          <rPr>
            <b/>
            <sz val="12"/>
            <rFont val="ＭＳ Ｐゴシック"/>
            <family val="3"/>
          </rPr>
          <t xml:space="preserve">「補助事業に要した経費（税込）
＝補助事業に要した経費（税抜）」
</t>
        </r>
        <r>
          <rPr>
            <b/>
            <sz val="11"/>
            <rFont val="ＭＳ Ｐゴシック"/>
            <family val="3"/>
          </rPr>
          <t xml:space="preserve">（「≧」ではなく「＝」）
</t>
        </r>
        <r>
          <rPr>
            <sz val="11"/>
            <rFont val="ＭＳ Ｐゴシック"/>
            <family val="3"/>
          </rPr>
          <t>で判定している</t>
        </r>
      </text>
    </comment>
    <comment ref="X25" authorId="0">
      <text>
        <r>
          <rPr>
            <sz val="11"/>
            <rFont val="ＭＳ Ｐゴシック"/>
            <family val="3"/>
          </rPr>
          <t>判定１～７、「実績額の総額についての判定」がすべて「○」のとき、総合判定は「○」</t>
        </r>
      </text>
    </comment>
    <comment ref="S32" authorId="2">
      <text>
        <r>
          <rPr>
            <b/>
            <sz val="11"/>
            <rFont val="ＭＳ Ｐゴシック"/>
            <family val="3"/>
          </rPr>
          <t>補助対象経費について</t>
        </r>
        <r>
          <rPr>
            <sz val="11"/>
            <rFont val="ＭＳ Ｐゴシック"/>
            <family val="3"/>
          </rPr>
          <t>、「外注加工費≦1/2×総額」と「委託費＋外注加工費≦1/2×総額」の制約がある。（いくつかある制約のうち、委託費に関わる部分のみ抜粋）
ここでは外注加工費に修正が必要な場合に「×」と判定、外注加工費の修正は必要ない場合に「○」と判定している。
①</t>
        </r>
        <r>
          <rPr>
            <b/>
            <sz val="11"/>
            <rFont val="ＭＳ Ｐゴシック"/>
            <family val="3"/>
          </rPr>
          <t>「委託費＋外注加工費≦1/2×総額」のとき</t>
        </r>
        <r>
          <rPr>
            <sz val="11"/>
            <rFont val="ＭＳ Ｐゴシック"/>
            <family val="3"/>
          </rPr>
          <t xml:space="preserve">
（「外注加工費≦1/2×総額」と「委託費＋外注加工費≦1/2×総額」の両方を満たすので、外注加工費の修正は必要ない→外注加工費として「○」と判定）
</t>
        </r>
        <r>
          <rPr>
            <b/>
            <sz val="11"/>
            <rFont val="ＭＳ Ｐゴシック"/>
            <family val="3"/>
          </rPr>
          <t>または</t>
        </r>
        <r>
          <rPr>
            <sz val="11"/>
            <rFont val="ＭＳ Ｐゴシック"/>
            <family val="3"/>
          </rPr>
          <t xml:space="preserve">
②</t>
        </r>
        <r>
          <rPr>
            <b/>
            <sz val="11"/>
            <rFont val="ＭＳ Ｐゴシック"/>
            <family val="3"/>
          </rPr>
          <t>「委託費＞1/2×総額」のとき</t>
        </r>
        <r>
          <rPr>
            <sz val="11"/>
            <rFont val="ＭＳ Ｐゴシック"/>
            <family val="3"/>
          </rPr>
          <t xml:space="preserve">
（「委託費＋外注加工費≦1/2×総額」にならないが、原因は委託費にあり、外注加工費には原因がない。外注加工費の修正は必要ない→外注加工費として「○」と判定）</t>
        </r>
        <r>
          <rPr>
            <sz val="16"/>
            <rFont val="ＭＳ Ｐゴシック"/>
            <family val="3"/>
          </rPr>
          <t xml:space="preserve">
</t>
        </r>
      </text>
    </comment>
    <comment ref="S33" authorId="2">
      <text>
        <r>
          <rPr>
            <b/>
            <sz val="11"/>
            <rFont val="ＭＳ Ｐゴシック"/>
            <family val="3"/>
          </rPr>
          <t>補助対象経費について</t>
        </r>
        <r>
          <rPr>
            <sz val="11"/>
            <rFont val="ＭＳ Ｐゴシック"/>
            <family val="3"/>
          </rPr>
          <t>、「委託費≦1/2×総額」と「委託費＋外注加工費≦1/2×総額」の制約がある。（いくつかある制約のうち、委託費に関わる部分のみ抜粋）
ここでは委託費に修正が必要な場合に「×」と判定、委託費の修正は必要ない場合に「○」と判定している。
①</t>
        </r>
        <r>
          <rPr>
            <b/>
            <sz val="11"/>
            <rFont val="ＭＳ Ｐゴシック"/>
            <family val="3"/>
          </rPr>
          <t xml:space="preserve">「委託費＋外注加工費≦1/2×総額」のとき
</t>
        </r>
        <r>
          <rPr>
            <sz val="11"/>
            <rFont val="ＭＳ Ｐゴシック"/>
            <family val="3"/>
          </rPr>
          <t xml:space="preserve">（「委託費≦1/2×総額」と「委託費＋外注加工費≦1/2×総額」の両方を満たすので、委託費の修正は必要ない→委託費として「○」と判定）
</t>
        </r>
        <r>
          <rPr>
            <b/>
            <sz val="11"/>
            <rFont val="ＭＳ Ｐゴシック"/>
            <family val="3"/>
          </rPr>
          <t>または</t>
        </r>
        <r>
          <rPr>
            <sz val="11"/>
            <rFont val="ＭＳ Ｐゴシック"/>
            <family val="3"/>
          </rPr>
          <t xml:space="preserve">
②</t>
        </r>
        <r>
          <rPr>
            <b/>
            <sz val="11"/>
            <rFont val="ＭＳ Ｐゴシック"/>
            <family val="3"/>
          </rPr>
          <t>「外注加工費＞1/2×総額」のとき</t>
        </r>
        <r>
          <rPr>
            <sz val="11"/>
            <rFont val="ＭＳ Ｐゴシック"/>
            <family val="3"/>
          </rPr>
          <t xml:space="preserve">
（「委託費＋外注加工費≦1/2×総額」にならないが、原因は外注加工費にあり、委託費には原因がない。委託費の修正は必要ない→委託費として「○」と判定）</t>
        </r>
        <r>
          <rPr>
            <sz val="18"/>
            <rFont val="ＭＳ Ｐゴシック"/>
            <family val="3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高村 育子</author>
  </authors>
  <commentList>
    <comment ref="A11" authorId="0">
      <text>
        <r>
          <rPr>
            <sz val="11"/>
            <rFont val="ＭＳ Ｐゴシック"/>
            <family val="3"/>
          </rPr>
          <t>機械装置費（50万円未満）の管理№は、機械装置費（50万円以上）の管理№からの通番としてください。</t>
        </r>
      </text>
    </comment>
  </commentList>
</comments>
</file>

<file path=xl/sharedStrings.xml><?xml version="1.0" encoding="utf-8"?>
<sst xmlns="http://schemas.openxmlformats.org/spreadsheetml/2006/main" count="1286" uniqueCount="731">
  <si>
    <t>（単位：円）</t>
  </si>
  <si>
    <t>単価</t>
  </si>
  <si>
    <t>管理No.</t>
  </si>
  <si>
    <t>支払</t>
  </si>
  <si>
    <t>支払先</t>
  </si>
  <si>
    <t>内容および仕様等詳細</t>
  </si>
  <si>
    <t>数量</t>
  </si>
  <si>
    <t>単位</t>
  </si>
  <si>
    <t>補助事業に要した経費
＜支払額＞</t>
  </si>
  <si>
    <t>補助対象経費</t>
  </si>
  <si>
    <t>年</t>
  </si>
  <si>
    <t>月</t>
  </si>
  <si>
    <t>日</t>
  </si>
  <si>
    <t>(税込み)</t>
  </si>
  <si>
    <t>（税込み）</t>
  </si>
  <si>
    <t>（税抜き）</t>
  </si>
  <si>
    <t>合　　　　計</t>
  </si>
  <si>
    <t>経費区分</t>
  </si>
  <si>
    <t>(注1)</t>
  </si>
  <si>
    <t>(注2)</t>
  </si>
  <si>
    <t>(注3)</t>
  </si>
  <si>
    <t>(単位:円)</t>
  </si>
  <si>
    <t>B×2/3以内</t>
  </si>
  <si>
    <t>（税抜き）</t>
  </si>
  <si>
    <t>原材料費</t>
  </si>
  <si>
    <t>(税抜き)</t>
  </si>
  <si>
    <t>合計</t>
  </si>
  <si>
    <t>技術導入費</t>
  </si>
  <si>
    <t>委託費</t>
  </si>
  <si>
    <t>外注加工費</t>
  </si>
  <si>
    <t>運搬費</t>
  </si>
  <si>
    <t>№</t>
  </si>
  <si>
    <t>事業者名：</t>
  </si>
  <si>
    <t>支出明細は原材料費、機械装置費など「経費区分」別に記入してください。</t>
  </si>
  <si>
    <t>ただし、直接人件費のみ別様式で記入してください。</t>
  </si>
  <si>
    <t>管理№ごとに、証拠書類を整備してください。</t>
  </si>
  <si>
    <t>本様式は日本工業規格Ａ４判としてください。</t>
  </si>
  <si>
    <t>順位</t>
  </si>
  <si>
    <t>判定</t>
  </si>
  <si>
    <t>加算する金額</t>
  </si>
  <si>
    <t>消費税率(%)</t>
  </si>
  <si>
    <t>補助上限額</t>
  </si>
  <si>
    <t>設備投資の制限</t>
  </si>
  <si>
    <t>その他の経費の制限</t>
  </si>
  <si>
    <t>外注加工費+委託費</t>
  </si>
  <si>
    <t>これで準備は終了しました。</t>
  </si>
  <si>
    <t>なお、このＥＸＣＥＬのフォーマットは計算式に保護をかけています。</t>
  </si>
  <si>
    <t>消費税は切り捨てにしてありますので微調整は必要です。</t>
  </si>
  <si>
    <t>本ワークシートの使い方について</t>
  </si>
  <si>
    <t>知的財産権等関連経費</t>
  </si>
  <si>
    <t>中分類　コード</t>
  </si>
  <si>
    <t>内容</t>
  </si>
  <si>
    <t>全中分類コード</t>
  </si>
  <si>
    <t>小分類コード</t>
  </si>
  <si>
    <t>小分類</t>
  </si>
  <si>
    <t>01</t>
  </si>
  <si>
    <t>　農業</t>
  </si>
  <si>
    <t>010000</t>
  </si>
  <si>
    <t>　　　　010　</t>
  </si>
  <si>
    <t xml:space="preserve">管理，補助的経済活動を行う事業所（01農業） </t>
  </si>
  <si>
    <t>02</t>
  </si>
  <si>
    <t>　林業</t>
  </si>
  <si>
    <t>020000</t>
  </si>
  <si>
    <t>　　　　020　</t>
  </si>
  <si>
    <t xml:space="preserve">管理，補助的経済活動を行う事業所（02林業） </t>
  </si>
  <si>
    <t>03</t>
  </si>
  <si>
    <t>　漁業（水産養殖業を除く）</t>
  </si>
  <si>
    <t>030000</t>
  </si>
  <si>
    <t>　　　　030　</t>
  </si>
  <si>
    <t xml:space="preserve">管理，補助的経済活動を行う事業所（03漁業） </t>
  </si>
  <si>
    <t>04</t>
  </si>
  <si>
    <t>　水産養殖業</t>
  </si>
  <si>
    <t>　　　　040　</t>
  </si>
  <si>
    <t xml:space="preserve">管理，補助的経済活動を行う事業所（04水産養殖業） </t>
  </si>
  <si>
    <t>05</t>
  </si>
  <si>
    <r>
      <t>　鉱業</t>
    </r>
    <r>
      <rPr>
        <sz val="11"/>
        <rFont val="ＭＳ Ｐゴシック"/>
        <family val="3"/>
      </rPr>
      <t>，採石業，砂利採取業</t>
    </r>
  </si>
  <si>
    <t>040000</t>
  </si>
  <si>
    <t>　鉱業</t>
  </si>
  <si>
    <t>　　　　050　</t>
  </si>
  <si>
    <t xml:space="preserve">管理，補助的経済活動を行う事業所（05鉱業，採石業，砂利採取業） </t>
  </si>
  <si>
    <t>06</t>
  </si>
  <si>
    <t>　総合工事業</t>
  </si>
  <si>
    <t>050100</t>
  </si>
  <si>
    <t>　　　　060　</t>
  </si>
  <si>
    <t xml:space="preserve">管理，補助的経済活動を行う事業所（06総合工事業） </t>
  </si>
  <si>
    <t>07</t>
  </si>
  <si>
    <t>　職別工事業(設備工事業を除く)</t>
  </si>
  <si>
    <t>050300</t>
  </si>
  <si>
    <t>　　　　070　</t>
  </si>
  <si>
    <t xml:space="preserve">管理，補助的経済活動を行う事業所（07職別工事業） </t>
  </si>
  <si>
    <t>08</t>
  </si>
  <si>
    <t>　設備工事業</t>
  </si>
  <si>
    <t>050500</t>
  </si>
  <si>
    <t>　　　　080　</t>
  </si>
  <si>
    <t xml:space="preserve">管理，補助的経済活動を行う事業所（08設備工事業） </t>
  </si>
  <si>
    <t>09</t>
  </si>
  <si>
    <t>　食料品製造業</t>
  </si>
  <si>
    <t>060100</t>
  </si>
  <si>
    <t>　　　　090　</t>
  </si>
  <si>
    <t xml:space="preserve">管理，補助的経済活動を行う事業所（09食料品製造業） </t>
  </si>
  <si>
    <t>10</t>
  </si>
  <si>
    <t>　飲料・たばこ・飼料製造業</t>
  </si>
  <si>
    <t>060300</t>
  </si>
  <si>
    <t>　　　　100　</t>
  </si>
  <si>
    <t xml:space="preserve">管理，補助的経済活動を行う事業所（10飲料・たばこ・飼料製造業） </t>
  </si>
  <si>
    <t>11</t>
  </si>
  <si>
    <t>　繊維工業</t>
  </si>
  <si>
    <t>060500</t>
  </si>
  <si>
    <t>繊維工業（衣服、その他の繊維製品を除く）</t>
  </si>
  <si>
    <t>　　　　110　</t>
  </si>
  <si>
    <t xml:space="preserve">管理，補助的経済活動を行う事業所（11繊維工業） </t>
  </si>
  <si>
    <t>12</t>
  </si>
  <si>
    <t>　木材・木製品製造業（家具を除く）</t>
  </si>
  <si>
    <t>060900</t>
  </si>
  <si>
    <t>　　　　120　</t>
  </si>
  <si>
    <t xml:space="preserve">管理，補助的経済活動を行う事業所（12木材・木製品製造業） </t>
  </si>
  <si>
    <t>13</t>
  </si>
  <si>
    <t>　家具・装備品製造業</t>
  </si>
  <si>
    <t>061100</t>
  </si>
  <si>
    <t>　　　　130　</t>
  </si>
  <si>
    <t xml:space="preserve">管理，補助的経済活動を行う事業所（13家具・装備品製造業） </t>
  </si>
  <si>
    <t>14</t>
  </si>
  <si>
    <t>　パルプ・紙・紙加工品製造業</t>
  </si>
  <si>
    <t>061300</t>
  </si>
  <si>
    <t>　　　　140　</t>
  </si>
  <si>
    <t xml:space="preserve">管理，補助的経済活動を行う事業所（14パルプ・紙・紙加工品製造業） </t>
  </si>
  <si>
    <t>15</t>
  </si>
  <si>
    <t>　印刷・同関連業</t>
  </si>
  <si>
    <t>061500</t>
  </si>
  <si>
    <t>　　　　150　</t>
  </si>
  <si>
    <t xml:space="preserve">管理，補助的経済活動を行う事業所（15印刷・同関連業） </t>
  </si>
  <si>
    <t>16</t>
  </si>
  <si>
    <t>　化学工業</t>
  </si>
  <si>
    <t>061700</t>
  </si>
  <si>
    <t>　　　　160　</t>
  </si>
  <si>
    <t xml:space="preserve">管理，補助的経済活動を行う事業所（16化学工業） </t>
  </si>
  <si>
    <t>17</t>
  </si>
  <si>
    <t>　石油製品・石炭製品製造業</t>
  </si>
  <si>
    <t>061900</t>
  </si>
  <si>
    <t>　　　　170　</t>
  </si>
  <si>
    <t xml:space="preserve">管理，補助的経済活動を行う事業所（17石油製品・石炭製品製造業） </t>
  </si>
  <si>
    <t>18</t>
  </si>
  <si>
    <t>　プラスチック製品製造業（別掲を除く）</t>
  </si>
  <si>
    <t>062100</t>
  </si>
  <si>
    <t>　　　　180　</t>
  </si>
  <si>
    <t xml:space="preserve">管理，補助的経済活動を行う事業所（18プラスチック製品製造業） </t>
  </si>
  <si>
    <t>19</t>
  </si>
  <si>
    <t>　ゴム製品製造業</t>
  </si>
  <si>
    <t>062300</t>
  </si>
  <si>
    <t>　　　　190　</t>
  </si>
  <si>
    <t xml:space="preserve">管理，補助的経済活動を行う事業所（19ゴム製品製造業） </t>
  </si>
  <si>
    <t>20</t>
  </si>
  <si>
    <t>　なめし革・同製品・毛皮製造業</t>
  </si>
  <si>
    <t>062500</t>
  </si>
  <si>
    <t>　　　　200　</t>
  </si>
  <si>
    <t xml:space="preserve">管理，補助的経済活動を行う事業所（20なめし革・同製品・毛皮製造業） </t>
  </si>
  <si>
    <t>21</t>
  </si>
  <si>
    <t>　窯業・土石製品製造業</t>
  </si>
  <si>
    <t>062700</t>
  </si>
  <si>
    <t>　　　　210　</t>
  </si>
  <si>
    <t xml:space="preserve">管理，補助的経済活動を行う事業所（21窯業・土石製品製造業） </t>
  </si>
  <si>
    <t>22</t>
  </si>
  <si>
    <t>　鉄鋼業</t>
  </si>
  <si>
    <t>062900</t>
  </si>
  <si>
    <t>　　　　220　</t>
  </si>
  <si>
    <t xml:space="preserve">管理，補助的経済活動を行う事業所（22鉄鋼業） </t>
  </si>
  <si>
    <t>23</t>
  </si>
  <si>
    <t>　非鉄金属製造業</t>
  </si>
  <si>
    <t>063100</t>
  </si>
  <si>
    <t>　　　　230　</t>
  </si>
  <si>
    <t xml:space="preserve">管理，補助的経済活動を行う事業所（23非鉄金属製造業） </t>
  </si>
  <si>
    <t>24</t>
  </si>
  <si>
    <t>　金属製品製造業</t>
  </si>
  <si>
    <t>063300</t>
  </si>
  <si>
    <t>　　　　240　</t>
  </si>
  <si>
    <t xml:space="preserve">管理，補助的経済活動を行う事業所（24金属製品製造業） </t>
  </si>
  <si>
    <t>25</t>
  </si>
  <si>
    <t>　はん用機械器具製造業</t>
  </si>
  <si>
    <t>063500</t>
  </si>
  <si>
    <t xml:space="preserve">一般機械器具製造業　 </t>
  </si>
  <si>
    <t>　　　　250　</t>
  </si>
  <si>
    <t xml:space="preserve">管理，補助的経済活動を行う事業所（25はん用機械器具製造業） </t>
  </si>
  <si>
    <t>26</t>
  </si>
  <si>
    <t>　生産用機械器具製造業</t>
  </si>
  <si>
    <t>　　　　260　</t>
  </si>
  <si>
    <t xml:space="preserve">管理，補助的経済活動を行う事業所（26生産用機械器具製造業） </t>
  </si>
  <si>
    <t>27</t>
  </si>
  <si>
    <t>　業務用機械器具製造業</t>
  </si>
  <si>
    <t>064500</t>
  </si>
  <si>
    <t>精密機械器具製造業   　</t>
  </si>
  <si>
    <t>　　　　270　</t>
  </si>
  <si>
    <t xml:space="preserve">管理，補助的経済活動を行う事業所（27業務用機械器具製造業） </t>
  </si>
  <si>
    <t>28</t>
  </si>
  <si>
    <t>　電子部品・デバイス製造業</t>
  </si>
  <si>
    <t>064100</t>
  </si>
  <si>
    <r>
      <t>　電子部品・デバイス</t>
    </r>
    <r>
      <rPr>
        <sz val="11"/>
        <rFont val="ＭＳ Ｐゴシック"/>
        <family val="3"/>
      </rPr>
      <t>・電子回</t>
    </r>
    <r>
      <rPr>
        <sz val="11"/>
        <rFont val="ＭＳ Ｐゴシック"/>
        <family val="3"/>
      </rPr>
      <t>路製造業</t>
    </r>
  </si>
  <si>
    <t>　　　　280　</t>
  </si>
  <si>
    <t xml:space="preserve">管理，補助的経済活動を行う事業所（28電子部品・デバイス・電子回路製造業） </t>
  </si>
  <si>
    <t>29</t>
  </si>
  <si>
    <t>　電気機械器具製造業</t>
  </si>
  <si>
    <t>063700</t>
  </si>
  <si>
    <t>　　　　290　</t>
  </si>
  <si>
    <t xml:space="preserve">管理，補助的経済活動を行う事業所（29電気機械器具製造業） </t>
  </si>
  <si>
    <t>30</t>
  </si>
  <si>
    <t>　情報通信機械器具製造業</t>
  </si>
  <si>
    <t>063900</t>
  </si>
  <si>
    <t>　　　　300　</t>
  </si>
  <si>
    <t xml:space="preserve">管理，補助的経済活動を行う事業所（30情報通信機械器具製造業） </t>
  </si>
  <si>
    <t>31</t>
  </si>
  <si>
    <t>　輸送用機械器具製造業</t>
  </si>
  <si>
    <t>064300</t>
  </si>
  <si>
    <t>　　　　310　</t>
  </si>
  <si>
    <t xml:space="preserve">管理，補助的経済活動を行う事業所（31輸送用機械器具製造業） </t>
  </si>
  <si>
    <t>32</t>
  </si>
  <si>
    <t>　その他の製造業</t>
  </si>
  <si>
    <t>064700</t>
  </si>
  <si>
    <t>　　　　320　</t>
  </si>
  <si>
    <t xml:space="preserve">管理，補助的経済活動を行う事業所（32その他の製造業） </t>
  </si>
  <si>
    <t>　　　　327　</t>
  </si>
  <si>
    <t xml:space="preserve">漆器製造業 </t>
  </si>
  <si>
    <t>33</t>
  </si>
  <si>
    <t>　電気業</t>
  </si>
  <si>
    <t>070000</t>
  </si>
  <si>
    <t>　　　　330　</t>
  </si>
  <si>
    <t xml:space="preserve">管理，補助的経済活動を行う事業所（33電気業） </t>
  </si>
  <si>
    <t>34</t>
  </si>
  <si>
    <t>　ガス業</t>
  </si>
  <si>
    <t>　　　　340　</t>
  </si>
  <si>
    <t xml:space="preserve">管理，補助的経済活動を行う事業所（34ガス業） </t>
  </si>
  <si>
    <t>35</t>
  </si>
  <si>
    <t>　熱供給業</t>
  </si>
  <si>
    <t>　　　　350　</t>
  </si>
  <si>
    <t xml:space="preserve">管理，補助的経済活動を行う事業所（35熱供給業） </t>
  </si>
  <si>
    <t>36</t>
  </si>
  <si>
    <t>　水道業</t>
  </si>
  <si>
    <t>　　　　360　</t>
  </si>
  <si>
    <t xml:space="preserve">管理，補助的経済活動を行う事業所（36水道業） </t>
  </si>
  <si>
    <t>37</t>
  </si>
  <si>
    <t>　通信業</t>
  </si>
  <si>
    <t>080100</t>
  </si>
  <si>
    <t>　　　　370　</t>
  </si>
  <si>
    <t xml:space="preserve">管理，補助的経済活動を行う事業所（37通信業） </t>
  </si>
  <si>
    <t>38</t>
  </si>
  <si>
    <t>　放送業</t>
  </si>
  <si>
    <t>080300</t>
  </si>
  <si>
    <t>　　　　380　</t>
  </si>
  <si>
    <t xml:space="preserve">管理，補助的経済活動を行う事業所（38放送業） </t>
  </si>
  <si>
    <t>39</t>
  </si>
  <si>
    <t>　情報サービス業</t>
  </si>
  <si>
    <t>080500</t>
  </si>
  <si>
    <t>　　　　390　</t>
  </si>
  <si>
    <t xml:space="preserve">管理，補助的経済活動を行う事業所（39情報サービス業） </t>
  </si>
  <si>
    <t>40</t>
  </si>
  <si>
    <t>　インターネット附随サービス業</t>
  </si>
  <si>
    <t>080700</t>
  </si>
  <si>
    <t>　　　　400　</t>
  </si>
  <si>
    <t xml:space="preserve">管理，補助的経済活動を行う事業所（40インターネット附随サービス業） </t>
  </si>
  <si>
    <t>41</t>
  </si>
  <si>
    <t>　映像・音声・文字情報制作業</t>
  </si>
  <si>
    <t>080900</t>
  </si>
  <si>
    <t>　　　　410　</t>
  </si>
  <si>
    <t xml:space="preserve">管理，補助的経済活動を行う事業所（41映像・音声・文字情報制作業） </t>
  </si>
  <si>
    <t>42</t>
  </si>
  <si>
    <t>　鉄道業</t>
  </si>
  <si>
    <t>090000</t>
  </si>
  <si>
    <t>　　　　420　</t>
  </si>
  <si>
    <t xml:space="preserve">管理，補助的経済活動を行う事業所（42鉄道業） </t>
  </si>
  <si>
    <t>　　　　421　</t>
  </si>
  <si>
    <t xml:space="preserve">鉄道業 </t>
  </si>
  <si>
    <t>43</t>
  </si>
  <si>
    <t>　道路旅客運送業</t>
  </si>
  <si>
    <t>　　　　430　</t>
  </si>
  <si>
    <t xml:space="preserve">管理，補助的経済活動を行う事業所（43道路旅客運送業） </t>
  </si>
  <si>
    <t>44</t>
  </si>
  <si>
    <t>　道路貨物運送業</t>
  </si>
  <si>
    <t>　　　　440　</t>
  </si>
  <si>
    <t xml:space="preserve">管理，補助的経済活動を行う事業所（44道路貨物運送業） </t>
  </si>
  <si>
    <t>45</t>
  </si>
  <si>
    <t>　水運業</t>
  </si>
  <si>
    <t>　　　　450　</t>
  </si>
  <si>
    <t xml:space="preserve">管理，補助的経済活動を行う事業所（45水運業） </t>
  </si>
  <si>
    <t>46</t>
  </si>
  <si>
    <t>　航空運輸業</t>
  </si>
  <si>
    <t>　　　　460　</t>
  </si>
  <si>
    <t xml:space="preserve">管理，補助的経済活動を行う事業所（46航空運輸業） </t>
  </si>
  <si>
    <t>47</t>
  </si>
  <si>
    <t>　倉庫業</t>
  </si>
  <si>
    <t>　　　　470　</t>
  </si>
  <si>
    <t xml:space="preserve">管理，補助的経済活動を行う事業所（47倉庫業） </t>
  </si>
  <si>
    <t>48</t>
  </si>
  <si>
    <t>　運輸に附帯するサービス業</t>
  </si>
  <si>
    <t>　　　　480　</t>
  </si>
  <si>
    <t xml:space="preserve">管理，補助的経済活動を行う事業所（48運輸に附帯するサービス業） </t>
  </si>
  <si>
    <t>49</t>
  </si>
  <si>
    <t>　郵便業（信書便事業を含む）</t>
  </si>
  <si>
    <t>　　　　490　</t>
  </si>
  <si>
    <t xml:space="preserve">管理，補助的経済活動を行う事業所（49郵便業） </t>
  </si>
  <si>
    <t>50</t>
  </si>
  <si>
    <t>　各種商品卸売業</t>
  </si>
  <si>
    <t>100100</t>
  </si>
  <si>
    <t>　　　　500　</t>
  </si>
  <si>
    <t xml:space="preserve">管理，補助的経済活動を行う事業所（50各種商品卸売業） </t>
  </si>
  <si>
    <t>51</t>
  </si>
  <si>
    <t>　繊維・衣服等卸売業</t>
  </si>
  <si>
    <t>100300</t>
  </si>
  <si>
    <t>　　　　510　</t>
  </si>
  <si>
    <t xml:space="preserve">管理，補助的経済活動を行う事業所（51繊維・衣服等卸売業） </t>
  </si>
  <si>
    <t>52</t>
  </si>
  <si>
    <t>　飲食料品卸売業</t>
  </si>
  <si>
    <t>100500</t>
  </si>
  <si>
    <t>　　　　520　</t>
  </si>
  <si>
    <t xml:space="preserve">管理，補助的経済活動を行う事業所（52飲食料品卸売業） </t>
  </si>
  <si>
    <t>53</t>
  </si>
  <si>
    <t>　建築材料，鉱物・金属材料等卸売業</t>
  </si>
  <si>
    <t>100700</t>
  </si>
  <si>
    <t>　　　　530　</t>
  </si>
  <si>
    <t xml:space="preserve">管理，補助的経済活動を行う事業所（53建築材料，鉱物・金属材料等卸売業） </t>
  </si>
  <si>
    <t>54</t>
  </si>
  <si>
    <t>　機械器具卸売業</t>
  </si>
  <si>
    <t>100900</t>
  </si>
  <si>
    <t>　　　　540　</t>
  </si>
  <si>
    <t xml:space="preserve">管理，補助的経済活動を行う事業所（54機械器具卸売業） </t>
  </si>
  <si>
    <t>55</t>
  </si>
  <si>
    <t>　その他の卸売業</t>
  </si>
  <si>
    <t>101100</t>
  </si>
  <si>
    <t>　　　　550　</t>
  </si>
  <si>
    <t xml:space="preserve">管理，補助的経済活動を行う事業所（55その他の卸売業） </t>
  </si>
  <si>
    <t>56</t>
  </si>
  <si>
    <t>　各種商品小売業</t>
  </si>
  <si>
    <t>105100</t>
  </si>
  <si>
    <t>　　　　560　</t>
  </si>
  <si>
    <t xml:space="preserve">管理，補助的経済活動を行う事業所（56各種商品小売業） </t>
  </si>
  <si>
    <t>57</t>
  </si>
  <si>
    <t>　織物・衣服・身の回り品小売業</t>
  </si>
  <si>
    <t>105300</t>
  </si>
  <si>
    <t>　　　　570　</t>
  </si>
  <si>
    <t xml:space="preserve">管理，補助的経済活動を行う事業所（57織物・衣服・身の回り品小売業） </t>
  </si>
  <si>
    <t>58</t>
  </si>
  <si>
    <t>　飲食料品小売業</t>
  </si>
  <si>
    <t>105500</t>
  </si>
  <si>
    <t>　　　　580　</t>
  </si>
  <si>
    <t xml:space="preserve">管理，補助的経済活動を行う事業所（58飲食料品小売業） </t>
  </si>
  <si>
    <t>59</t>
  </si>
  <si>
    <t>　機械器具小売業</t>
  </si>
  <si>
    <t>105700</t>
  </si>
  <si>
    <t>自動車・自転車小売業   　　　　</t>
  </si>
  <si>
    <t>　　　　590　</t>
  </si>
  <si>
    <t xml:space="preserve">管理，補助的経済活動を行う事業所（59機械器具小売業） </t>
  </si>
  <si>
    <t>60</t>
  </si>
  <si>
    <t>　その他の小売業</t>
  </si>
  <si>
    <t>105900</t>
  </si>
  <si>
    <t>家具・じゅう器・機械器具小売業</t>
  </si>
  <si>
    <t>　　　　600　</t>
  </si>
  <si>
    <t xml:space="preserve">管理，補助的経済活動を行う事業所（60その他の小売業） </t>
  </si>
  <si>
    <t>61</t>
  </si>
  <si>
    <t>　無店舗小売業</t>
  </si>
  <si>
    <t>106100</t>
  </si>
  <si>
    <t>　　　　610　</t>
  </si>
  <si>
    <t xml:space="preserve">管理，補助的経済活動を行う事業所（61無店舗小売業） </t>
  </si>
  <si>
    <t>62</t>
  </si>
  <si>
    <t>　銀行業</t>
  </si>
  <si>
    <t>110000</t>
  </si>
  <si>
    <t>　　　　620　</t>
  </si>
  <si>
    <t xml:space="preserve">管理，補助的経済活動を行う事業所（62銀行業） </t>
  </si>
  <si>
    <t>63</t>
  </si>
  <si>
    <t>　協同組織金融業</t>
  </si>
  <si>
    <t>　　　　630　</t>
  </si>
  <si>
    <t xml:space="preserve">管理，補助的経済活動を行う事業所（63協同組織金融業） </t>
  </si>
  <si>
    <t>　貸金業，クレジットカード業等非預金信用機関</t>
  </si>
  <si>
    <t>　　　　640　</t>
  </si>
  <si>
    <t xml:space="preserve">管理，補助的経済活動を行う事業所（64貸金業，クレジットカード業等非預金信用機関） </t>
  </si>
  <si>
    <t>65</t>
  </si>
  <si>
    <t>　金融商品取引業，商品先物取引業</t>
  </si>
  <si>
    <t>　　　　650　</t>
  </si>
  <si>
    <t xml:space="preserve">管理，補助的経済活動を行う事業所（65金融商品取引業，商品先物取引業） </t>
  </si>
  <si>
    <t>66</t>
  </si>
  <si>
    <t>　補助的金融業等</t>
  </si>
  <si>
    <t>　　　　660　</t>
  </si>
  <si>
    <t xml:space="preserve">管理，補助的経済活動を行う事業所（66補助的金融業等） </t>
  </si>
  <si>
    <t>67</t>
  </si>
  <si>
    <t>　保険業（保険媒介代理業，保険サービス業を含む）</t>
  </si>
  <si>
    <t>　　　　670　</t>
  </si>
  <si>
    <t xml:space="preserve">管理，補助的経済活動を行う事業所（67保険業） </t>
  </si>
  <si>
    <t>68</t>
  </si>
  <si>
    <t>　不動産取引業</t>
  </si>
  <si>
    <t>120000</t>
  </si>
  <si>
    <t>　　　　680　</t>
  </si>
  <si>
    <t xml:space="preserve">管理，補助的経済活動を行う事業所（68不動産取引業） </t>
  </si>
  <si>
    <t>69</t>
  </si>
  <si>
    <t>　不動産賃貸業・管理業</t>
  </si>
  <si>
    <t>　　　　690　</t>
  </si>
  <si>
    <t xml:space="preserve">管理，補助的経済活動を行う事業所（69不動産賃貸業・管理業） </t>
  </si>
  <si>
    <t>70</t>
  </si>
  <si>
    <t>　物品賃貸業</t>
  </si>
  <si>
    <t>171700</t>
  </si>
  <si>
    <t>　　　　700　</t>
  </si>
  <si>
    <t xml:space="preserve">管理，補助的経済活動を行う事業所（70物品賃貸業） </t>
  </si>
  <si>
    <t>71</t>
  </si>
  <si>
    <t>　学術・開発研究機関</t>
  </si>
  <si>
    <t>170300</t>
  </si>
  <si>
    <t>　　　　710　</t>
  </si>
  <si>
    <t xml:space="preserve">管理，補助的経済活動を行う事業所（71学術・開発研究機関） </t>
  </si>
  <si>
    <t>専門サービス業</t>
  </si>
  <si>
    <t>170100</t>
  </si>
  <si>
    <t>　　　　720　</t>
  </si>
  <si>
    <t xml:space="preserve">管理，補助的経済活動を行う事業所（72専門サービス業） </t>
  </si>
  <si>
    <t>広告業</t>
  </si>
  <si>
    <t>171900</t>
  </si>
  <si>
    <t>　広告業</t>
  </si>
  <si>
    <t>　　　　730　</t>
  </si>
  <si>
    <t xml:space="preserve">管理，補助的経済活動を行う事業所（73広告業） </t>
  </si>
  <si>
    <t>74</t>
  </si>
  <si>
    <t>　技術サービス業（他に分類されないもの）</t>
  </si>
  <si>
    <t>専門サービス業</t>
  </si>
  <si>
    <t>　　　　740　</t>
  </si>
  <si>
    <t xml:space="preserve">管理，補助的経済活動を行う事業所（74技術サービス業） </t>
  </si>
  <si>
    <t>　宿泊業</t>
  </si>
  <si>
    <t>130500</t>
  </si>
  <si>
    <t>　　　　750　</t>
  </si>
  <si>
    <t xml:space="preserve">管理，補助的経済活動を行う事業所（75宿泊業） </t>
  </si>
  <si>
    <t>　飲食店</t>
  </si>
  <si>
    <t>130100</t>
  </si>
  <si>
    <t>一般飲食店　</t>
  </si>
  <si>
    <t>　　　　760　</t>
  </si>
  <si>
    <t xml:space="preserve">管理，補助的経済活動を行う事業所（76飲食店） </t>
  </si>
  <si>
    <t>77</t>
  </si>
  <si>
    <t>　持ち帰り・配達飲食サービス業</t>
  </si>
  <si>
    <t>　　　　770　</t>
  </si>
  <si>
    <t xml:space="preserve">管理，補助的経済活動を行う事業所（77持ち帰り・配達飲食サービス業） </t>
  </si>
  <si>
    <t>　洗濯・理容・美容・浴場業</t>
  </si>
  <si>
    <t>170500</t>
  </si>
  <si>
    <t>　　　　780　</t>
  </si>
  <si>
    <t xml:space="preserve">管理，補助的経済活動を行う事業所（78洗濯・理容・美容・浴場業） </t>
  </si>
  <si>
    <t>79</t>
  </si>
  <si>
    <t>　その他の生活関連サービス業</t>
  </si>
  <si>
    <t>170700</t>
  </si>
  <si>
    <t>　　　　790　</t>
  </si>
  <si>
    <t xml:space="preserve">管理，補助的経済活動を行う事業所（79その他の生活関連サービス業） </t>
  </si>
  <si>
    <t>80</t>
  </si>
  <si>
    <t>　娯楽業</t>
  </si>
  <si>
    <t>170900</t>
  </si>
  <si>
    <t>　　　　800　</t>
  </si>
  <si>
    <t xml:space="preserve">管理，補助的経済活動を行う事業所（80娯楽業） </t>
  </si>
  <si>
    <t>81</t>
  </si>
  <si>
    <t>　学校教育</t>
  </si>
  <si>
    <t>150000</t>
  </si>
  <si>
    <t>　　　　810　</t>
  </si>
  <si>
    <t xml:space="preserve">管理，補助的経済活動を行う事業所（81学校教育） </t>
  </si>
  <si>
    <t>　その他の教育，学習支援業</t>
  </si>
  <si>
    <t>　　　　820　</t>
  </si>
  <si>
    <t xml:space="preserve">管理，補助的経済活動を行う事業所（82その他の教育，学習支援業） </t>
  </si>
  <si>
    <t>83</t>
  </si>
  <si>
    <t>　医療業</t>
  </si>
  <si>
    <t>140100</t>
  </si>
  <si>
    <t>　　　　830　</t>
  </si>
  <si>
    <t xml:space="preserve">管理，補助的経済活動を行う事業所（83医療業） </t>
  </si>
  <si>
    <t>84</t>
  </si>
  <si>
    <t>　保健衛生</t>
  </si>
  <si>
    <t>140300</t>
  </si>
  <si>
    <t>　　　　840　</t>
  </si>
  <si>
    <t xml:space="preserve">管理，補助的経済活動を行う事業所（84保健衛生） </t>
  </si>
  <si>
    <t>85</t>
  </si>
  <si>
    <t>　社会保険・社会福祉・介護事業</t>
  </si>
  <si>
    <t>140500</t>
  </si>
  <si>
    <t>　　　　850　</t>
  </si>
  <si>
    <t xml:space="preserve">管理，補助的経済活動を行う事業所（85社会保険・社会福祉・介護事業） </t>
  </si>
  <si>
    <t>86</t>
  </si>
  <si>
    <t>　郵便局</t>
  </si>
  <si>
    <t>160000</t>
  </si>
  <si>
    <t>　　　　860　</t>
  </si>
  <si>
    <t xml:space="preserve">管理，補助的経済活動を行う事業所（86郵便局） </t>
  </si>
  <si>
    <t>87</t>
  </si>
  <si>
    <t>　協同組合（他に分類されないもの）</t>
  </si>
  <si>
    <t>　　　　870　</t>
  </si>
  <si>
    <t xml:space="preserve">管理，補助的経済活動を行う事業所（87協同組合） </t>
  </si>
  <si>
    <t>88</t>
  </si>
  <si>
    <t>　廃棄物処理業</t>
  </si>
  <si>
    <t>171100</t>
  </si>
  <si>
    <t>　　　　880　</t>
  </si>
  <si>
    <t xml:space="preserve">管理，補助的経済活動を行う事業所（88廃棄物処理業） </t>
  </si>
  <si>
    <t>89</t>
  </si>
  <si>
    <t>　自動車整備業</t>
  </si>
  <si>
    <t>171300</t>
  </si>
  <si>
    <t>　　　　890　</t>
  </si>
  <si>
    <t xml:space="preserve">管理，補助的経済活動を行う事業所（89自動車整備業） </t>
  </si>
  <si>
    <t>90</t>
  </si>
  <si>
    <t>　機械等修理業（別掲を除く）</t>
  </si>
  <si>
    <t>171500</t>
  </si>
  <si>
    <t>　　　　900　</t>
  </si>
  <si>
    <t xml:space="preserve">管理，補助的経済活動を行う事業所（90機械等修理業） </t>
  </si>
  <si>
    <t>　職業紹介・労働者派遣業</t>
  </si>
  <si>
    <t>172100</t>
  </si>
  <si>
    <t>　その他の事業サービス業</t>
  </si>
  <si>
    <t>　　　　910　</t>
  </si>
  <si>
    <t xml:space="preserve">管理，補助的経済活動を行う事業所（91職業紹介・労働者派遣業） </t>
  </si>
  <si>
    <t>92</t>
  </si>
  <si>
    <t>　　　　920　</t>
  </si>
  <si>
    <t xml:space="preserve">管理，補助的経済活動を行う事業所（92その他の事業サービス業） </t>
  </si>
  <si>
    <t>93</t>
  </si>
  <si>
    <t>　政治・経済・文化団体</t>
  </si>
  <si>
    <t>172300</t>
  </si>
  <si>
    <t>　　　　931　</t>
  </si>
  <si>
    <t xml:space="preserve">経済団体 </t>
  </si>
  <si>
    <t>94</t>
  </si>
  <si>
    <t>　宗教</t>
  </si>
  <si>
    <t>　　　　941　</t>
  </si>
  <si>
    <t xml:space="preserve">神道系宗教 </t>
  </si>
  <si>
    <t>95</t>
  </si>
  <si>
    <t>　その他のサービス業</t>
  </si>
  <si>
    <t>　　　　950　</t>
  </si>
  <si>
    <t xml:space="preserve">管理，補助的経済活動を行う事業所（95その他のサービス業） </t>
  </si>
  <si>
    <t>96</t>
  </si>
  <si>
    <t>　外国公務</t>
  </si>
  <si>
    <t>　　　　961　</t>
  </si>
  <si>
    <t xml:space="preserve">外国公館 </t>
  </si>
  <si>
    <t>　国家公務</t>
  </si>
  <si>
    <t>　　　　971　</t>
  </si>
  <si>
    <t xml:space="preserve">立法機関 </t>
  </si>
  <si>
    <t>98</t>
  </si>
  <si>
    <t>　地方公務</t>
  </si>
  <si>
    <t>　　　　981　</t>
  </si>
  <si>
    <t xml:space="preserve">都道府県機関 </t>
  </si>
  <si>
    <t>99</t>
  </si>
  <si>
    <t>分類不能の産業</t>
  </si>
  <si>
    <t>990000</t>
  </si>
  <si>
    <t>　　　　999　</t>
  </si>
  <si>
    <t xml:space="preserve">分類不能の産業 </t>
  </si>
  <si>
    <t>事業者名：</t>
  </si>
  <si>
    <t>以下の判定結果をもとに数値を見直してください。</t>
  </si>
  <si>
    <t>差額</t>
  </si>
  <si>
    <t>機械装置費で補助対象経費にして単価５０万円以上の設備投資が必要</t>
  </si>
  <si>
    <t>機械装置費以外の経費の補助金交付申請額は５００万円以下</t>
  </si>
  <si>
    <t>総合判定</t>
  </si>
  <si>
    <t>名前の管理（引用しているため削除不可）</t>
  </si>
  <si>
    <t>外、委、知は補助対象経費総額の1/2・1/2・1/3以内か</t>
  </si>
  <si>
    <t>名前</t>
  </si>
  <si>
    <t>消費税率</t>
  </si>
  <si>
    <t>事業類型</t>
  </si>
  <si>
    <t>補助上限額</t>
  </si>
  <si>
    <t>合　計</t>
  </si>
  <si>
    <t>↑</t>
  </si>
  <si>
    <t>機械装置費を除く補助金申請額の合計額(修正前)</t>
  </si>
  <si>
    <t>順位２</t>
  </si>
  <si>
    <t>補助金交付申請限度額</t>
  </si>
  <si>
    <t>順位２の合計額</t>
  </si>
  <si>
    <t>微修正してください。</t>
  </si>
  <si>
    <t>優先される数値</t>
  </si>
  <si>
    <t>次に、補助金の上限を設定するため事業類型を選択してください。(必須)</t>
  </si>
  <si>
    <t>経理担当者の役職氏名TELを入力してください。</t>
  </si>
  <si>
    <t>保護を解除する場合は「校閲」のタブをクリックして、「シート保護の解除」をしてください。パスワードはかけていません。</t>
  </si>
  <si>
    <t>費目別支出明細では原則円未満切り捨てで計算しています。微調整は保護を解除して行ってください。</t>
  </si>
  <si>
    <t>企業名を入力してください。</t>
  </si>
  <si>
    <t>■はじめに</t>
  </si>
  <si>
    <t>　 ※下記の各費用項目をクリックすると対象のシートに移動します。</t>
  </si>
  <si>
    <t>機械装置費（50万円以上）</t>
  </si>
  <si>
    <t>機械装置費（50万円未満）</t>
  </si>
  <si>
    <t>専門家経費</t>
  </si>
  <si>
    <t>クラウド利用費</t>
  </si>
  <si>
    <t>機械装置費（50万円以上）</t>
  </si>
  <si>
    <t>機械装置費（50万円未満）</t>
  </si>
  <si>
    <t>（切捨て）</t>
  </si>
  <si>
    <t>補助対象経費</t>
  </si>
  <si>
    <t>補助対象経費の（2/3）</t>
  </si>
  <si>
    <t>■操作手順</t>
  </si>
  <si>
    <t xml:space="preserve">補助対象経費
</t>
  </si>
  <si>
    <t>機械装置費を優先した残りの補助金交付申請額</t>
  </si>
  <si>
    <t xml:space="preserve">機械装置費を除く合計額の補助金交付申請額の上限 </t>
  </si>
  <si>
    <t>この申請の事業類型は、</t>
  </si>
  <si>
    <t>要対応は　　× 並びに</t>
  </si>
  <si>
    <t>色の変わったセル(総額違反)</t>
  </si>
  <si>
    <t>機械装置費（50万円以上）</t>
  </si>
  <si>
    <t>機械装置費（50万円未満）</t>
  </si>
  <si>
    <t>日</t>
  </si>
  <si>
    <t>判定１</t>
  </si>
  <si>
    <t>判定２</t>
  </si>
  <si>
    <t>判定３</t>
  </si>
  <si>
    <t>目次</t>
  </si>
  <si>
    <t>シート名</t>
  </si>
  <si>
    <t>日本標準産業分類</t>
  </si>
  <si>
    <t>戻る</t>
  </si>
  <si>
    <t>下記の各費用項目をクリックすると対象のシートに移動します。</t>
  </si>
  <si>
    <t>●各経費の合計額が、「費目別経費支出明細書」の合計と一致しているか確認してください。</t>
  </si>
  <si>
    <t>ＡＡ株式会社</t>
  </si>
  <si>
    <t>○○装置　(型番１２３型番TK)</t>
  </si>
  <si>
    <t>台</t>
  </si>
  <si>
    <t>ＢＢ株式会社</t>
  </si>
  <si>
    <t>○○装置　(型番１型番TK)</t>
  </si>
  <si>
    <t>ＣＣ株式会社</t>
  </si>
  <si>
    <t>金属Ａ</t>
  </si>
  <si>
    <t>金属Ｂ</t>
  </si>
  <si>
    <t>Ｄ株式会社</t>
  </si>
  <si>
    <t>○○指導</t>
  </si>
  <si>
    <t>件</t>
  </si>
  <si>
    <t>○○市工業研究所</t>
  </si>
  <si>
    <t>○○の委託研究開発</t>
  </si>
  <si>
    <t>○○研究所</t>
  </si>
  <si>
    <t>○○技術について</t>
  </si>
  <si>
    <t>○○運輸</t>
  </si>
  <si>
    <t>○○機材</t>
  </si>
  <si>
    <t>個</t>
  </si>
  <si>
    <t>○○株式会社</t>
  </si>
  <si>
    <t>初期費用</t>
  </si>
  <si>
    <t>件</t>
  </si>
  <si>
    <t>調整される補助金の額</t>
  </si>
  <si>
    <t>調整する件数</t>
  </si>
  <si>
    <t>○○信用金庫　○○支店</t>
  </si>
  <si>
    <t>総務部長　経済計子</t>
  </si>
  <si>
    <t>基本情報入力（使い方）</t>
  </si>
  <si>
    <t>資金（借入金）の調達先を入力してください。</t>
  </si>
  <si>
    <t>052-123-4567</t>
  </si>
  <si>
    <t>小規模型</t>
  </si>
  <si>
    <t>高度生産性向上型</t>
  </si>
  <si>
    <t>一般型</t>
  </si>
  <si>
    <t>設備投資のみ</t>
  </si>
  <si>
    <t>試作開発＋設備投資</t>
  </si>
  <si>
    <t>補助上限額</t>
  </si>
  <si>
    <t>事業類型</t>
  </si>
  <si>
    <t>№</t>
  </si>
  <si>
    <t>事業内容</t>
  </si>
  <si>
    <t>条件</t>
  </si>
  <si>
    <t>照合金額</t>
  </si>
  <si>
    <t>判定</t>
  </si>
  <si>
    <t>結果</t>
  </si>
  <si>
    <t>委託費</t>
  </si>
  <si>
    <t>判定対象外</t>
  </si>
  <si>
    <t>判定内容</t>
  </si>
  <si>
    <t>試作開発等</t>
  </si>
  <si>
    <t>事業内容（小規模）</t>
  </si>
  <si>
    <t>革新的サービス</t>
  </si>
  <si>
    <t>ものづくり技術</t>
  </si>
  <si>
    <t>外注加工費（小規模型のみ）</t>
  </si>
  <si>
    <t>補助下限額</t>
  </si>
  <si>
    <t>（試作開発等）</t>
  </si>
  <si>
    <t>（設備投資のみ）</t>
  </si>
  <si>
    <t>（ＩｏＴ）</t>
  </si>
  <si>
    <t>（最新モデル）</t>
  </si>
  <si>
    <t>原材料費（小規模型のみ）</t>
  </si>
  <si>
    <t>経費明細表</t>
  </si>
  <si>
    <t>委託費(小規模型のみ）</t>
  </si>
  <si>
    <t>知的財産権等関連経費(小規模型のみ）</t>
  </si>
  <si>
    <t>クラウド利用費（小規模型のみ）</t>
  </si>
  <si>
    <t>原材料費(※）</t>
  </si>
  <si>
    <t>外注加工費(※）</t>
  </si>
  <si>
    <t>委託費(※）</t>
  </si>
  <si>
    <t>知的財産権等関連経費(※）</t>
  </si>
  <si>
    <t>クラウド利用費(※）</t>
  </si>
  <si>
    <t>※は小規模型の「試作開発等」のみ使用可</t>
  </si>
  <si>
    <t>機械装置費で補助対象経費にして単価５０万円以上の設備投資が必要</t>
  </si>
  <si>
    <t>①費目別経費支出明細書</t>
  </si>
  <si>
    <t>原材料費、外注加工費、委託費、知的財産権等関連経費、クラウド利用費</t>
  </si>
  <si>
    <t>知的財産権等関連経費</t>
  </si>
  <si>
    <t>外注加工費は補助対象経費の1/2を超えていないか※１</t>
  </si>
  <si>
    <t>委託費は補助対象経費の1/2を超えていないか※１</t>
  </si>
  <si>
    <t>上記の合計額が補助対象経費の1/2を超えていないか。※１</t>
  </si>
  <si>
    <t>知的財産権関連経費が補助対象経費の1/3を超えていないか</t>
  </si>
  <si>
    <t>事業対象外の経費を使用していないか</t>
  </si>
  <si>
    <t>対象項目</t>
  </si>
  <si>
    <t>※１：小規模型（試作開発等）が対象</t>
  </si>
  <si>
    <t>事業対象外の経費を使用していないか※２</t>
  </si>
  <si>
    <t>※２：小規模型（試作開発等）以外が対象</t>
  </si>
  <si>
    <r>
      <rPr>
        <sz val="9.5"/>
        <rFont val="ＭＳ Ｐゴシック"/>
        <family val="3"/>
      </rPr>
      <t>補助事業に要した
経費</t>
    </r>
    <r>
      <rPr>
        <sz val="10"/>
        <rFont val="ＭＳ Ｐゴシック"/>
        <family val="3"/>
      </rPr>
      <t>（税込）
≧</t>
    </r>
    <r>
      <rPr>
        <sz val="9.5"/>
        <rFont val="ＭＳ Ｐゴシック"/>
        <family val="3"/>
      </rPr>
      <t>補助事業に要した
経費</t>
    </r>
    <r>
      <rPr>
        <sz val="10"/>
        <rFont val="ＭＳ Ｐゴシック"/>
        <family val="3"/>
      </rPr>
      <t>（税抜）
≧補助対象経費</t>
    </r>
  </si>
  <si>
    <t>機械装置費（単価50万円以上）</t>
  </si>
  <si>
    <t>機械装置費（単価50万円未満）</t>
  </si>
  <si>
    <t>その他経費の制限に
抵触していないか</t>
  </si>
  <si>
    <t xml:space="preserve"> </t>
  </si>
  <si>
    <t>補助事業に要した経費（税込）≧補助事業に要した経費（税抜）
補助事業に要した経費（税抜）≧補助対象経費</t>
  </si>
  <si>
    <t>判定1</t>
  </si>
  <si>
    <t>判定2</t>
  </si>
  <si>
    <t>判定3</t>
  </si>
  <si>
    <t>外、委、知は補助対象経費総額の1/2・1/2・1/3以内か。</t>
  </si>
  <si>
    <t>その他経費の制限に抵触していないか</t>
  </si>
  <si>
    <t>判定４</t>
  </si>
  <si>
    <t>技術導入費</t>
  </si>
  <si>
    <t>運搬費</t>
  </si>
  <si>
    <t>専門家経費</t>
  </si>
  <si>
    <t>判定５</t>
  </si>
  <si>
    <t>設備投資の制限</t>
  </si>
  <si>
    <t>設備投資の制限に抵触していないか</t>
  </si>
  <si>
    <t>設備投資にウエイトをおいて補助金額を按分しています。</t>
  </si>
  <si>
    <t>「×」の場合、判定１～判定5参照</t>
  </si>
  <si>
    <t>円</t>
  </si>
  <si>
    <t>Ｂ金属株式会社</t>
  </si>
  <si>
    <t>様式第５の別紙　経費明細表</t>
  </si>
  <si>
    <t>遂行状況支出額　計算シート　※各費目の按分率（補助金の額）は毎月の遂行過程で増減することがあります。</t>
  </si>
  <si>
    <t>仮計算
補助金の額</t>
  </si>
  <si>
    <t>按分計算
補助金の額</t>
  </si>
  <si>
    <t>補助金の額</t>
  </si>
  <si>
    <t>このエクセルは事務処理の手引きの遂行状況報告書　様式第５の別紙　経費明細表</t>
  </si>
  <si>
    <t>を作成するために用意したものです。</t>
  </si>
  <si>
    <t>請求書等の証拠書類をもとに、各経費のそれぞれの単価・数量・内容を入力すると、経費明細へ自動的に反映されます。</t>
  </si>
  <si>
    <t>様式第５の別紙　経費明細表を作成して下さい。</t>
  </si>
  <si>
    <t>事業形態</t>
  </si>
  <si>
    <t>補助金
交付決定額</t>
  </si>
  <si>
    <t>Ａ</t>
  </si>
  <si>
    <t>Ｂ</t>
  </si>
  <si>
    <t>Ｂ×２／３以内</t>
  </si>
  <si>
    <t>積算基礎　(Ａ.税込み)</t>
  </si>
  <si>
    <t>補助事業に要した経費</t>
  </si>
  <si>
    <t>（税込み）</t>
  </si>
  <si>
    <t>（税抜き）</t>
  </si>
  <si>
    <t>別紙　費目別経費支出明細書のとおり</t>
  </si>
  <si>
    <t>「機械装置費（50万円以上）」から「クラウド利用費」まで該当の「費目別経費支出明細書」へ請求書等の証拠書類から支払実績をもとに入力してください。</t>
  </si>
  <si>
    <t>【様式第５の別紙】①費目別経費支出明細書</t>
  </si>
  <si>
    <t>ＢＢ株式会社</t>
  </si>
  <si>
    <t>○○装置　(型番２型番TK)</t>
  </si>
  <si>
    <t>○○装置　(型番３型番TK)</t>
  </si>
  <si>
    <t>○○装置　(型番４型番TK)</t>
  </si>
  <si>
    <t>○○装置　(型番５型番TK)</t>
  </si>
  <si>
    <t>○○装置　(型番６型番TK)</t>
  </si>
  <si>
    <t>○○装置　(型番７型番TK)</t>
  </si>
  <si>
    <t>○○装置　(型番８型番TK)</t>
  </si>
  <si>
    <t>（注1）「積算基準」は、「補助事業に要する経費（税込み）について単価や旅行程など経費の内訳を明確に記載してください。</t>
  </si>
  <si>
    <t>様式第５の別紙</t>
  </si>
  <si>
    <t>○○弁理士</t>
  </si>
  <si>
    <t>○○作業
（20日）</t>
  </si>
  <si>
    <t>日</t>
  </si>
  <si>
    <t>Ｅ株式会社</t>
  </si>
  <si>
    <t>切削加工</t>
  </si>
  <si>
    <t>ｋｇ</t>
  </si>
  <si>
    <t>ｇ</t>
  </si>
  <si>
    <t>合金Ａ</t>
  </si>
  <si>
    <t>合金Ｂ</t>
  </si>
  <si>
    <t>固定料金費用</t>
  </si>
  <si>
    <t>月</t>
  </si>
  <si>
    <t>従量制料金費用</t>
  </si>
  <si>
    <t>ＴＢ</t>
  </si>
  <si>
    <t>振込手数料800円（税抜き）先方負担のため減額あり</t>
  </si>
  <si>
    <t>●交付決定額を入力してください。（交付申請書　様式第１の別紙　（4）経費明細表を転記します。）</t>
  </si>
  <si>
    <t>●遂行状況報告段階での補助金の額は決定ではありません。</t>
  </si>
  <si>
    <t>←この塗りつぶしのあるセルに、必要に応じて入力をお願いします。（全シート対象）</t>
  </si>
  <si>
    <t>　交付決定額を上限として案分し、実績報告において補助対象経費・補助金等が確定されます。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</si>
</sst>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_ "/>
    <numFmt numFmtId="185" formatCode="0_ "/>
    <numFmt numFmtId="186" formatCode="#,##0_);[Red]\(#,##0\)"/>
    <numFmt numFmtId="187" formatCode="#,##0.00_ "/>
    <numFmt numFmtId="188" formatCode="0.00_ "/>
    <numFmt numFmtId="189" formatCode="0.000_ "/>
    <numFmt numFmtId="190" formatCode="#,##0&quot;円&quot;"/>
    <numFmt numFmtId="191" formatCode="0&quot;件&quot;"/>
    <numFmt numFmtId="192" formatCode="&quot;参考：補助上限額　&quot;#,##0&quot;円&quot;"/>
  </numFmts>
  <fonts count="11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1"/>
      <name val="ＭＳ 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b/>
      <sz val="9"/>
      <name val="ＭＳ ゴシック"/>
      <family val="3"/>
    </font>
    <font>
      <b/>
      <sz val="12"/>
      <name val="ＭＳ Ｐゴシック"/>
      <family val="3"/>
    </font>
    <font>
      <sz val="20"/>
      <name val="ＭＳ Ｐゴシック"/>
      <family val="3"/>
    </font>
    <font>
      <b/>
      <sz val="11"/>
      <name val="ＭＳ Ｐゴシック"/>
      <family val="3"/>
    </font>
    <font>
      <sz val="18"/>
      <name val="ＭＳ Ｐゴシック"/>
      <family val="3"/>
    </font>
    <font>
      <sz val="9"/>
      <name val="Meiryo UI"/>
      <family val="3"/>
    </font>
    <font>
      <sz val="9.5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b/>
      <sz val="9"/>
      <name val="ＭＳ Ｐゴシック"/>
      <family val="3"/>
    </font>
    <font>
      <b/>
      <sz val="18"/>
      <name val="ＭＳ Ｐゴシック"/>
      <family val="3"/>
    </font>
    <font>
      <b/>
      <sz val="20"/>
      <name val="ＭＳ Ｐ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  <font>
      <b/>
      <sz val="11"/>
      <color indexed="8"/>
      <name val="ＭＳ ゴシック"/>
      <family val="3"/>
    </font>
    <font>
      <sz val="12"/>
      <color indexed="8"/>
      <name val="ＭＳ Ｐゴシック"/>
      <family val="3"/>
    </font>
    <font>
      <sz val="12"/>
      <color indexed="8"/>
      <name val="ＭＳ ゴシック"/>
      <family val="3"/>
    </font>
    <font>
      <b/>
      <sz val="12"/>
      <color indexed="8"/>
      <name val="ＭＳ ゴシック"/>
      <family val="3"/>
    </font>
    <font>
      <u val="single"/>
      <sz val="12"/>
      <color indexed="8"/>
      <name val="ＭＳ ゴシック"/>
      <family val="3"/>
    </font>
    <font>
      <sz val="12"/>
      <color indexed="9"/>
      <name val="ＭＳ ゴシック"/>
      <family val="3"/>
    </font>
    <font>
      <b/>
      <sz val="9"/>
      <color indexed="10"/>
      <name val="ＭＳ Ｐゴシック"/>
      <family val="3"/>
    </font>
    <font>
      <sz val="12"/>
      <color indexed="10"/>
      <name val="ＭＳ ゴシック"/>
      <family val="3"/>
    </font>
    <font>
      <sz val="12"/>
      <color indexed="47"/>
      <name val="ＭＳ ゴシック"/>
      <family val="3"/>
    </font>
    <font>
      <b/>
      <sz val="14"/>
      <color indexed="9"/>
      <name val="ＭＳ Ｐゴシック"/>
      <family val="3"/>
    </font>
    <font>
      <sz val="14"/>
      <color indexed="10"/>
      <name val="ＭＳ Ｐゴシック"/>
      <family val="3"/>
    </font>
    <font>
      <sz val="9"/>
      <color indexed="8"/>
      <name val="ＭＳ Ｐゴシック"/>
      <family val="3"/>
    </font>
    <font>
      <sz val="12"/>
      <color indexed="10"/>
      <name val="ＭＳ Ｐゴシック"/>
      <family val="3"/>
    </font>
    <font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sz val="10"/>
      <color indexed="8"/>
      <name val="ＭＳ 明朝"/>
      <family val="1"/>
    </font>
    <font>
      <sz val="14"/>
      <color indexed="56"/>
      <name val="ＭＳ Ｐゴシック"/>
      <family val="3"/>
    </font>
    <font>
      <b/>
      <sz val="14"/>
      <color indexed="56"/>
      <name val="ＭＳ Ｐゴシック"/>
      <family val="3"/>
    </font>
    <font>
      <b/>
      <sz val="36"/>
      <color indexed="9"/>
      <name val="ＭＳ Ｐゴシック"/>
      <family val="3"/>
    </font>
    <font>
      <sz val="9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1"/>
      <color theme="1"/>
      <name val="ＭＳ 明朝"/>
      <family val="1"/>
    </font>
    <font>
      <b/>
      <sz val="11"/>
      <color theme="1"/>
      <name val="ＭＳ ゴシック"/>
      <family val="3"/>
    </font>
    <font>
      <sz val="12"/>
      <color theme="1"/>
      <name val="Calibri"/>
      <family val="3"/>
    </font>
    <font>
      <sz val="12"/>
      <color theme="1"/>
      <name val="ＭＳ ゴシック"/>
      <family val="3"/>
    </font>
    <font>
      <b/>
      <sz val="12"/>
      <color theme="1"/>
      <name val="ＭＳ ゴシック"/>
      <family val="3"/>
    </font>
    <font>
      <u val="single"/>
      <sz val="12"/>
      <color theme="1"/>
      <name val="ＭＳ ゴシック"/>
      <family val="3"/>
    </font>
    <font>
      <b/>
      <sz val="11"/>
      <name val="Calibri"/>
      <family val="3"/>
    </font>
    <font>
      <sz val="11"/>
      <name val="Calibri"/>
      <family val="3"/>
    </font>
    <font>
      <sz val="9"/>
      <name val="Calibri"/>
      <family val="3"/>
    </font>
    <font>
      <sz val="12"/>
      <color theme="0"/>
      <name val="ＭＳ ゴシック"/>
      <family val="3"/>
    </font>
    <font>
      <sz val="10"/>
      <name val="Calibri"/>
      <family val="3"/>
    </font>
    <font>
      <b/>
      <sz val="9"/>
      <color rgb="FFFF0000"/>
      <name val="Calibri"/>
      <family val="3"/>
    </font>
    <font>
      <sz val="12"/>
      <color rgb="FFFF0000"/>
      <name val="ＭＳ ゴシック"/>
      <family val="3"/>
    </font>
    <font>
      <sz val="12"/>
      <color theme="9" tint="0.7999799847602844"/>
      <name val="ＭＳ ゴシック"/>
      <family val="3"/>
    </font>
    <font>
      <b/>
      <sz val="14"/>
      <color theme="0"/>
      <name val="ＭＳ Ｐゴシック"/>
      <family val="3"/>
    </font>
    <font>
      <b/>
      <sz val="11"/>
      <color rgb="FF002060"/>
      <name val="ＭＳ Ｐゴシック"/>
      <family val="3"/>
    </font>
    <font>
      <sz val="11"/>
      <color theme="1"/>
      <name val="ＭＳ Ｐゴシック"/>
      <family val="3"/>
    </font>
    <font>
      <sz val="14"/>
      <color rgb="FFFF0000"/>
      <name val="ＭＳ Ｐゴシック"/>
      <family val="3"/>
    </font>
    <font>
      <sz val="9"/>
      <color theme="1"/>
      <name val="ＭＳ Ｐゴシック"/>
      <family val="3"/>
    </font>
    <font>
      <sz val="12"/>
      <color rgb="FFFF0000"/>
      <name val="ＭＳ Ｐゴシック"/>
      <family val="3"/>
    </font>
    <font>
      <sz val="12"/>
      <color theme="1"/>
      <name val="ＭＳ Ｐゴシック"/>
      <family val="3"/>
    </font>
    <font>
      <sz val="14"/>
      <color theme="1"/>
      <name val="ＭＳ Ｐゴシック"/>
      <family val="3"/>
    </font>
    <font>
      <sz val="16"/>
      <color theme="1"/>
      <name val="ＭＳ Ｐゴシック"/>
      <family val="3"/>
    </font>
    <font>
      <sz val="12"/>
      <name val="Calibri"/>
      <family val="3"/>
    </font>
    <font>
      <sz val="10"/>
      <color theme="1"/>
      <name val="ＭＳ 明朝"/>
      <family val="1"/>
    </font>
    <font>
      <b/>
      <sz val="36"/>
      <color theme="0"/>
      <name val="ＭＳ Ｐゴシック"/>
      <family val="3"/>
    </font>
    <font>
      <b/>
      <sz val="14"/>
      <color rgb="FF002060"/>
      <name val="ＭＳ Ｐゴシック"/>
      <family val="3"/>
    </font>
    <font>
      <sz val="14"/>
      <color rgb="FF002060"/>
      <name val="ＭＳ Ｐゴシック"/>
      <family val="3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9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/>
    </border>
    <border>
      <left style="thin"/>
      <right/>
      <top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 style="thin"/>
      <top style="thin"/>
      <bottom style="medium"/>
    </border>
    <border>
      <left/>
      <right style="thin"/>
      <top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/>
      <top style="medium"/>
      <bottom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medium"/>
      <bottom style="medium"/>
    </border>
    <border>
      <left style="thin"/>
      <right/>
      <top style="thin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ck"/>
      <right style="thin"/>
      <top style="thick"/>
      <bottom style="hair"/>
    </border>
    <border>
      <left style="thick"/>
      <right style="thin"/>
      <top style="hair"/>
      <bottom style="hair"/>
    </border>
    <border>
      <left style="thick"/>
      <right style="thin"/>
      <top style="hair"/>
      <bottom style="thick"/>
    </border>
    <border>
      <left style="thin"/>
      <right>
        <color indexed="63"/>
      </right>
      <top style="thin"/>
      <bottom style="hair"/>
    </border>
    <border>
      <left style="thin"/>
      <right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hair"/>
    </border>
    <border>
      <left/>
      <right style="thin"/>
      <top style="hair"/>
      <bottom style="hair"/>
    </border>
    <border>
      <left style="thin"/>
      <right style="thin"/>
      <top/>
      <bottom/>
    </border>
    <border>
      <left>
        <color indexed="63"/>
      </left>
      <right style="thin"/>
      <top style="hair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 style="thick"/>
      <top style="hair"/>
      <bottom style="thick"/>
    </border>
    <border>
      <left/>
      <right/>
      <top style="thin"/>
      <bottom style="thin"/>
    </border>
    <border>
      <left>
        <color indexed="63"/>
      </left>
      <right style="thick"/>
      <top style="hair"/>
      <bottom style="hair"/>
    </border>
    <border>
      <left style="thin">
        <color theme="8" tint="-0.4999699890613556"/>
      </left>
      <right>
        <color indexed="63"/>
      </right>
      <top>
        <color indexed="63"/>
      </top>
      <bottom>
        <color indexed="63"/>
      </bottom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ck"/>
      <bottom style="hair"/>
    </border>
    <border>
      <left>
        <color indexed="63"/>
      </left>
      <right>
        <color indexed="63"/>
      </right>
      <top style="thick"/>
      <bottom style="hair"/>
    </border>
    <border>
      <left>
        <color indexed="63"/>
      </left>
      <right style="thick"/>
      <top style="thick"/>
      <bottom style="hair"/>
    </border>
    <border>
      <left style="thin"/>
      <right>
        <color indexed="63"/>
      </right>
      <top style="hair"/>
      <bottom style="thick"/>
    </border>
    <border>
      <left>
        <color indexed="63"/>
      </left>
      <right>
        <color indexed="63"/>
      </right>
      <top style="hair"/>
      <bottom style="thick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/>
      <bottom style="medium"/>
    </border>
    <border>
      <left style="medium"/>
      <right/>
      <top/>
      <bottom style="medium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6" borderId="1" applyNumberFormat="0" applyAlignment="0" applyProtection="0"/>
    <xf numFmtId="0" fontId="71" fillId="27" borderId="0" applyNumberFormat="0" applyBorder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3" fillId="0" borderId="3" applyNumberFormat="0" applyFill="0" applyAlignment="0" applyProtection="0"/>
    <xf numFmtId="0" fontId="74" fillId="29" borderId="0" applyNumberFormat="0" applyBorder="0" applyAlignment="0" applyProtection="0"/>
    <xf numFmtId="0" fontId="75" fillId="30" borderId="4" applyNumberFormat="0" applyAlignment="0" applyProtection="0"/>
    <xf numFmtId="0" fontId="7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77" fillId="0" borderId="5" applyNumberFormat="0" applyFill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8" applyNumberFormat="0" applyFill="0" applyAlignment="0" applyProtection="0"/>
    <xf numFmtId="0" fontId="81" fillId="30" borderId="9" applyNumberFormat="0" applyAlignment="0" applyProtection="0"/>
    <xf numFmtId="0" fontId="8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3" fillId="31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84" fillId="0" borderId="0" applyNumberFormat="0" applyFill="0" applyBorder="0" applyAlignment="0" applyProtection="0"/>
    <xf numFmtId="0" fontId="85" fillId="32" borderId="0" applyNumberFormat="0" applyBorder="0" applyAlignment="0" applyProtection="0"/>
  </cellStyleXfs>
  <cellXfs count="535"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right" vertical="center"/>
      <protection locked="0"/>
    </xf>
    <xf numFmtId="0" fontId="86" fillId="0" borderId="10" xfId="0" applyFont="1" applyBorder="1" applyAlignment="1" applyProtection="1">
      <alignment horizontal="center" vertical="top" wrapText="1"/>
      <protection locked="0"/>
    </xf>
    <xf numFmtId="0" fontId="86" fillId="0" borderId="11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184" fontId="7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Alignment="1" applyProtection="1">
      <alignment horizontal="left" vertical="center"/>
      <protection/>
    </xf>
    <xf numFmtId="38" fontId="0" fillId="0" borderId="0" xfId="0" applyNumberFormat="1" applyFont="1" applyAlignment="1" applyProtection="1">
      <alignment vertical="center"/>
      <protection locked="0"/>
    </xf>
    <xf numFmtId="0" fontId="0" fillId="33" borderId="0" xfId="0" applyFont="1" applyFill="1" applyAlignment="1" applyProtection="1">
      <alignment vertical="center"/>
      <protection locked="0"/>
    </xf>
    <xf numFmtId="0" fontId="86" fillId="0" borderId="0" xfId="0" applyFont="1" applyAlignment="1" applyProtection="1">
      <alignment horizontal="center" vertical="center"/>
      <protection locked="0"/>
    </xf>
    <xf numFmtId="0" fontId="86" fillId="0" borderId="12" xfId="0" applyFont="1" applyBorder="1" applyAlignment="1" applyProtection="1">
      <alignment horizontal="center" vertical="center" wrapText="1"/>
      <protection locked="0"/>
    </xf>
    <xf numFmtId="0" fontId="86" fillId="0" borderId="13" xfId="0" applyFont="1" applyBorder="1" applyAlignment="1" applyProtection="1">
      <alignment horizontal="center" vertical="center" wrapText="1"/>
      <protection locked="0"/>
    </xf>
    <xf numFmtId="186" fontId="87" fillId="33" borderId="0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 applyFont="1" applyAlignment="1" applyProtection="1">
      <alignment horizontal="center" vertical="center"/>
      <protection locked="0"/>
    </xf>
    <xf numFmtId="0" fontId="86" fillId="33" borderId="13" xfId="0" applyFont="1" applyFill="1" applyBorder="1" applyAlignment="1" applyProtection="1">
      <alignment horizontal="center" vertical="center" wrapText="1"/>
      <protection locked="0"/>
    </xf>
    <xf numFmtId="0" fontId="86" fillId="33" borderId="12" xfId="0" applyFont="1" applyFill="1" applyBorder="1" applyAlignment="1" applyProtection="1">
      <alignment horizontal="center" vertical="center" wrapText="1"/>
      <protection locked="0"/>
    </xf>
    <xf numFmtId="38" fontId="88" fillId="33" borderId="14" xfId="5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89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90" fillId="0" borderId="0" xfId="0" applyFont="1" applyAlignment="1" applyProtection="1">
      <alignment horizontal="left" vertical="center"/>
      <protection locked="0"/>
    </xf>
    <xf numFmtId="0" fontId="91" fillId="0" borderId="0" xfId="0" applyFont="1" applyAlignment="1" applyProtection="1">
      <alignment horizontal="left" vertical="center"/>
      <protection locked="0"/>
    </xf>
    <xf numFmtId="0" fontId="92" fillId="33" borderId="0" xfId="0" applyFont="1" applyFill="1" applyAlignment="1" applyProtection="1">
      <alignment vertical="center"/>
      <protection locked="0"/>
    </xf>
    <xf numFmtId="0" fontId="86" fillId="0" borderId="15" xfId="0" applyFont="1" applyBorder="1" applyAlignment="1" applyProtection="1">
      <alignment horizontal="center" vertical="center" wrapText="1"/>
      <protection locked="0"/>
    </xf>
    <xf numFmtId="0" fontId="93" fillId="0" borderId="0" xfId="0" applyFont="1" applyBorder="1" applyAlignment="1">
      <alignment horizontal="center" vertical="center" wrapText="1"/>
    </xf>
    <xf numFmtId="0" fontId="93" fillId="0" borderId="0" xfId="0" applyFont="1" applyBorder="1" applyAlignment="1">
      <alignment vertical="center" wrapText="1"/>
    </xf>
    <xf numFmtId="0" fontId="93" fillId="0" borderId="0" xfId="0" applyFont="1" applyAlignment="1">
      <alignment horizontal="center" vertical="center" wrapText="1"/>
    </xf>
    <xf numFmtId="0" fontId="94" fillId="0" borderId="0" xfId="0" applyFont="1" applyAlignment="1">
      <alignment vertical="center"/>
    </xf>
    <xf numFmtId="0" fontId="94" fillId="0" borderId="0" xfId="0" applyFont="1" applyBorder="1" applyAlignment="1">
      <alignment horizontal="center" vertical="center"/>
    </xf>
    <xf numFmtId="0" fontId="94" fillId="0" borderId="0" xfId="0" applyFont="1" applyBorder="1" applyAlignment="1">
      <alignment vertical="center"/>
    </xf>
    <xf numFmtId="0" fontId="94" fillId="0" borderId="0" xfId="0" applyFont="1" applyBorder="1" applyAlignment="1">
      <alignment vertical="center" wrapText="1"/>
    </xf>
    <xf numFmtId="49" fontId="94" fillId="0" borderId="0" xfId="0" applyNumberFormat="1" applyFont="1" applyBorder="1" applyAlignment="1" quotePrefix="1">
      <alignment horizontal="right" vertical="center"/>
    </xf>
    <xf numFmtId="0" fontId="94" fillId="0" borderId="0" xfId="0" applyFont="1" applyAlignment="1">
      <alignment horizontal="center" vertical="center"/>
    </xf>
    <xf numFmtId="49" fontId="94" fillId="0" borderId="0" xfId="0" applyNumberFormat="1" applyFont="1" applyBorder="1" applyAlignment="1">
      <alignment horizontal="right" vertical="center"/>
    </xf>
    <xf numFmtId="0" fontId="94" fillId="0" borderId="0" xfId="0" applyFont="1" applyBorder="1" applyAlignment="1">
      <alignment horizontal="left" vertical="center" indent="1"/>
    </xf>
    <xf numFmtId="0" fontId="94" fillId="33" borderId="0" xfId="0" applyFont="1" applyFill="1" applyBorder="1" applyAlignment="1">
      <alignment vertical="center"/>
    </xf>
    <xf numFmtId="0" fontId="86" fillId="0" borderId="16" xfId="0" applyFont="1" applyBorder="1" applyAlignment="1" applyProtection="1">
      <alignment horizontal="center" vertical="center" wrapText="1"/>
      <protection locked="0"/>
    </xf>
    <xf numFmtId="38" fontId="9" fillId="0" borderId="0" xfId="53" applyFont="1" applyFill="1" applyBorder="1" applyAlignment="1" applyProtection="1">
      <alignment vertical="top" wrapText="1"/>
      <protection locked="0"/>
    </xf>
    <xf numFmtId="0" fontId="95" fillId="0" borderId="0" xfId="0" applyFont="1" applyAlignment="1" applyProtection="1">
      <alignment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38" fontId="10" fillId="0" borderId="17" xfId="50" applyFont="1" applyFill="1" applyBorder="1" applyAlignment="1" applyProtection="1">
      <alignment vertical="center"/>
      <protection/>
    </xf>
    <xf numFmtId="184" fontId="10" fillId="0" borderId="17" xfId="0" applyNumberFormat="1" applyFont="1" applyBorder="1" applyAlignment="1" applyProtection="1">
      <alignment horizontal="right" vertical="center"/>
      <protection/>
    </xf>
    <xf numFmtId="184" fontId="10" fillId="0" borderId="18" xfId="0" applyNumberFormat="1" applyFont="1" applyFill="1" applyBorder="1" applyAlignment="1" applyProtection="1">
      <alignment horizontal="right" vertical="center" wrapText="1"/>
      <protection/>
    </xf>
    <xf numFmtId="38" fontId="10" fillId="0" borderId="18" xfId="50" applyFont="1" applyFill="1" applyBorder="1" applyAlignment="1" applyProtection="1">
      <alignment vertical="center"/>
      <protection/>
    </xf>
    <xf numFmtId="184" fontId="10" fillId="0" borderId="18" xfId="0" applyNumberFormat="1" applyFont="1" applyBorder="1" applyAlignment="1" applyProtection="1">
      <alignment horizontal="right" vertical="center"/>
      <protection/>
    </xf>
    <xf numFmtId="184" fontId="10" fillId="0" borderId="19" xfId="0" applyNumberFormat="1" applyFont="1" applyFill="1" applyBorder="1" applyAlignment="1" applyProtection="1">
      <alignment horizontal="right" vertical="center" wrapText="1"/>
      <protection/>
    </xf>
    <xf numFmtId="184" fontId="10" fillId="0" borderId="18" xfId="0" applyNumberFormat="1" applyFont="1" applyFill="1" applyBorder="1" applyAlignment="1" applyProtection="1">
      <alignment horizontal="right" vertical="center"/>
      <protection/>
    </xf>
    <xf numFmtId="184" fontId="10" fillId="0" borderId="20" xfId="0" applyNumberFormat="1" applyFont="1" applyFill="1" applyBorder="1" applyAlignment="1" applyProtection="1">
      <alignment horizontal="right" vertical="center" wrapText="1"/>
      <protection/>
    </xf>
    <xf numFmtId="38" fontId="10" fillId="0" borderId="20" xfId="50" applyFont="1" applyFill="1" applyBorder="1" applyAlignment="1" applyProtection="1">
      <alignment vertical="center"/>
      <protection/>
    </xf>
    <xf numFmtId="184" fontId="10" fillId="0" borderId="21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190" fontId="10" fillId="0" borderId="19" xfId="50" applyNumberFormat="1" applyFont="1" applyFill="1" applyBorder="1" applyAlignment="1" applyProtection="1">
      <alignment vertical="center"/>
      <protection/>
    </xf>
    <xf numFmtId="191" fontId="10" fillId="0" borderId="19" xfId="50" applyNumberFormat="1" applyFont="1" applyFill="1" applyBorder="1" applyAlignment="1" applyProtection="1">
      <alignment vertical="center"/>
      <protection/>
    </xf>
    <xf numFmtId="0" fontId="94" fillId="0" borderId="0" xfId="0" applyFont="1" applyBorder="1" applyAlignment="1" applyProtection="1">
      <alignment vertical="center"/>
      <protection locked="0"/>
    </xf>
    <xf numFmtId="0" fontId="90" fillId="0" borderId="0" xfId="0" applyFont="1" applyAlignment="1" applyProtection="1">
      <alignment vertical="center"/>
      <protection locked="0"/>
    </xf>
    <xf numFmtId="14" fontId="90" fillId="0" borderId="0" xfId="0" applyNumberFormat="1" applyFont="1" applyAlignment="1" applyProtection="1">
      <alignment vertical="center"/>
      <protection locked="0"/>
    </xf>
    <xf numFmtId="0" fontId="90" fillId="0" borderId="0" xfId="0" applyFont="1" applyAlignment="1" applyProtection="1">
      <alignment vertical="center"/>
      <protection locked="0"/>
    </xf>
    <xf numFmtId="189" fontId="5" fillId="33" borderId="0" xfId="0" applyNumberFormat="1" applyFont="1" applyFill="1" applyBorder="1" applyAlignment="1" applyProtection="1">
      <alignment horizontal="left" vertical="center"/>
      <protection locked="0"/>
    </xf>
    <xf numFmtId="0" fontId="90" fillId="33" borderId="0" xfId="0" applyFont="1" applyFill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90" fillId="0" borderId="0" xfId="0" applyFont="1" applyFill="1" applyAlignment="1" applyProtection="1">
      <alignment vertical="center"/>
      <protection locked="0"/>
    </xf>
    <xf numFmtId="0" fontId="96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90" fillId="0" borderId="0" xfId="0" applyFont="1" applyAlignment="1">
      <alignment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90" fillId="34" borderId="0" xfId="0" applyFont="1" applyFill="1" applyAlignment="1" applyProtection="1">
      <alignment vertical="center"/>
      <protection locked="0"/>
    </xf>
    <xf numFmtId="0" fontId="72" fillId="34" borderId="0" xfId="44" applyFill="1" applyAlignment="1" applyProtection="1">
      <alignment vertical="center"/>
      <protection locked="0"/>
    </xf>
    <xf numFmtId="0" fontId="87" fillId="7" borderId="22" xfId="0" applyFont="1" applyFill="1" applyBorder="1" applyAlignment="1" applyProtection="1">
      <alignment horizontal="left" vertical="center" wrapText="1"/>
      <protection locked="0"/>
    </xf>
    <xf numFmtId="0" fontId="87" fillId="7" borderId="23" xfId="0" applyFont="1" applyFill="1" applyBorder="1" applyAlignment="1" applyProtection="1">
      <alignment horizontal="left" vertical="center" wrapText="1"/>
      <protection locked="0"/>
    </xf>
    <xf numFmtId="0" fontId="87" fillId="7" borderId="19" xfId="0" applyFont="1" applyFill="1" applyBorder="1" applyAlignment="1" applyProtection="1">
      <alignment horizontal="left" vertical="center" wrapText="1"/>
      <protection locked="0"/>
    </xf>
    <xf numFmtId="0" fontId="87" fillId="7" borderId="19" xfId="0" applyFont="1" applyFill="1" applyBorder="1" applyAlignment="1" applyProtection="1">
      <alignment horizontal="left" vertical="center" wrapText="1" shrinkToFit="1"/>
      <protection locked="0"/>
    </xf>
    <xf numFmtId="184" fontId="7" fillId="7" borderId="19" xfId="0" applyNumberFormat="1" applyFont="1" applyFill="1" applyBorder="1" applyAlignment="1" applyProtection="1">
      <alignment horizontal="left" vertical="center" wrapText="1"/>
      <protection locked="0"/>
    </xf>
    <xf numFmtId="184" fontId="7" fillId="7" borderId="24" xfId="0" applyNumberFormat="1" applyFont="1" applyFill="1" applyBorder="1" applyAlignment="1" applyProtection="1">
      <alignment horizontal="left" vertical="center" wrapText="1"/>
      <protection locked="0"/>
    </xf>
    <xf numFmtId="0" fontId="87" fillId="7" borderId="24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86" fillId="0" borderId="25" xfId="0" applyFont="1" applyBorder="1" applyAlignment="1" applyProtection="1">
      <alignment horizontal="center" vertical="center" wrapText="1"/>
      <protection locked="0"/>
    </xf>
    <xf numFmtId="0" fontId="88" fillId="33" borderId="14" xfId="0" applyFont="1" applyFill="1" applyBorder="1" applyAlignment="1" applyProtection="1">
      <alignment horizontal="center" vertical="center" wrapText="1"/>
      <protection locked="0"/>
    </xf>
    <xf numFmtId="0" fontId="86" fillId="0" borderId="26" xfId="0" applyFont="1" applyBorder="1" applyAlignment="1" applyProtection="1">
      <alignment horizontal="center" vertical="top" wrapText="1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 shrinkToFit="1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86" fillId="0" borderId="0" xfId="0" applyFont="1" applyAlignment="1" applyProtection="1">
      <alignment horizontal="left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14" fontId="0" fillId="0" borderId="0" xfId="0" applyNumberFormat="1" applyFont="1" applyAlignment="1" applyProtection="1">
      <alignment vertical="center"/>
      <protection locked="0"/>
    </xf>
    <xf numFmtId="0" fontId="86" fillId="0" borderId="0" xfId="0" applyFont="1" applyAlignment="1" applyProtection="1">
      <alignment horizontal="justify" vertical="center"/>
      <protection locked="0"/>
    </xf>
    <xf numFmtId="0" fontId="94" fillId="0" borderId="0" xfId="0" applyFont="1" applyBorder="1" applyAlignment="1" applyProtection="1">
      <alignment horizontal="right" vertical="center"/>
      <protection locked="0"/>
    </xf>
    <xf numFmtId="0" fontId="0" fillId="0" borderId="14" xfId="0" applyFont="1" applyBorder="1" applyAlignment="1" applyProtection="1">
      <alignment horizontal="center" vertical="top" wrapText="1"/>
      <protection locked="0"/>
    </xf>
    <xf numFmtId="0" fontId="0" fillId="0" borderId="16" xfId="0" applyFont="1" applyBorder="1" applyAlignment="1" applyProtection="1">
      <alignment horizontal="center" vertical="top" wrapText="1"/>
      <protection locked="0"/>
    </xf>
    <xf numFmtId="0" fontId="86" fillId="0" borderId="25" xfId="0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center" vertical="top" wrapText="1"/>
      <protection locked="0"/>
    </xf>
    <xf numFmtId="0" fontId="87" fillId="7" borderId="12" xfId="0" applyFont="1" applyFill="1" applyBorder="1" applyAlignment="1" applyProtection="1">
      <alignment horizontal="left" vertical="center" wrapText="1"/>
      <protection locked="0"/>
    </xf>
    <xf numFmtId="0" fontId="87" fillId="7" borderId="13" xfId="0" applyFont="1" applyFill="1" applyBorder="1" applyAlignment="1" applyProtection="1">
      <alignment horizontal="left" vertical="center" wrapText="1"/>
      <protection locked="0"/>
    </xf>
    <xf numFmtId="0" fontId="7" fillId="7" borderId="19" xfId="0" applyFont="1" applyFill="1" applyBorder="1" applyAlignment="1" applyProtection="1">
      <alignment horizontal="left" vertical="center" wrapText="1"/>
      <protection locked="0"/>
    </xf>
    <xf numFmtId="0" fontId="87" fillId="7" borderId="13" xfId="0" applyFont="1" applyFill="1" applyBorder="1" applyAlignment="1" applyProtection="1">
      <alignment horizontal="left" vertical="center" shrinkToFit="1"/>
      <protection locked="0"/>
    </xf>
    <xf numFmtId="0" fontId="87" fillId="7" borderId="15" xfId="0" applyFont="1" applyFill="1" applyBorder="1" applyAlignment="1" applyProtection="1">
      <alignment horizontal="left" vertical="center" wrapText="1"/>
      <protection locked="0"/>
    </xf>
    <xf numFmtId="38" fontId="0" fillId="0" borderId="0" xfId="50" applyFont="1" applyAlignment="1" applyProtection="1">
      <alignment vertical="center"/>
      <protection locked="0"/>
    </xf>
    <xf numFmtId="38" fontId="86" fillId="0" borderId="10" xfId="50" applyFont="1" applyBorder="1" applyAlignment="1" applyProtection="1">
      <alignment horizontal="center" vertical="top" wrapText="1"/>
      <protection locked="0"/>
    </xf>
    <xf numFmtId="38" fontId="86" fillId="0" borderId="25" xfId="50" applyFont="1" applyBorder="1" applyAlignment="1" applyProtection="1">
      <alignment horizontal="center" vertical="center" wrapText="1"/>
      <protection locked="0"/>
    </xf>
    <xf numFmtId="0" fontId="86" fillId="0" borderId="0" xfId="0" applyFont="1" applyBorder="1" applyAlignment="1" applyProtection="1">
      <alignment horizontal="center" vertical="center" wrapText="1"/>
      <protection locked="0"/>
    </xf>
    <xf numFmtId="0" fontId="87" fillId="7" borderId="19" xfId="0" applyFont="1" applyFill="1" applyBorder="1" applyAlignment="1" applyProtection="1">
      <alignment horizontal="left" vertical="center" shrinkToFit="1"/>
      <protection locked="0"/>
    </xf>
    <xf numFmtId="0" fontId="86" fillId="0" borderId="23" xfId="0" applyFont="1" applyBorder="1" applyAlignment="1" applyProtection="1">
      <alignment horizontal="center" vertical="center" wrapText="1"/>
      <protection locked="0"/>
    </xf>
    <xf numFmtId="0" fontId="0" fillId="7" borderId="27" xfId="0" applyFont="1" applyFill="1" applyBorder="1" applyAlignment="1" applyProtection="1">
      <alignment horizontal="center" vertical="center"/>
      <protection locked="0"/>
    </xf>
    <xf numFmtId="0" fontId="86" fillId="0" borderId="19" xfId="0" applyFont="1" applyBorder="1" applyAlignment="1" applyProtection="1">
      <alignment horizontal="center" vertical="center" wrapText="1"/>
      <protection locked="0"/>
    </xf>
    <xf numFmtId="0" fontId="86" fillId="0" borderId="24" xfId="0" applyFont="1" applyBorder="1" applyAlignment="1" applyProtection="1">
      <alignment horizontal="center" vertical="center" wrapText="1"/>
      <protection locked="0"/>
    </xf>
    <xf numFmtId="0" fontId="0" fillId="7" borderId="28" xfId="0" applyFont="1" applyFill="1" applyBorder="1" applyAlignment="1" applyProtection="1">
      <alignment horizontal="center" vertical="center"/>
      <protection locked="0"/>
    </xf>
    <xf numFmtId="0" fontId="86" fillId="0" borderId="0" xfId="0" applyFont="1" applyAlignment="1" applyProtection="1">
      <alignment horizontal="left" vertical="center" shrinkToFit="1"/>
      <protection locked="0"/>
    </xf>
    <xf numFmtId="0" fontId="86" fillId="0" borderId="10" xfId="0" applyFont="1" applyBorder="1" applyAlignment="1" applyProtection="1">
      <alignment horizontal="center" vertical="top" shrinkToFit="1"/>
      <protection locked="0"/>
    </xf>
    <xf numFmtId="0" fontId="86" fillId="0" borderId="25" xfId="0" applyFont="1" applyBorder="1" applyAlignment="1" applyProtection="1">
      <alignment horizontal="left" vertical="center" shrinkToFit="1"/>
      <protection locked="0"/>
    </xf>
    <xf numFmtId="0" fontId="0" fillId="7" borderId="29" xfId="0" applyFont="1" applyFill="1" applyBorder="1" applyAlignment="1" applyProtection="1">
      <alignment horizontal="center" vertical="center"/>
      <protection locked="0"/>
    </xf>
    <xf numFmtId="0" fontId="0" fillId="7" borderId="30" xfId="0" applyFont="1" applyFill="1" applyBorder="1" applyAlignment="1" applyProtection="1">
      <alignment horizontal="center" vertical="center"/>
      <protection locked="0"/>
    </xf>
    <xf numFmtId="0" fontId="86" fillId="33" borderId="19" xfId="0" applyFont="1" applyFill="1" applyBorder="1" applyAlignment="1" applyProtection="1">
      <alignment horizontal="center" vertical="center" wrapText="1"/>
      <protection locked="0"/>
    </xf>
    <xf numFmtId="0" fontId="86" fillId="33" borderId="0" xfId="0" applyFont="1" applyFill="1" applyBorder="1" applyAlignment="1" applyProtection="1">
      <alignment horizontal="center" vertical="center" wrapText="1"/>
      <protection locked="0"/>
    </xf>
    <xf numFmtId="0" fontId="86" fillId="33" borderId="23" xfId="0" applyFont="1" applyFill="1" applyBorder="1" applyAlignment="1" applyProtection="1">
      <alignment horizontal="center" vertical="center" wrapText="1"/>
      <protection locked="0"/>
    </xf>
    <xf numFmtId="0" fontId="87" fillId="7" borderId="13" xfId="0" applyFont="1" applyFill="1" applyBorder="1" applyAlignment="1" applyProtection="1">
      <alignment horizontal="left" vertical="center" wrapText="1" shrinkToFit="1"/>
      <protection locked="0"/>
    </xf>
    <xf numFmtId="0" fontId="86" fillId="0" borderId="12" xfId="0" applyFont="1" applyBorder="1" applyAlignment="1" applyProtection="1" quotePrefix="1">
      <alignment horizontal="center" vertical="center" wrapText="1"/>
      <protection locked="0"/>
    </xf>
    <xf numFmtId="0" fontId="86" fillId="33" borderId="12" xfId="0" applyFont="1" applyFill="1" applyBorder="1" applyAlignment="1" applyProtection="1" quotePrefix="1">
      <alignment horizontal="center" vertical="center" wrapText="1"/>
      <protection locked="0"/>
    </xf>
    <xf numFmtId="0" fontId="0" fillId="33" borderId="0" xfId="0" applyFont="1" applyFill="1" applyAlignment="1" applyProtection="1">
      <alignment horizontal="center" vertical="center"/>
      <protection locked="0"/>
    </xf>
    <xf numFmtId="0" fontId="0" fillId="33" borderId="0" xfId="0" applyFont="1" applyFill="1" applyBorder="1" applyAlignment="1" applyProtection="1">
      <alignment vertical="center"/>
      <protection locked="0"/>
    </xf>
    <xf numFmtId="0" fontId="86" fillId="0" borderId="16" xfId="0" applyFont="1" applyBorder="1" applyAlignment="1" applyProtection="1" quotePrefix="1">
      <alignment horizontal="center" vertical="center" wrapText="1"/>
      <protection locked="0"/>
    </xf>
    <xf numFmtId="38" fontId="10" fillId="0" borderId="18" xfId="50" applyFont="1" applyFill="1" applyBorder="1" applyAlignment="1" applyProtection="1">
      <alignment horizontal="center" vertical="center"/>
      <protection/>
    </xf>
    <xf numFmtId="184" fontId="10" fillId="0" borderId="20" xfId="0" applyNumberFormat="1" applyFont="1" applyFill="1" applyBorder="1" applyAlignment="1" applyProtection="1">
      <alignment horizontal="right" vertical="center"/>
      <protection/>
    </xf>
    <xf numFmtId="0" fontId="86" fillId="0" borderId="31" xfId="0" applyFont="1" applyBorder="1" applyAlignment="1" applyProtection="1">
      <alignment horizontal="center" vertical="top" wrapText="1"/>
      <protection locked="0"/>
    </xf>
    <xf numFmtId="0" fontId="86" fillId="0" borderId="32" xfId="0" applyFont="1" applyBorder="1" applyAlignment="1" applyProtection="1">
      <alignment horizontal="center" vertical="center" wrapText="1"/>
      <protection locked="0"/>
    </xf>
    <xf numFmtId="0" fontId="97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97" fillId="0" borderId="0" xfId="0" applyFont="1" applyFill="1" applyAlignment="1" applyProtection="1">
      <alignment vertical="center"/>
      <protection locked="0"/>
    </xf>
    <xf numFmtId="0" fontId="0" fillId="0" borderId="19" xfId="0" applyFont="1" applyBorder="1" applyAlignment="1" applyProtection="1">
      <alignment horizontal="center" vertical="center" shrinkToFit="1"/>
      <protection locked="0"/>
    </xf>
    <xf numFmtId="38" fontId="10" fillId="0" borderId="19" xfId="50" applyFont="1" applyFill="1" applyBorder="1" applyAlignment="1" applyProtection="1">
      <alignment vertical="center"/>
      <protection/>
    </xf>
    <xf numFmtId="0" fontId="0" fillId="7" borderId="33" xfId="0" applyFont="1" applyFill="1" applyBorder="1" applyAlignment="1" applyProtection="1">
      <alignment horizontal="center" vertical="center"/>
      <protection locked="0"/>
    </xf>
    <xf numFmtId="0" fontId="0" fillId="7" borderId="34" xfId="0" applyFont="1" applyFill="1" applyBorder="1" applyAlignment="1" applyProtection="1">
      <alignment horizontal="center" vertical="center"/>
      <protection locked="0"/>
    </xf>
    <xf numFmtId="0" fontId="91" fillId="0" borderId="0" xfId="0" applyFont="1" applyAlignment="1" applyProtection="1">
      <alignment vertical="center"/>
      <protection locked="0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72" fillId="0" borderId="19" xfId="44" applyBorder="1" applyAlignment="1" applyProtection="1">
      <alignment vertical="center"/>
      <protection/>
    </xf>
    <xf numFmtId="184" fontId="87" fillId="0" borderId="25" xfId="0" applyNumberFormat="1" applyFont="1" applyBorder="1" applyAlignment="1" applyProtection="1">
      <alignment vertical="center" shrinkToFit="1"/>
      <protection/>
    </xf>
    <xf numFmtId="186" fontId="87" fillId="33" borderId="30" xfId="0" applyNumberFormat="1" applyFont="1" applyFill="1" applyBorder="1" applyAlignment="1" applyProtection="1">
      <alignment vertical="center" shrinkToFit="1"/>
      <protection/>
    </xf>
    <xf numFmtId="184" fontId="87" fillId="7" borderId="22" xfId="0" applyNumberFormat="1" applyFont="1" applyFill="1" applyBorder="1" applyAlignment="1" applyProtection="1">
      <alignment vertical="center" shrinkToFit="1"/>
      <protection locked="0"/>
    </xf>
    <xf numFmtId="186" fontId="87" fillId="33" borderId="25" xfId="0" applyNumberFormat="1" applyFont="1" applyFill="1" applyBorder="1" applyAlignment="1" applyProtection="1">
      <alignment vertical="center" shrinkToFit="1"/>
      <protection/>
    </xf>
    <xf numFmtId="184" fontId="7" fillId="0" borderId="23" xfId="0" applyNumberFormat="1" applyFont="1" applyBorder="1" applyAlignment="1" applyProtection="1">
      <alignment vertical="center" shrinkToFit="1"/>
      <protection/>
    </xf>
    <xf numFmtId="184" fontId="7" fillId="0" borderId="19" xfId="0" applyNumberFormat="1" applyFont="1" applyBorder="1" applyAlignment="1" applyProtection="1">
      <alignment vertical="center" shrinkToFit="1"/>
      <protection/>
    </xf>
    <xf numFmtId="184" fontId="7" fillId="7" borderId="23" xfId="0" applyNumberFormat="1" applyFont="1" applyFill="1" applyBorder="1" applyAlignment="1" applyProtection="1">
      <alignment vertical="center" shrinkToFit="1"/>
      <protection locked="0"/>
    </xf>
    <xf numFmtId="184" fontId="7" fillId="0" borderId="25" xfId="0" applyNumberFormat="1" applyFont="1" applyBorder="1" applyAlignment="1" applyProtection="1">
      <alignment vertical="center" shrinkToFit="1"/>
      <protection/>
    </xf>
    <xf numFmtId="184" fontId="7" fillId="7" borderId="25" xfId="0" applyNumberFormat="1" applyFont="1" applyFill="1" applyBorder="1" applyAlignment="1" applyProtection="1">
      <alignment vertical="center" shrinkToFit="1"/>
      <protection locked="0"/>
    </xf>
    <xf numFmtId="184" fontId="7" fillId="0" borderId="24" xfId="0" applyNumberFormat="1" applyFont="1" applyBorder="1" applyAlignment="1" applyProtection="1">
      <alignment vertical="center" shrinkToFit="1"/>
      <protection/>
    </xf>
    <xf numFmtId="184" fontId="87" fillId="0" borderId="37" xfId="0" applyNumberFormat="1" applyFont="1" applyBorder="1" applyAlignment="1" applyProtection="1">
      <alignment vertical="center" shrinkToFit="1"/>
      <protection/>
    </xf>
    <xf numFmtId="184" fontId="87" fillId="0" borderId="30" xfId="0" applyNumberFormat="1" applyFont="1" applyBorder="1" applyAlignment="1" applyProtection="1">
      <alignment vertical="center" shrinkToFit="1"/>
      <protection/>
    </xf>
    <xf numFmtId="184" fontId="7" fillId="0" borderId="22" xfId="0" applyNumberFormat="1" applyFont="1" applyBorder="1" applyAlignment="1" applyProtection="1">
      <alignment vertical="center" shrinkToFit="1"/>
      <protection/>
    </xf>
    <xf numFmtId="184" fontId="7" fillId="7" borderId="22" xfId="0" applyNumberFormat="1" applyFont="1" applyFill="1" applyBorder="1" applyAlignment="1" applyProtection="1">
      <alignment vertical="center" shrinkToFit="1"/>
      <protection locked="0"/>
    </xf>
    <xf numFmtId="184" fontId="7" fillId="0" borderId="21" xfId="0" applyNumberFormat="1" applyFont="1" applyBorder="1" applyAlignment="1" applyProtection="1">
      <alignment vertical="center" shrinkToFit="1"/>
      <protection/>
    </xf>
    <xf numFmtId="184" fontId="7" fillId="0" borderId="38" xfId="0" applyNumberFormat="1" applyFont="1" applyBorder="1" applyAlignment="1" applyProtection="1">
      <alignment vertical="center" shrinkToFit="1"/>
      <protection/>
    </xf>
    <xf numFmtId="186" fontId="87" fillId="33" borderId="37" xfId="0" applyNumberFormat="1" applyFont="1" applyFill="1" applyBorder="1" applyAlignment="1" applyProtection="1">
      <alignment vertical="center" shrinkToFit="1"/>
      <protection/>
    </xf>
    <xf numFmtId="186" fontId="87" fillId="33" borderId="28" xfId="0" applyNumberFormat="1" applyFont="1" applyFill="1" applyBorder="1" applyAlignment="1" applyProtection="1">
      <alignment vertical="center" shrinkToFit="1"/>
      <protection/>
    </xf>
    <xf numFmtId="186" fontId="87" fillId="33" borderId="14" xfId="0" applyNumberFormat="1" applyFont="1" applyFill="1" applyBorder="1" applyAlignment="1" applyProtection="1">
      <alignment vertical="center" shrinkToFit="1"/>
      <protection/>
    </xf>
    <xf numFmtId="186" fontId="87" fillId="33" borderId="39" xfId="0" applyNumberFormat="1" applyFont="1" applyFill="1" applyBorder="1" applyAlignment="1" applyProtection="1">
      <alignment vertical="center" shrinkToFit="1"/>
      <protection/>
    </xf>
    <xf numFmtId="184" fontId="7" fillId="7" borderId="19" xfId="0" applyNumberFormat="1" applyFont="1" applyFill="1" applyBorder="1" applyAlignment="1" applyProtection="1">
      <alignment vertical="center" shrinkToFit="1"/>
      <protection locked="0"/>
    </xf>
    <xf numFmtId="184" fontId="7" fillId="7" borderId="24" xfId="0" applyNumberFormat="1" applyFont="1" applyFill="1" applyBorder="1" applyAlignment="1" applyProtection="1">
      <alignment vertical="center" shrinkToFit="1"/>
      <protection locked="0"/>
    </xf>
    <xf numFmtId="185" fontId="7" fillId="7" borderId="23" xfId="0" applyNumberFormat="1" applyFont="1" applyFill="1" applyBorder="1" applyAlignment="1" applyProtection="1">
      <alignment horizontal="center" vertical="center" shrinkToFit="1"/>
      <protection locked="0"/>
    </xf>
    <xf numFmtId="185" fontId="7" fillId="7" borderId="24" xfId="0" applyNumberFormat="1" applyFont="1" applyFill="1" applyBorder="1" applyAlignment="1" applyProtection="1">
      <alignment horizontal="center" vertical="center" shrinkToFit="1"/>
      <protection locked="0"/>
    </xf>
    <xf numFmtId="185" fontId="7" fillId="7" borderId="25" xfId="0" applyNumberFormat="1" applyFont="1" applyFill="1" applyBorder="1" applyAlignment="1" applyProtection="1">
      <alignment horizontal="center" vertical="center" shrinkToFit="1"/>
      <protection locked="0"/>
    </xf>
    <xf numFmtId="185" fontId="7" fillId="7" borderId="22" xfId="0" applyNumberFormat="1" applyFont="1" applyFill="1" applyBorder="1" applyAlignment="1" applyProtection="1">
      <alignment horizontal="center" vertical="center" shrinkToFit="1"/>
      <protection locked="0"/>
    </xf>
    <xf numFmtId="185" fontId="7" fillId="7" borderId="19" xfId="0" applyNumberFormat="1" applyFont="1" applyFill="1" applyBorder="1" applyAlignment="1" applyProtection="1">
      <alignment horizontal="center" vertical="center" shrinkToFit="1"/>
      <protection locked="0"/>
    </xf>
    <xf numFmtId="184" fontId="7" fillId="7" borderId="19" xfId="0" applyNumberFormat="1" applyFont="1" applyFill="1" applyBorder="1" applyAlignment="1" applyProtection="1">
      <alignment horizontal="center" vertical="center" shrinkToFit="1"/>
      <protection locked="0"/>
    </xf>
    <xf numFmtId="184" fontId="7" fillId="7" borderId="24" xfId="0" applyNumberFormat="1" applyFont="1" applyFill="1" applyBorder="1" applyAlignment="1" applyProtection="1">
      <alignment horizontal="center" vertical="center" shrinkToFit="1"/>
      <protection locked="0"/>
    </xf>
    <xf numFmtId="188" fontId="7" fillId="7" borderId="23" xfId="0" applyNumberFormat="1" applyFont="1" applyFill="1" applyBorder="1" applyAlignment="1" applyProtection="1">
      <alignment vertical="center" shrinkToFit="1"/>
      <protection locked="0"/>
    </xf>
    <xf numFmtId="188" fontId="7" fillId="7" borderId="19" xfId="0" applyNumberFormat="1" applyFont="1" applyFill="1" applyBorder="1" applyAlignment="1" applyProtection="1">
      <alignment vertical="center" shrinkToFit="1"/>
      <protection locked="0"/>
    </xf>
    <xf numFmtId="188" fontId="7" fillId="7" borderId="24" xfId="0" applyNumberFormat="1" applyFont="1" applyFill="1" applyBorder="1" applyAlignment="1" applyProtection="1">
      <alignment vertical="center" shrinkToFit="1"/>
      <protection locked="0"/>
    </xf>
    <xf numFmtId="188" fontId="7" fillId="7" borderId="25" xfId="0" applyNumberFormat="1" applyFont="1" applyFill="1" applyBorder="1" applyAlignment="1" applyProtection="1">
      <alignment vertical="center" shrinkToFit="1"/>
      <protection locked="0"/>
    </xf>
    <xf numFmtId="188" fontId="7" fillId="7" borderId="22" xfId="0" applyNumberFormat="1" applyFont="1" applyFill="1" applyBorder="1" applyAlignment="1" applyProtection="1">
      <alignment vertical="center" shrinkToFit="1"/>
      <protection locked="0"/>
    </xf>
    <xf numFmtId="187" fontId="7" fillId="7" borderId="19" xfId="0" applyNumberFormat="1" applyFont="1" applyFill="1" applyBorder="1" applyAlignment="1" applyProtection="1">
      <alignment vertical="center" shrinkToFit="1"/>
      <protection locked="0"/>
    </xf>
    <xf numFmtId="187" fontId="7" fillId="7" borderId="24" xfId="0" applyNumberFormat="1" applyFont="1" applyFill="1" applyBorder="1" applyAlignment="1" applyProtection="1">
      <alignment vertical="center" shrinkToFit="1"/>
      <protection locked="0"/>
    </xf>
    <xf numFmtId="14" fontId="90" fillId="0" borderId="0" xfId="0" applyNumberFormat="1" applyFont="1" applyFill="1" applyAlignment="1" applyProtection="1">
      <alignment vertical="center"/>
      <protection locked="0"/>
    </xf>
    <xf numFmtId="186" fontId="87" fillId="34" borderId="32" xfId="0" applyNumberFormat="1" applyFont="1" applyFill="1" applyBorder="1" applyAlignment="1" applyProtection="1">
      <alignment horizontal="right" vertical="center" wrapText="1"/>
      <protection/>
    </xf>
    <xf numFmtId="184" fontId="10" fillId="34" borderId="18" xfId="0" applyNumberFormat="1" applyFont="1" applyFill="1" applyBorder="1" applyAlignment="1" applyProtection="1">
      <alignment horizontal="right" vertical="center" wrapText="1"/>
      <protection/>
    </xf>
    <xf numFmtId="38" fontId="98" fillId="0" borderId="40" xfId="50" applyFont="1" applyFill="1" applyBorder="1" applyAlignment="1">
      <alignment vertical="center"/>
    </xf>
    <xf numFmtId="38" fontId="98" fillId="0" borderId="40" xfId="50" applyFont="1" applyFill="1" applyBorder="1" applyAlignment="1" applyProtection="1">
      <alignment vertical="center"/>
      <protection locked="0"/>
    </xf>
    <xf numFmtId="0" fontId="86" fillId="7" borderId="41" xfId="0" applyFont="1" applyFill="1" applyBorder="1" applyAlignment="1" applyProtection="1">
      <alignment horizontal="center" vertical="center" wrapText="1"/>
      <protection locked="0"/>
    </xf>
    <xf numFmtId="0" fontId="86" fillId="7" borderId="42" xfId="0" applyFont="1" applyFill="1" applyBorder="1" applyAlignment="1" applyProtection="1">
      <alignment horizontal="center" vertical="center" wrapText="1"/>
      <protection locked="0"/>
    </xf>
    <xf numFmtId="0" fontId="86" fillId="7" borderId="43" xfId="0" applyFont="1" applyFill="1" applyBorder="1" applyAlignment="1" applyProtection="1">
      <alignment horizontal="center" vertical="center" wrapText="1"/>
      <protection locked="0"/>
    </xf>
    <xf numFmtId="0" fontId="86" fillId="7" borderId="44" xfId="0" applyFont="1" applyFill="1" applyBorder="1" applyAlignment="1" applyProtection="1">
      <alignment horizontal="center" vertical="center" wrapText="1"/>
      <protection locked="0"/>
    </xf>
    <xf numFmtId="184" fontId="7" fillId="0" borderId="45" xfId="0" applyNumberFormat="1" applyFont="1" applyBorder="1" applyAlignment="1" applyProtection="1">
      <alignment horizontal="right" vertical="center" wrapText="1"/>
      <protection/>
    </xf>
    <xf numFmtId="0" fontId="99" fillId="0" borderId="0" xfId="0" applyFont="1" applyAlignment="1" applyProtection="1">
      <alignment vertical="center"/>
      <protection locked="0"/>
    </xf>
    <xf numFmtId="0" fontId="99" fillId="0" borderId="0" xfId="0" applyFont="1" applyAlignment="1">
      <alignment vertical="center"/>
    </xf>
    <xf numFmtId="0" fontId="100" fillId="0" borderId="0" xfId="0" applyFont="1" applyAlignment="1">
      <alignment vertical="center"/>
    </xf>
    <xf numFmtId="3" fontId="0" fillId="0" borderId="19" xfId="0" applyNumberFormat="1" applyBorder="1" applyAlignment="1">
      <alignment horizontal="center" vertical="center"/>
    </xf>
    <xf numFmtId="0" fontId="0" fillId="0" borderId="19" xfId="0" applyBorder="1" applyAlignment="1">
      <alignment vertical="center"/>
    </xf>
    <xf numFmtId="3" fontId="0" fillId="0" borderId="19" xfId="0" applyNumberForma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99" fillId="7" borderId="46" xfId="0" applyFont="1" applyFill="1" applyBorder="1" applyAlignment="1" applyProtection="1">
      <alignment vertical="center"/>
      <protection locked="0"/>
    </xf>
    <xf numFmtId="0" fontId="90" fillId="7" borderId="46" xfId="0" applyFont="1" applyFill="1" applyBorder="1" applyAlignment="1" applyProtection="1">
      <alignment vertical="center"/>
      <protection locked="0"/>
    </xf>
    <xf numFmtId="0" fontId="90" fillId="7" borderId="47" xfId="0" applyFont="1" applyFill="1" applyBorder="1" applyAlignment="1" applyProtection="1">
      <alignment vertical="center"/>
      <protection locked="0"/>
    </xf>
    <xf numFmtId="0" fontId="100" fillId="7" borderId="48" xfId="0" applyFont="1" applyFill="1" applyBorder="1" applyAlignment="1" applyProtection="1">
      <alignment vertical="center"/>
      <protection locked="0"/>
    </xf>
    <xf numFmtId="0" fontId="99" fillId="7" borderId="0" xfId="0" applyFont="1" applyFill="1" applyBorder="1" applyAlignment="1" applyProtection="1">
      <alignment vertical="center"/>
      <protection locked="0"/>
    </xf>
    <xf numFmtId="0" fontId="90" fillId="7" borderId="0" xfId="0" applyFont="1" applyFill="1" applyBorder="1" applyAlignment="1" applyProtection="1">
      <alignment vertical="center"/>
      <protection locked="0"/>
    </xf>
    <xf numFmtId="0" fontId="90" fillId="7" borderId="49" xfId="0" applyFont="1" applyFill="1" applyBorder="1" applyAlignment="1" applyProtection="1">
      <alignment vertical="center"/>
      <protection locked="0"/>
    </xf>
    <xf numFmtId="0" fontId="90" fillId="7" borderId="50" xfId="0" applyFont="1" applyFill="1" applyBorder="1" applyAlignment="1" applyProtection="1">
      <alignment vertical="center"/>
      <protection locked="0"/>
    </xf>
    <xf numFmtId="0" fontId="90" fillId="7" borderId="51" xfId="0" applyFont="1" applyFill="1" applyBorder="1" applyAlignment="1" applyProtection="1">
      <alignment vertical="center"/>
      <protection locked="0"/>
    </xf>
    <xf numFmtId="0" fontId="90" fillId="7" borderId="12" xfId="0" applyFont="1" applyFill="1" applyBorder="1" applyAlignment="1" applyProtection="1">
      <alignment vertical="center"/>
      <protection locked="0"/>
    </xf>
    <xf numFmtId="0" fontId="90" fillId="0" borderId="0" xfId="0" applyFont="1" applyFill="1" applyBorder="1" applyAlignment="1" applyProtection="1">
      <alignment vertical="center"/>
      <protection locked="0"/>
    </xf>
    <xf numFmtId="0" fontId="90" fillId="0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9" xfId="0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vertical="center"/>
    </xf>
    <xf numFmtId="0" fontId="100" fillId="7" borderId="52" xfId="0" applyFont="1" applyFill="1" applyBorder="1" applyAlignment="1" applyProtection="1">
      <alignment horizontal="left" vertical="center"/>
      <protection locked="0"/>
    </xf>
    <xf numFmtId="184" fontId="10" fillId="34" borderId="17" xfId="0" applyNumberFormat="1" applyFont="1" applyFill="1" applyBorder="1" applyAlignment="1" applyProtection="1">
      <alignment horizontal="right" vertical="center" wrapText="1"/>
      <protection/>
    </xf>
    <xf numFmtId="38" fontId="10" fillId="0" borderId="17" xfId="50" applyFont="1" applyFill="1" applyBorder="1" applyAlignment="1" applyProtection="1">
      <alignment horizontal="center" vertical="center"/>
      <protection/>
    </xf>
    <xf numFmtId="38" fontId="10" fillId="0" borderId="20" xfId="50" applyFont="1" applyFill="1" applyBorder="1" applyAlignment="1" applyProtection="1">
      <alignment horizontal="center" vertical="center"/>
      <protection/>
    </xf>
    <xf numFmtId="0" fontId="24" fillId="33" borderId="50" xfId="0" applyFont="1" applyFill="1" applyBorder="1" applyAlignment="1" applyProtection="1">
      <alignment horizontal="center" vertical="center"/>
      <protection/>
    </xf>
    <xf numFmtId="190" fontId="24" fillId="33" borderId="23" xfId="0" applyNumberFormat="1" applyFont="1" applyFill="1" applyBorder="1" applyAlignment="1" applyProtection="1">
      <alignment horizontal="center" vertical="center"/>
      <protection/>
    </xf>
    <xf numFmtId="190" fontId="24" fillId="33" borderId="50" xfId="0" applyNumberFormat="1" applyFont="1" applyFill="1" applyBorder="1" applyAlignment="1" applyProtection="1">
      <alignment horizontal="center" vertical="center"/>
      <protection/>
    </xf>
    <xf numFmtId="190" fontId="16" fillId="0" borderId="0" xfId="50" applyNumberFormat="1" applyFont="1" applyFill="1" applyBorder="1" applyAlignment="1" applyProtection="1">
      <alignment vertical="center" wrapText="1"/>
      <protection/>
    </xf>
    <xf numFmtId="190" fontId="20" fillId="0" borderId="36" xfId="50" applyNumberFormat="1" applyFont="1" applyFill="1" applyBorder="1" applyAlignment="1" applyProtection="1">
      <alignment vertical="center" wrapText="1"/>
      <protection/>
    </xf>
    <xf numFmtId="0" fontId="19" fillId="0" borderId="17" xfId="0" applyFont="1" applyBorder="1" applyAlignment="1" applyProtection="1">
      <alignment horizontal="center" vertical="center"/>
      <protection/>
    </xf>
    <xf numFmtId="190" fontId="20" fillId="0" borderId="19" xfId="50" applyNumberFormat="1" applyFont="1" applyFill="1" applyBorder="1" applyAlignment="1" applyProtection="1">
      <alignment vertical="center" wrapText="1"/>
      <protection/>
    </xf>
    <xf numFmtId="0" fontId="19" fillId="0" borderId="18" xfId="0" applyFont="1" applyBorder="1" applyAlignment="1" applyProtection="1">
      <alignment horizontal="center" vertical="center"/>
      <protection/>
    </xf>
    <xf numFmtId="0" fontId="19" fillId="0" borderId="20" xfId="0" applyFont="1" applyBorder="1" applyAlignment="1" applyProtection="1">
      <alignment horizontal="center" vertical="center"/>
      <protection/>
    </xf>
    <xf numFmtId="0" fontId="101" fillId="0" borderId="46" xfId="0" applyFont="1" applyFill="1" applyBorder="1" applyAlignment="1" applyProtection="1">
      <alignment horizontal="center" vertical="center" wrapText="1" shrinkToFit="1"/>
      <protection/>
    </xf>
    <xf numFmtId="0" fontId="101" fillId="0" borderId="0" xfId="0" applyFont="1" applyFill="1" applyBorder="1" applyAlignment="1" applyProtection="1">
      <alignment horizontal="center" vertical="center" wrapText="1" shrinkToFit="1"/>
      <protection/>
    </xf>
    <xf numFmtId="0" fontId="101" fillId="0" borderId="0" xfId="0" applyFont="1" applyFill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horizontal="center" vertical="center"/>
      <protection/>
    </xf>
    <xf numFmtId="184" fontId="11" fillId="0" borderId="0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190" fontId="20" fillId="0" borderId="0" xfId="50" applyNumberFormat="1" applyFont="1" applyFill="1" applyBorder="1" applyAlignment="1" applyProtection="1">
      <alignment vertical="center" wrapText="1"/>
      <protection/>
    </xf>
    <xf numFmtId="0" fontId="20" fillId="0" borderId="0" xfId="0" applyFont="1" applyFill="1" applyBorder="1" applyAlignment="1" applyProtection="1">
      <alignment horizontal="center" vertical="center" wrapText="1"/>
      <protection/>
    </xf>
    <xf numFmtId="190" fontId="23" fillId="0" borderId="0" xfId="50" applyNumberFormat="1" applyFont="1" applyFill="1" applyBorder="1" applyAlignment="1" applyProtection="1">
      <alignment horizontal="right" vertical="center"/>
      <protection/>
    </xf>
    <xf numFmtId="0" fontId="11" fillId="33" borderId="53" xfId="0" applyFont="1" applyFill="1" applyBorder="1" applyAlignment="1" applyProtection="1">
      <alignment vertical="center"/>
      <protection/>
    </xf>
    <xf numFmtId="0" fontId="11" fillId="33" borderId="54" xfId="0" applyFont="1" applyFill="1" applyBorder="1" applyAlignment="1" applyProtection="1">
      <alignment vertical="center"/>
      <protection/>
    </xf>
    <xf numFmtId="0" fontId="11" fillId="0" borderId="54" xfId="0" applyFont="1" applyFill="1" applyBorder="1" applyAlignment="1" applyProtection="1">
      <alignment horizontal="left" vertical="center"/>
      <protection/>
    </xf>
    <xf numFmtId="0" fontId="11" fillId="0" borderId="55" xfId="0" applyFont="1" applyFill="1" applyBorder="1" applyAlignment="1" applyProtection="1">
      <alignment horizontal="left" vertical="center"/>
      <protection/>
    </xf>
    <xf numFmtId="0" fontId="86" fillId="0" borderId="0" xfId="0" applyFont="1" applyFill="1" applyAlignment="1" applyProtection="1">
      <alignment vertical="center"/>
      <protection locked="0"/>
    </xf>
    <xf numFmtId="0" fontId="86" fillId="0" borderId="0" xfId="0" applyFont="1" applyFill="1" applyAlignment="1" applyProtection="1">
      <alignment horizontal="left" vertical="center"/>
      <protection locked="0"/>
    </xf>
    <xf numFmtId="0" fontId="86" fillId="0" borderId="0" xfId="0" applyFont="1" applyFill="1" applyAlignment="1" applyProtection="1">
      <alignment horizontal="center" vertical="center"/>
      <protection locked="0"/>
    </xf>
    <xf numFmtId="0" fontId="86" fillId="0" borderId="0" xfId="0" applyFont="1" applyFill="1" applyAlignment="1" applyProtection="1">
      <alignment horizontal="left" vertical="center" shrinkToFit="1"/>
      <protection locked="0"/>
    </xf>
    <xf numFmtId="190" fontId="16" fillId="0" borderId="12" xfId="50" applyNumberFormat="1" applyFont="1" applyFill="1" applyBorder="1" applyAlignment="1" applyProtection="1">
      <alignment horizontal="right" vertical="center" wrapText="1"/>
      <protection/>
    </xf>
    <xf numFmtId="190" fontId="19" fillId="0" borderId="56" xfId="0" applyNumberFormat="1" applyFont="1" applyBorder="1" applyAlignment="1" applyProtection="1">
      <alignment horizontal="center" vertical="center"/>
      <protection/>
    </xf>
    <xf numFmtId="190" fontId="19" fillId="0" borderId="57" xfId="0" applyNumberFormat="1" applyFont="1" applyBorder="1" applyAlignment="1" applyProtection="1">
      <alignment horizontal="center" vertical="center"/>
      <protection/>
    </xf>
    <xf numFmtId="190" fontId="19" fillId="0" borderId="58" xfId="0" applyNumberFormat="1" applyFont="1" applyBorder="1" applyAlignment="1" applyProtection="1">
      <alignment horizontal="center" vertical="center"/>
      <protection/>
    </xf>
    <xf numFmtId="0" fontId="72" fillId="0" borderId="0" xfId="44" applyAlignment="1" applyProtection="1">
      <alignment vertical="center"/>
      <protection/>
    </xf>
    <xf numFmtId="0" fontId="102" fillId="0" borderId="0" xfId="0" applyFont="1" applyBorder="1" applyAlignment="1" applyProtection="1">
      <alignment vertical="center"/>
      <protection/>
    </xf>
    <xf numFmtId="0" fontId="19" fillId="0" borderId="18" xfId="0" applyFont="1" applyFill="1" applyBorder="1" applyAlignment="1" applyProtection="1">
      <alignment horizontal="center" vertical="center"/>
      <protection/>
    </xf>
    <xf numFmtId="190" fontId="19" fillId="0" borderId="18" xfId="0" applyNumberFormat="1" applyFont="1" applyFill="1" applyBorder="1" applyAlignment="1" applyProtection="1">
      <alignment horizontal="center" vertical="center"/>
      <protection/>
    </xf>
    <xf numFmtId="0" fontId="103" fillId="0" borderId="0" xfId="0" applyFont="1" applyAlignment="1" applyProtection="1">
      <alignment horizontal="center" vertical="center"/>
      <protection/>
    </xf>
    <xf numFmtId="0" fontId="103" fillId="0" borderId="0" xfId="0" applyFont="1" applyAlignment="1" applyProtection="1">
      <alignment vertical="center"/>
      <protection/>
    </xf>
    <xf numFmtId="0" fontId="103" fillId="0" borderId="0" xfId="0" applyFont="1" applyAlignment="1" applyProtection="1">
      <alignment horizontal="left" vertical="center" shrinkToFit="1"/>
      <protection/>
    </xf>
    <xf numFmtId="0" fontId="103" fillId="0" borderId="0" xfId="0" applyFont="1" applyBorder="1" applyAlignment="1" applyProtection="1">
      <alignment vertical="center"/>
      <protection/>
    </xf>
    <xf numFmtId="0" fontId="25" fillId="0" borderId="0" xfId="0" applyFont="1" applyBorder="1" applyAlignment="1" applyProtection="1">
      <alignment horizontal="center" vertical="center"/>
      <protection/>
    </xf>
    <xf numFmtId="0" fontId="20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20" fillId="0" borderId="0" xfId="0" applyNumberFormat="1" applyFont="1" applyAlignment="1" applyProtection="1">
      <alignment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14" fillId="0" borderId="0" xfId="0" applyFont="1" applyAlignment="1" applyProtection="1">
      <alignment vertical="center"/>
      <protection/>
    </xf>
    <xf numFmtId="0" fontId="21" fillId="0" borderId="0" xfId="0" applyFont="1" applyBorder="1" applyAlignment="1" applyProtection="1">
      <alignment vertical="center"/>
      <protection/>
    </xf>
    <xf numFmtId="0" fontId="21" fillId="35" borderId="0" xfId="0" applyFont="1" applyFill="1" applyBorder="1" applyAlignment="1" applyProtection="1">
      <alignment vertical="center"/>
      <protection/>
    </xf>
    <xf numFmtId="0" fontId="20" fillId="35" borderId="0" xfId="0" applyFont="1" applyFill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22" fillId="0" borderId="0" xfId="0" applyFont="1" applyBorder="1" applyAlignment="1" applyProtection="1">
      <alignment horizontal="right" vertical="center"/>
      <protection/>
    </xf>
    <xf numFmtId="0" fontId="19" fillId="0" borderId="52" xfId="0" applyFont="1" applyBorder="1" applyAlignment="1" applyProtection="1">
      <alignment vertical="center"/>
      <protection/>
    </xf>
    <xf numFmtId="0" fontId="19" fillId="0" borderId="46" xfId="0" applyFont="1" applyBorder="1" applyAlignment="1" applyProtection="1">
      <alignment horizontal="right"/>
      <protection/>
    </xf>
    <xf numFmtId="0" fontId="22" fillId="0" borderId="47" xfId="0" applyFont="1" applyBorder="1" applyAlignment="1" applyProtection="1">
      <alignment horizontal="center" vertical="center"/>
      <protection/>
    </xf>
    <xf numFmtId="0" fontId="24" fillId="33" borderId="52" xfId="0" applyFont="1" applyFill="1" applyBorder="1" applyAlignment="1" applyProtection="1">
      <alignment horizontal="center" vertical="center"/>
      <protection/>
    </xf>
    <xf numFmtId="0" fontId="22" fillId="0" borderId="46" xfId="0" applyFont="1" applyBorder="1" applyAlignment="1" applyProtection="1">
      <alignment vertical="center"/>
      <protection/>
    </xf>
    <xf numFmtId="190" fontId="16" fillId="0" borderId="47" xfId="50" applyNumberFormat="1" applyFont="1" applyFill="1" applyBorder="1" applyAlignment="1" applyProtection="1">
      <alignment horizontal="right" vertical="center" wrapText="1"/>
      <protection/>
    </xf>
    <xf numFmtId="0" fontId="24" fillId="33" borderId="59" xfId="0" applyFont="1" applyFill="1" applyBorder="1" applyAlignment="1" applyProtection="1">
      <alignment horizontal="center" vertical="center"/>
      <protection/>
    </xf>
    <xf numFmtId="0" fontId="11" fillId="0" borderId="56" xfId="0" applyFont="1" applyFill="1" applyBorder="1" applyAlignment="1" applyProtection="1">
      <alignment vertical="center" wrapText="1"/>
      <protection/>
    </xf>
    <xf numFmtId="38" fontId="10" fillId="0" borderId="60" xfId="50" applyFont="1" applyFill="1" applyBorder="1" applyAlignment="1" applyProtection="1">
      <alignment horizontal="right" vertical="center"/>
      <protection/>
    </xf>
    <xf numFmtId="184" fontId="10" fillId="0" borderId="60" xfId="0" applyNumberFormat="1" applyFont="1" applyFill="1" applyBorder="1" applyAlignment="1" applyProtection="1">
      <alignment horizontal="right" vertical="center" wrapText="1"/>
      <protection/>
    </xf>
    <xf numFmtId="0" fontId="19" fillId="0" borderId="50" xfId="0" applyFont="1" applyBorder="1" applyAlignment="1" applyProtection="1">
      <alignment vertical="center"/>
      <protection/>
    </xf>
    <xf numFmtId="0" fontId="22" fillId="0" borderId="51" xfId="0" applyFont="1" applyBorder="1" applyAlignment="1" applyProtection="1">
      <alignment vertical="center"/>
      <protection/>
    </xf>
    <xf numFmtId="0" fontId="11" fillId="0" borderId="57" xfId="0" applyFont="1" applyFill="1" applyBorder="1" applyAlignment="1" applyProtection="1">
      <alignment vertical="center" wrapText="1"/>
      <protection/>
    </xf>
    <xf numFmtId="38" fontId="10" fillId="0" borderId="61" xfId="50" applyFont="1" applyFill="1" applyBorder="1" applyAlignment="1" applyProtection="1">
      <alignment horizontal="right" vertical="center"/>
      <protection/>
    </xf>
    <xf numFmtId="184" fontId="10" fillId="0" borderId="61" xfId="0" applyNumberFormat="1" applyFont="1" applyFill="1" applyBorder="1" applyAlignment="1" applyProtection="1">
      <alignment horizontal="right" vertical="center" wrapText="1"/>
      <protection/>
    </xf>
    <xf numFmtId="0" fontId="104" fillId="0" borderId="49" xfId="0" applyFont="1" applyBorder="1" applyAlignment="1" applyProtection="1">
      <alignment vertical="center"/>
      <protection/>
    </xf>
    <xf numFmtId="0" fontId="24" fillId="33" borderId="62" xfId="0" applyFont="1" applyFill="1" applyBorder="1" applyAlignment="1" applyProtection="1">
      <alignment horizontal="center" vertical="center"/>
      <protection/>
    </xf>
    <xf numFmtId="0" fontId="19" fillId="0" borderId="0" xfId="0" applyNumberFormat="1" applyFont="1" applyBorder="1" applyAlignment="1" applyProtection="1">
      <alignment vertical="center" shrinkToFit="1"/>
      <protection/>
    </xf>
    <xf numFmtId="0" fontId="24" fillId="33" borderId="48" xfId="0" applyFont="1" applyFill="1" applyBorder="1" applyAlignment="1" applyProtection="1">
      <alignment horizontal="center" vertical="center"/>
      <protection/>
    </xf>
    <xf numFmtId="190" fontId="16" fillId="33" borderId="47" xfId="50" applyNumberFormat="1" applyFont="1" applyFill="1" applyBorder="1" applyAlignment="1" applyProtection="1">
      <alignment horizontal="right" vertical="center"/>
      <protection/>
    </xf>
    <xf numFmtId="0" fontId="104" fillId="0" borderId="49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22" fillId="0" borderId="49" xfId="0" applyFont="1" applyBorder="1" applyAlignment="1" applyProtection="1">
      <alignment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11" fillId="0" borderId="58" xfId="0" applyFont="1" applyFill="1" applyBorder="1" applyAlignment="1" applyProtection="1">
      <alignment vertical="center" wrapText="1"/>
      <protection/>
    </xf>
    <xf numFmtId="38" fontId="10" fillId="0" borderId="63" xfId="50" applyFont="1" applyFill="1" applyBorder="1" applyAlignment="1" applyProtection="1">
      <alignment horizontal="right" vertical="center"/>
      <protection/>
    </xf>
    <xf numFmtId="184" fontId="10" fillId="0" borderId="63" xfId="0" applyNumberFormat="1" applyFont="1" applyFill="1" applyBorder="1" applyAlignment="1" applyProtection="1">
      <alignment horizontal="right" vertical="center" wrapText="1"/>
      <protection/>
    </xf>
    <xf numFmtId="0" fontId="20" fillId="0" borderId="12" xfId="0" applyFont="1" applyBorder="1" applyAlignment="1" applyProtection="1">
      <alignment vertical="center"/>
      <protection/>
    </xf>
    <xf numFmtId="184" fontId="10" fillId="0" borderId="12" xfId="0" applyNumberFormat="1" applyFont="1" applyFill="1" applyBorder="1" applyAlignment="1" applyProtection="1">
      <alignment horizontal="right" vertical="center" wrapText="1"/>
      <protection/>
    </xf>
    <xf numFmtId="184" fontId="10" fillId="0" borderId="50" xfId="0" applyNumberFormat="1" applyFont="1" applyFill="1" applyBorder="1" applyAlignment="1" applyProtection="1">
      <alignment horizontal="right" vertical="center" wrapText="1"/>
      <protection/>
    </xf>
    <xf numFmtId="0" fontId="22" fillId="0" borderId="13" xfId="0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vertical="center"/>
      <protection/>
    </xf>
    <xf numFmtId="0" fontId="105" fillId="0" borderId="0" xfId="0" applyFont="1" applyAlignment="1" applyProtection="1">
      <alignment vertical="center"/>
      <protection/>
    </xf>
    <xf numFmtId="0" fontId="19" fillId="0" borderId="0" xfId="0" applyFont="1" applyFill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0" fontId="106" fillId="0" borderId="0" xfId="0" applyFont="1" applyFill="1" applyAlignment="1" applyProtection="1">
      <alignment vertical="center"/>
      <protection/>
    </xf>
    <xf numFmtId="0" fontId="106" fillId="0" borderId="0" xfId="0" applyFont="1" applyAlignment="1" applyProtection="1">
      <alignment horizontal="center" vertical="center"/>
      <protection/>
    </xf>
    <xf numFmtId="0" fontId="23" fillId="0" borderId="0" xfId="0" applyFont="1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/>
    </xf>
    <xf numFmtId="0" fontId="23" fillId="0" borderId="0" xfId="0" applyFont="1" applyAlignment="1" applyProtection="1">
      <alignment horizontal="center" vertical="center"/>
      <protection/>
    </xf>
    <xf numFmtId="0" fontId="6" fillId="36" borderId="59" xfId="0" applyFont="1" applyFill="1" applyBorder="1" applyAlignment="1" applyProtection="1">
      <alignment horizontal="center" vertical="center"/>
      <protection/>
    </xf>
    <xf numFmtId="0" fontId="6" fillId="36" borderId="5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 textRotation="255"/>
      <protection/>
    </xf>
    <xf numFmtId="0" fontId="20" fillId="0" borderId="64" xfId="0" applyFont="1" applyFill="1" applyBorder="1" applyAlignment="1" applyProtection="1">
      <alignment horizontal="center" vertical="center" wrapText="1"/>
      <protection/>
    </xf>
    <xf numFmtId="0" fontId="20" fillId="0" borderId="35" xfId="0" applyFont="1" applyFill="1" applyBorder="1" applyAlignment="1" applyProtection="1">
      <alignment horizontal="center" vertical="center" wrapText="1"/>
      <protection/>
    </xf>
    <xf numFmtId="0" fontId="20" fillId="0" borderId="65" xfId="0" applyFont="1" applyFill="1" applyBorder="1" applyAlignment="1" applyProtection="1">
      <alignment horizontal="center" vertical="center" wrapText="1"/>
      <protection/>
    </xf>
    <xf numFmtId="0" fontId="20" fillId="0" borderId="66" xfId="0" applyFont="1" applyFill="1" applyBorder="1" applyAlignment="1" applyProtection="1">
      <alignment horizontal="center" vertical="center" wrapText="1"/>
      <protection/>
    </xf>
    <xf numFmtId="0" fontId="20" fillId="0" borderId="67" xfId="0" applyFont="1" applyFill="1" applyBorder="1" applyAlignment="1" applyProtection="1">
      <alignment vertical="center"/>
      <protection/>
    </xf>
    <xf numFmtId="190" fontId="20" fillId="0" borderId="68" xfId="50" applyNumberFormat="1" applyFont="1" applyFill="1" applyBorder="1" applyAlignment="1" applyProtection="1">
      <alignment vertical="center" wrapText="1"/>
      <protection/>
    </xf>
    <xf numFmtId="0" fontId="20" fillId="0" borderId="36" xfId="0" applyNumberFormat="1" applyFont="1" applyFill="1" applyBorder="1" applyAlignment="1" applyProtection="1">
      <alignment horizontal="center" vertical="center"/>
      <protection/>
    </xf>
    <xf numFmtId="0" fontId="20" fillId="0" borderId="67" xfId="0" applyNumberFormat="1" applyFont="1" applyFill="1" applyBorder="1" applyAlignment="1" applyProtection="1">
      <alignment horizontal="center" vertical="center"/>
      <protection/>
    </xf>
    <xf numFmtId="190" fontId="20" fillId="0" borderId="12" xfId="50" applyNumberFormat="1" applyFont="1" applyFill="1" applyBorder="1" applyAlignment="1" applyProtection="1">
      <alignment vertical="center" wrapText="1"/>
      <protection/>
    </xf>
    <xf numFmtId="190" fontId="20" fillId="0" borderId="23" xfId="50" applyNumberFormat="1" applyFont="1" applyFill="1" applyBorder="1" applyAlignment="1" applyProtection="1">
      <alignment vertical="center" wrapText="1"/>
      <protection/>
    </xf>
    <xf numFmtId="0" fontId="20" fillId="0" borderId="23" xfId="50" applyNumberFormat="1" applyFont="1" applyFill="1" applyBorder="1" applyAlignment="1" applyProtection="1">
      <alignment horizontal="center" vertical="center" wrapText="1"/>
      <protection/>
    </xf>
    <xf numFmtId="0" fontId="107" fillId="0" borderId="0" xfId="0" applyFont="1" applyAlignment="1" applyProtection="1">
      <alignment horizontal="right" vertical="center"/>
      <protection/>
    </xf>
    <xf numFmtId="0" fontId="19" fillId="0" borderId="0" xfId="0" applyFont="1" applyBorder="1" applyAlignment="1" applyProtection="1">
      <alignment horizontal="center" vertical="center"/>
      <protection/>
    </xf>
    <xf numFmtId="0" fontId="20" fillId="0" borderId="69" xfId="0" applyFont="1" applyFill="1" applyBorder="1" applyAlignment="1" applyProtection="1">
      <alignment vertical="center"/>
      <protection/>
    </xf>
    <xf numFmtId="190" fontId="20" fillId="0" borderId="13" xfId="50" applyNumberFormat="1" applyFont="1" applyFill="1" applyBorder="1" applyAlignment="1" applyProtection="1">
      <alignment vertical="center" wrapText="1"/>
      <protection/>
    </xf>
    <xf numFmtId="0" fontId="20" fillId="0" borderId="19" xfId="0" applyNumberFormat="1" applyFont="1" applyFill="1" applyBorder="1" applyAlignment="1" applyProtection="1">
      <alignment horizontal="center" vertical="center"/>
      <protection/>
    </xf>
    <xf numFmtId="0" fontId="20" fillId="0" borderId="70" xfId="0" applyNumberFormat="1" applyFont="1" applyFill="1" applyBorder="1" applyAlignment="1" applyProtection="1">
      <alignment horizontal="center" vertical="center"/>
      <protection/>
    </xf>
    <xf numFmtId="0" fontId="20" fillId="0" borderId="70" xfId="0" applyFont="1" applyFill="1" applyBorder="1" applyAlignment="1" applyProtection="1">
      <alignment vertical="center"/>
      <protection/>
    </xf>
    <xf numFmtId="0" fontId="20" fillId="0" borderId="13" xfId="0" applyFont="1" applyFill="1" applyBorder="1" applyAlignment="1" applyProtection="1">
      <alignment vertical="center" wrapText="1"/>
      <protection/>
    </xf>
    <xf numFmtId="184" fontId="20" fillId="0" borderId="19" xfId="0" applyNumberFormat="1" applyFont="1" applyFill="1" applyBorder="1" applyAlignment="1" applyProtection="1">
      <alignment vertical="center"/>
      <protection/>
    </xf>
    <xf numFmtId="0" fontId="20" fillId="37" borderId="19" xfId="0" applyFont="1" applyFill="1" applyBorder="1" applyAlignment="1" applyProtection="1" quotePrefix="1">
      <alignment horizontal="center" vertical="center" wrapText="1"/>
      <protection/>
    </xf>
    <xf numFmtId="0" fontId="20" fillId="37" borderId="19" xfId="0" applyNumberFormat="1" applyFont="1" applyFill="1" applyBorder="1" applyAlignment="1" applyProtection="1" quotePrefix="1">
      <alignment horizontal="center" vertical="center" wrapText="1"/>
      <protection/>
    </xf>
    <xf numFmtId="0" fontId="20" fillId="0" borderId="19" xfId="0" applyFont="1" applyFill="1" applyBorder="1" applyAlignment="1" applyProtection="1">
      <alignment vertical="center" wrapText="1"/>
      <protection/>
    </xf>
    <xf numFmtId="0" fontId="20" fillId="0" borderId="70" xfId="0" applyFont="1" applyFill="1" applyBorder="1" applyAlignment="1" applyProtection="1">
      <alignment vertical="center" wrapText="1"/>
      <protection/>
    </xf>
    <xf numFmtId="0" fontId="20" fillId="37" borderId="13" xfId="0" applyFont="1" applyFill="1" applyBorder="1" applyAlignment="1" applyProtection="1" quotePrefix="1">
      <alignment horizontal="center" vertical="center" wrapText="1"/>
      <protection/>
    </xf>
    <xf numFmtId="0" fontId="20" fillId="37" borderId="70" xfId="0" applyNumberFormat="1" applyFont="1" applyFill="1" applyBorder="1" applyAlignment="1" applyProtection="1" quotePrefix="1">
      <alignment horizontal="center" vertical="center" wrapText="1"/>
      <protection/>
    </xf>
    <xf numFmtId="190" fontId="20" fillId="0" borderId="71" xfId="50" applyNumberFormat="1" applyFont="1" applyFill="1" applyBorder="1" applyAlignment="1" applyProtection="1">
      <alignment vertical="center" wrapText="1"/>
      <protection/>
    </xf>
    <xf numFmtId="0" fontId="107" fillId="0" borderId="0" xfId="0" applyFont="1" applyAlignment="1" applyProtection="1">
      <alignment horizontal="right" vertical="center" wrapText="1"/>
      <protection/>
    </xf>
    <xf numFmtId="0" fontId="20" fillId="0" borderId="21" xfId="0" applyNumberFormat="1" applyFont="1" applyFill="1" applyBorder="1" applyAlignment="1" applyProtection="1">
      <alignment horizontal="center" vertical="center"/>
      <protection/>
    </xf>
    <xf numFmtId="0" fontId="11" fillId="0" borderId="19" xfId="0" applyFont="1" applyBorder="1" applyAlignment="1" applyProtection="1">
      <alignment horizontal="center" vertical="center"/>
      <protection/>
    </xf>
    <xf numFmtId="184" fontId="10" fillId="0" borderId="72" xfId="0" applyNumberFormat="1" applyFont="1" applyFill="1" applyBorder="1" applyAlignment="1" applyProtection="1">
      <alignment horizontal="right" vertical="center" wrapText="1"/>
      <protection/>
    </xf>
    <xf numFmtId="0" fontId="10" fillId="0" borderId="72" xfId="0" applyFont="1" applyBorder="1" applyAlignment="1" applyProtection="1">
      <alignment horizontal="center" vertical="center"/>
      <protection/>
    </xf>
    <xf numFmtId="0" fontId="107" fillId="0" borderId="46" xfId="0" applyFont="1" applyBorder="1" applyAlignment="1" applyProtection="1">
      <alignment horizontal="center" vertical="center"/>
      <protection/>
    </xf>
    <xf numFmtId="184" fontId="11" fillId="0" borderId="0" xfId="0" applyNumberFormat="1" applyFont="1" applyFill="1" applyBorder="1" applyAlignment="1" applyProtection="1">
      <alignment vertical="center" wrapText="1"/>
      <protection/>
    </xf>
    <xf numFmtId="184" fontId="6" fillId="0" borderId="19" xfId="0" applyNumberFormat="1" applyFont="1" applyFill="1" applyBorder="1" applyAlignment="1" applyProtection="1">
      <alignment vertical="center" wrapText="1"/>
      <protection/>
    </xf>
    <xf numFmtId="184" fontId="10" fillId="0" borderId="19" xfId="0" applyNumberFormat="1" applyFont="1" applyFill="1" applyBorder="1" applyAlignment="1" applyProtection="1">
      <alignment vertical="center" wrapText="1"/>
      <protection/>
    </xf>
    <xf numFmtId="0" fontId="11" fillId="0" borderId="0" xfId="0" applyFont="1" applyFill="1" applyAlignment="1" applyProtection="1">
      <alignment vertical="center"/>
      <protection/>
    </xf>
    <xf numFmtId="0" fontId="107" fillId="0" borderId="0" xfId="0" applyFont="1" applyAlignment="1" applyProtection="1">
      <alignment vertical="center"/>
      <protection/>
    </xf>
    <xf numFmtId="0" fontId="20" fillId="0" borderId="0" xfId="0" applyFont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108" fillId="0" borderId="0" xfId="0" applyFont="1" applyFill="1" applyAlignment="1" applyProtection="1">
      <alignment vertical="center"/>
      <protection/>
    </xf>
    <xf numFmtId="0" fontId="108" fillId="0" borderId="0" xfId="0" applyFont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 wrapText="1"/>
      <protection/>
    </xf>
    <xf numFmtId="0" fontId="6" fillId="0" borderId="19" xfId="0" applyFont="1" applyBorder="1" applyAlignment="1" applyProtection="1">
      <alignment vertical="center" wrapText="1"/>
      <protection/>
    </xf>
    <xf numFmtId="0" fontId="6" fillId="0" borderId="19" xfId="0" applyFont="1" applyFill="1" applyBorder="1" applyAlignment="1" applyProtection="1">
      <alignment vertical="center"/>
      <protection/>
    </xf>
    <xf numFmtId="0" fontId="103" fillId="0" borderId="0" xfId="0" applyFont="1" applyFill="1" applyAlignment="1" applyProtection="1">
      <alignment vertical="center"/>
      <protection/>
    </xf>
    <xf numFmtId="0" fontId="103" fillId="0" borderId="0" xfId="0" applyFont="1" applyFill="1" applyBorder="1" applyAlignment="1" applyProtection="1">
      <alignment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Alignment="1" applyProtection="1">
      <alignment vertical="center"/>
      <protection/>
    </xf>
    <xf numFmtId="0" fontId="20" fillId="0" borderId="0" xfId="0" applyFont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190" fontId="23" fillId="0" borderId="0" xfId="50" applyNumberFormat="1" applyFont="1" applyFill="1" applyBorder="1" applyAlignment="1" applyProtection="1">
      <alignment horizontal="center" vertical="center"/>
      <protection/>
    </xf>
    <xf numFmtId="190" fontId="11" fillId="0" borderId="73" xfId="0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 vertical="top" wrapText="1"/>
      <protection/>
    </xf>
    <xf numFmtId="0" fontId="21" fillId="0" borderId="0" xfId="0" applyFont="1" applyAlignment="1" applyProtection="1">
      <alignment vertical="center"/>
      <protection/>
    </xf>
    <xf numFmtId="0" fontId="109" fillId="0" borderId="0" xfId="0" applyFont="1" applyAlignment="1" applyProtection="1">
      <alignment vertical="center"/>
      <protection/>
    </xf>
    <xf numFmtId="0" fontId="110" fillId="0" borderId="19" xfId="0" applyFont="1" applyFill="1" applyBorder="1" applyAlignment="1" applyProtection="1">
      <alignment horizontal="center" vertical="center"/>
      <protection locked="0"/>
    </xf>
    <xf numFmtId="0" fontId="5" fillId="0" borderId="59" xfId="0" applyFont="1" applyFill="1" applyBorder="1" applyAlignment="1" applyProtection="1">
      <alignment horizontal="center" vertical="top" wrapText="1"/>
      <protection locked="0"/>
    </xf>
    <xf numFmtId="0" fontId="5" fillId="0" borderId="62" xfId="0" applyFont="1" applyFill="1" applyBorder="1" applyAlignment="1" applyProtection="1">
      <alignment horizontal="center" vertical="center" wrapText="1"/>
      <protection locked="0"/>
    </xf>
    <xf numFmtId="0" fontId="5" fillId="0" borderId="23" xfId="0" applyFont="1" applyFill="1" applyBorder="1" applyAlignment="1" applyProtection="1">
      <alignment horizontal="center" vertical="center" wrapText="1"/>
      <protection locked="0"/>
    </xf>
    <xf numFmtId="0" fontId="22" fillId="0" borderId="52" xfId="0" applyFont="1" applyBorder="1" applyAlignment="1" applyProtection="1">
      <alignment vertical="center" wrapText="1"/>
      <protection/>
    </xf>
    <xf numFmtId="0" fontId="22" fillId="0" borderId="47" xfId="0" applyFont="1" applyBorder="1" applyAlignment="1" applyProtection="1">
      <alignment vertical="center" wrapText="1"/>
      <protection/>
    </xf>
    <xf numFmtId="0" fontId="22" fillId="0" borderId="50" xfId="0" applyFont="1" applyBorder="1" applyAlignment="1" applyProtection="1">
      <alignment vertical="center" wrapText="1"/>
      <protection/>
    </xf>
    <xf numFmtId="0" fontId="22" fillId="0" borderId="12" xfId="0" applyFont="1" applyBorder="1" applyAlignment="1" applyProtection="1">
      <alignment vertical="center" wrapText="1"/>
      <protection/>
    </xf>
    <xf numFmtId="0" fontId="22" fillId="0" borderId="48" xfId="0" applyFont="1" applyBorder="1" applyAlignment="1" applyProtection="1">
      <alignment vertical="center" wrapText="1"/>
      <protection/>
    </xf>
    <xf numFmtId="0" fontId="22" fillId="0" borderId="49" xfId="0" applyFont="1" applyBorder="1" applyAlignment="1" applyProtection="1">
      <alignment vertical="center" wrapText="1"/>
      <protection/>
    </xf>
    <xf numFmtId="0" fontId="10" fillId="0" borderId="0" xfId="0" applyFont="1" applyBorder="1" applyAlignment="1" applyProtection="1">
      <alignment horizontal="left" vertical="center"/>
      <protection/>
    </xf>
    <xf numFmtId="184" fontId="10" fillId="0" borderId="48" xfId="0" applyNumberFormat="1" applyFont="1" applyFill="1" applyBorder="1" applyAlignment="1" applyProtection="1">
      <alignment horizontal="right" vertical="center" wrapText="1"/>
      <protection/>
    </xf>
    <xf numFmtId="0" fontId="27" fillId="0" borderId="21" xfId="0" applyFont="1" applyBorder="1" applyAlignment="1" applyProtection="1">
      <alignment vertical="center"/>
      <protection/>
    </xf>
    <xf numFmtId="0" fontId="27" fillId="0" borderId="74" xfId="0" applyFont="1" applyBorder="1" applyAlignment="1" applyProtection="1">
      <alignment vertical="center"/>
      <protection/>
    </xf>
    <xf numFmtId="0" fontId="8" fillId="0" borderId="74" xfId="0" applyFont="1" applyBorder="1" applyAlignment="1" applyProtection="1">
      <alignment vertical="center"/>
      <protection/>
    </xf>
    <xf numFmtId="0" fontId="8" fillId="0" borderId="13" xfId="0" applyFont="1" applyBorder="1" applyAlignment="1" applyProtection="1">
      <alignment vertical="center"/>
      <protection/>
    </xf>
    <xf numFmtId="0" fontId="94" fillId="0" borderId="19" xfId="0" applyFont="1" applyBorder="1" applyAlignment="1" applyProtection="1">
      <alignment horizontal="center" vertical="center"/>
      <protection/>
    </xf>
    <xf numFmtId="0" fontId="8" fillId="0" borderId="52" xfId="0" applyFont="1" applyBorder="1" applyAlignment="1" applyProtection="1">
      <alignment horizontal="center" vertical="center" wrapText="1"/>
      <protection/>
    </xf>
    <xf numFmtId="0" fontId="8" fillId="0" borderId="52" xfId="0" applyFont="1" applyBorder="1" applyAlignment="1" applyProtection="1">
      <alignment horizontal="center" vertical="center"/>
      <protection/>
    </xf>
    <xf numFmtId="0" fontId="8" fillId="0" borderId="50" xfId="0" applyFont="1" applyBorder="1" applyAlignment="1" applyProtection="1">
      <alignment horizontal="center" vertical="center" wrapText="1"/>
      <protection/>
    </xf>
    <xf numFmtId="184" fontId="87" fillId="7" borderId="19" xfId="0" applyNumberFormat="1" applyFont="1" applyFill="1" applyBorder="1" applyAlignment="1" applyProtection="1">
      <alignment vertical="center" shrinkToFit="1"/>
      <protection locked="0"/>
    </xf>
    <xf numFmtId="0" fontId="111" fillId="7" borderId="23" xfId="0" applyFont="1" applyFill="1" applyBorder="1" applyAlignment="1" applyProtection="1">
      <alignment horizontal="left" vertical="center"/>
      <protection locked="0"/>
    </xf>
    <xf numFmtId="190" fontId="11" fillId="0" borderId="75" xfId="0" applyNumberFormat="1" applyFont="1" applyFill="1" applyBorder="1" applyAlignment="1" applyProtection="1">
      <alignment horizontal="center" vertical="center"/>
      <protection/>
    </xf>
    <xf numFmtId="38" fontId="10" fillId="7" borderId="60" xfId="50" applyFont="1" applyFill="1" applyBorder="1" applyAlignment="1" applyProtection="1">
      <alignment horizontal="right" vertical="center"/>
      <protection locked="0"/>
    </xf>
    <xf numFmtId="38" fontId="10" fillId="7" borderId="61" xfId="50" applyFont="1" applyFill="1" applyBorder="1" applyAlignment="1" applyProtection="1">
      <alignment horizontal="right" vertical="center"/>
      <protection locked="0"/>
    </xf>
    <xf numFmtId="38" fontId="10" fillId="7" borderId="63" xfId="50" applyFont="1" applyFill="1" applyBorder="1" applyAlignment="1" applyProtection="1">
      <alignment horizontal="right" vertical="center"/>
      <protection locked="0"/>
    </xf>
    <xf numFmtId="0" fontId="90" fillId="7" borderId="19" xfId="0" applyFont="1" applyFill="1" applyBorder="1" applyAlignment="1" applyProtection="1">
      <alignment vertical="center"/>
      <protection locked="0"/>
    </xf>
    <xf numFmtId="189" fontId="5" fillId="7" borderId="21" xfId="0" applyNumberFormat="1" applyFont="1" applyFill="1" applyBorder="1" applyAlignment="1" applyProtection="1">
      <alignment vertical="center" shrinkToFit="1"/>
      <protection locked="0"/>
    </xf>
    <xf numFmtId="189" fontId="5" fillId="7" borderId="74" xfId="0" applyNumberFormat="1" applyFont="1" applyFill="1" applyBorder="1" applyAlignment="1" applyProtection="1">
      <alignment vertical="center" shrinkToFit="1"/>
      <protection locked="0"/>
    </xf>
    <xf numFmtId="189" fontId="5" fillId="7" borderId="13" xfId="0" applyNumberFormat="1" applyFont="1" applyFill="1" applyBorder="1" applyAlignment="1" applyProtection="1">
      <alignment vertical="center" shrinkToFit="1"/>
      <protection locked="0"/>
    </xf>
    <xf numFmtId="0" fontId="90" fillId="7" borderId="21" xfId="0" applyFont="1" applyFill="1" applyBorder="1" applyAlignment="1" applyProtection="1">
      <alignment vertical="center"/>
      <protection locked="0"/>
    </xf>
    <xf numFmtId="0" fontId="90" fillId="7" borderId="74" xfId="0" applyFont="1" applyFill="1" applyBorder="1" applyAlignment="1" applyProtection="1">
      <alignment vertical="center"/>
      <protection locked="0"/>
    </xf>
    <xf numFmtId="0" fontId="90" fillId="7" borderId="13" xfId="0" applyFont="1" applyFill="1" applyBorder="1" applyAlignment="1" applyProtection="1">
      <alignment vertical="center"/>
      <protection locked="0"/>
    </xf>
    <xf numFmtId="0" fontId="90" fillId="7" borderId="21" xfId="0" applyFont="1" applyFill="1" applyBorder="1" applyAlignment="1" applyProtection="1">
      <alignment vertical="center" shrinkToFit="1"/>
      <protection locked="0"/>
    </xf>
    <xf numFmtId="0" fontId="90" fillId="7" borderId="74" xfId="0" applyFont="1" applyFill="1" applyBorder="1" applyAlignment="1" applyProtection="1">
      <alignment vertical="center" shrinkToFit="1"/>
      <protection locked="0"/>
    </xf>
    <xf numFmtId="0" fontId="90" fillId="7" borderId="13" xfId="0" applyFont="1" applyFill="1" applyBorder="1" applyAlignment="1" applyProtection="1">
      <alignment vertical="center" shrinkToFit="1"/>
      <protection locked="0"/>
    </xf>
    <xf numFmtId="0" fontId="5" fillId="7" borderId="19" xfId="0" applyFont="1" applyFill="1" applyBorder="1" applyAlignment="1" applyProtection="1">
      <alignment horizontal="center" vertical="center"/>
      <protection locked="0"/>
    </xf>
    <xf numFmtId="0" fontId="100" fillId="7" borderId="19" xfId="0" applyFont="1" applyFill="1" applyBorder="1" applyAlignment="1" applyProtection="1">
      <alignment horizontal="center" vertical="center"/>
      <protection locked="0"/>
    </xf>
    <xf numFmtId="0" fontId="0" fillId="0" borderId="2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09" fillId="0" borderId="0" xfId="0" applyFont="1" applyAlignment="1" applyProtection="1">
      <alignment horizontal="right" vertical="center"/>
      <protection/>
    </xf>
    <xf numFmtId="190" fontId="19" fillId="0" borderId="52" xfId="0" applyNumberFormat="1" applyFont="1" applyBorder="1" applyAlignment="1" applyProtection="1">
      <alignment vertical="center" shrinkToFit="1"/>
      <protection/>
    </xf>
    <xf numFmtId="190" fontId="19" fillId="0" borderId="46" xfId="0" applyNumberFormat="1" applyFont="1" applyBorder="1" applyAlignment="1" applyProtection="1">
      <alignment vertical="center" shrinkToFit="1"/>
      <protection/>
    </xf>
    <xf numFmtId="190" fontId="19" fillId="0" borderId="47" xfId="0" applyNumberFormat="1" applyFont="1" applyBorder="1" applyAlignment="1" applyProtection="1">
      <alignment vertical="center" shrinkToFit="1"/>
      <protection/>
    </xf>
    <xf numFmtId="190" fontId="19" fillId="0" borderId="50" xfId="0" applyNumberFormat="1" applyFont="1" applyBorder="1" applyAlignment="1" applyProtection="1">
      <alignment vertical="center" shrinkToFit="1"/>
      <protection/>
    </xf>
    <xf numFmtId="190" fontId="19" fillId="0" borderId="51" xfId="0" applyNumberFormat="1" applyFont="1" applyBorder="1" applyAlignment="1" applyProtection="1">
      <alignment vertical="center" shrinkToFit="1"/>
      <protection/>
    </xf>
    <xf numFmtId="190" fontId="19" fillId="0" borderId="12" xfId="0" applyNumberFormat="1" applyFont="1" applyBorder="1" applyAlignment="1" applyProtection="1">
      <alignment vertical="center" shrinkToFit="1"/>
      <protection/>
    </xf>
    <xf numFmtId="0" fontId="25" fillId="0" borderId="52" xfId="0" applyFont="1" applyBorder="1" applyAlignment="1" applyProtection="1">
      <alignment horizontal="center" vertical="center"/>
      <protection/>
    </xf>
    <xf numFmtId="0" fontId="25" fillId="0" borderId="46" xfId="0" applyFont="1" applyBorder="1" applyAlignment="1" applyProtection="1">
      <alignment horizontal="center" vertical="center"/>
      <protection/>
    </xf>
    <xf numFmtId="0" fontId="25" fillId="0" borderId="47" xfId="0" applyFont="1" applyBorder="1" applyAlignment="1" applyProtection="1">
      <alignment horizontal="center" vertical="center"/>
      <protection/>
    </xf>
    <xf numFmtId="0" fontId="25" fillId="0" borderId="50" xfId="0" applyFont="1" applyBorder="1" applyAlignment="1" applyProtection="1">
      <alignment horizontal="center" vertical="center"/>
      <protection/>
    </xf>
    <xf numFmtId="0" fontId="25" fillId="0" borderId="51" xfId="0" applyFont="1" applyBorder="1" applyAlignment="1" applyProtection="1">
      <alignment horizontal="center" vertical="center"/>
      <protection/>
    </xf>
    <xf numFmtId="0" fontId="25" fillId="0" borderId="12" xfId="0" applyFont="1" applyBorder="1" applyAlignment="1" applyProtection="1">
      <alignment horizontal="center" vertical="center"/>
      <protection/>
    </xf>
    <xf numFmtId="0" fontId="94" fillId="0" borderId="21" xfId="0" applyFont="1" applyBorder="1" applyAlignment="1" applyProtection="1">
      <alignment horizontal="center" vertical="center"/>
      <protection/>
    </xf>
    <xf numFmtId="0" fontId="94" fillId="0" borderId="13" xfId="0" applyFont="1" applyBorder="1" applyAlignment="1" applyProtection="1">
      <alignment horizontal="center" vertical="center"/>
      <protection/>
    </xf>
    <xf numFmtId="0" fontId="19" fillId="0" borderId="50" xfId="0" applyFont="1" applyBorder="1" applyAlignment="1" applyProtection="1">
      <alignment vertical="center" shrinkToFit="1"/>
      <protection/>
    </xf>
    <xf numFmtId="0" fontId="19" fillId="0" borderId="51" xfId="0" applyFont="1" applyBorder="1" applyAlignment="1" applyProtection="1">
      <alignment vertical="center" shrinkToFit="1"/>
      <protection/>
    </xf>
    <xf numFmtId="0" fontId="19" fillId="0" borderId="12" xfId="0" applyFont="1" applyBorder="1" applyAlignment="1" applyProtection="1">
      <alignment vertical="center" shrinkToFit="1"/>
      <protection/>
    </xf>
    <xf numFmtId="0" fontId="11" fillId="0" borderId="58" xfId="0" applyFont="1" applyFill="1" applyBorder="1" applyAlignment="1" applyProtection="1">
      <alignment vertical="center" wrapText="1"/>
      <protection/>
    </xf>
    <xf numFmtId="0" fontId="11" fillId="0" borderId="63" xfId="0" applyFont="1" applyFill="1" applyBorder="1" applyAlignment="1" applyProtection="1">
      <alignment vertical="center" wrapText="1"/>
      <protection/>
    </xf>
    <xf numFmtId="0" fontId="11" fillId="0" borderId="57" xfId="0" applyFont="1" applyFill="1" applyBorder="1" applyAlignment="1" applyProtection="1">
      <alignment vertical="center" wrapText="1"/>
      <protection/>
    </xf>
    <xf numFmtId="0" fontId="11" fillId="0" borderId="61" xfId="0" applyFont="1" applyFill="1" applyBorder="1" applyAlignment="1" applyProtection="1">
      <alignment vertical="center" wrapText="1"/>
      <protection/>
    </xf>
    <xf numFmtId="0" fontId="27" fillId="0" borderId="21" xfId="0" applyFont="1" applyBorder="1" applyAlignment="1" applyProtection="1">
      <alignment horizontal="center" vertical="center" wrapText="1"/>
      <protection locked="0"/>
    </xf>
    <xf numFmtId="0" fontId="27" fillId="0" borderId="74" xfId="0" applyFont="1" applyBorder="1" applyAlignment="1" applyProtection="1">
      <alignment horizontal="center" vertical="center" wrapText="1"/>
      <protection locked="0"/>
    </xf>
    <xf numFmtId="0" fontId="27" fillId="0" borderId="13" xfId="0" applyFont="1" applyBorder="1" applyAlignment="1" applyProtection="1">
      <alignment horizontal="center" vertical="center" wrapText="1"/>
      <protection locked="0"/>
    </xf>
    <xf numFmtId="0" fontId="8" fillId="0" borderId="52" xfId="0" applyFont="1" applyBorder="1" applyAlignment="1" applyProtection="1">
      <alignment horizontal="center" vertical="center" wrapText="1"/>
      <protection/>
    </xf>
    <xf numFmtId="0" fontId="8" fillId="0" borderId="47" xfId="0" applyFont="1" applyBorder="1" applyAlignment="1" applyProtection="1">
      <alignment horizontal="center" vertical="center" wrapText="1"/>
      <protection/>
    </xf>
    <xf numFmtId="0" fontId="10" fillId="0" borderId="51" xfId="0" applyFont="1" applyBorder="1" applyAlignment="1" applyProtection="1">
      <alignment horizontal="left" vertical="center"/>
      <protection/>
    </xf>
    <xf numFmtId="0" fontId="94" fillId="0" borderId="52" xfId="0" applyFont="1" applyBorder="1" applyAlignment="1" applyProtection="1">
      <alignment horizontal="center" vertical="center"/>
      <protection/>
    </xf>
    <xf numFmtId="0" fontId="94" fillId="0" borderId="47" xfId="0" applyFont="1" applyBorder="1" applyAlignment="1" applyProtection="1">
      <alignment horizontal="center" vertical="center"/>
      <protection/>
    </xf>
    <xf numFmtId="0" fontId="94" fillId="0" borderId="48" xfId="0" applyFont="1" applyBorder="1" applyAlignment="1" applyProtection="1">
      <alignment horizontal="center" vertical="center"/>
      <protection/>
    </xf>
    <xf numFmtId="0" fontId="94" fillId="0" borderId="49" xfId="0" applyFont="1" applyBorder="1" applyAlignment="1" applyProtection="1">
      <alignment horizontal="center" vertical="center"/>
      <protection/>
    </xf>
    <xf numFmtId="0" fontId="94" fillId="0" borderId="50" xfId="0" applyFont="1" applyBorder="1" applyAlignment="1" applyProtection="1">
      <alignment horizontal="center" vertical="center"/>
      <protection/>
    </xf>
    <xf numFmtId="0" fontId="94" fillId="0" borderId="12" xfId="0" applyFont="1" applyBorder="1" applyAlignment="1" applyProtection="1">
      <alignment horizontal="center" vertical="center"/>
      <protection/>
    </xf>
    <xf numFmtId="0" fontId="101" fillId="0" borderId="76" xfId="0" applyFont="1" applyFill="1" applyBorder="1" applyAlignment="1" applyProtection="1">
      <alignment horizontal="center" vertical="center" textRotation="255"/>
      <protection/>
    </xf>
    <xf numFmtId="0" fontId="5" fillId="0" borderId="59" xfId="0" applyFont="1" applyFill="1" applyBorder="1" applyAlignment="1" applyProtection="1">
      <alignment horizontal="center" vertical="center" wrapText="1"/>
      <protection locked="0"/>
    </xf>
    <xf numFmtId="0" fontId="5" fillId="0" borderId="62" xfId="0" applyFont="1" applyFill="1" applyBorder="1" applyAlignment="1" applyProtection="1">
      <alignment horizontal="center" vertical="center" wrapText="1"/>
      <protection locked="0"/>
    </xf>
    <xf numFmtId="0" fontId="5" fillId="0" borderId="23" xfId="0" applyFont="1" applyFill="1" applyBorder="1" applyAlignment="1" applyProtection="1">
      <alignment horizontal="center" vertical="center" wrapText="1"/>
      <protection locked="0"/>
    </xf>
    <xf numFmtId="0" fontId="6" fillId="38" borderId="48" xfId="0" applyFont="1" applyFill="1" applyBorder="1" applyAlignment="1" applyProtection="1">
      <alignment horizontal="center" vertical="center" wrapText="1"/>
      <protection/>
    </xf>
    <xf numFmtId="0" fontId="6" fillId="38" borderId="50" xfId="0" applyFont="1" applyFill="1" applyBorder="1" applyAlignment="1" applyProtection="1">
      <alignment horizontal="center" vertical="center" wrapText="1"/>
      <protection/>
    </xf>
    <xf numFmtId="0" fontId="94" fillId="0" borderId="52" xfId="0" applyFont="1" applyBorder="1" applyAlignment="1" applyProtection="1">
      <alignment vertical="center" shrinkToFit="1"/>
      <protection/>
    </xf>
    <xf numFmtId="0" fontId="0" fillId="0" borderId="47" xfId="0" applyBorder="1" applyAlignment="1">
      <alignment vertical="center" shrinkToFit="1"/>
    </xf>
    <xf numFmtId="0" fontId="27" fillId="0" borderId="59" xfId="0" applyFont="1" applyBorder="1" applyAlignment="1" applyProtection="1">
      <alignment horizontal="center" vertical="center" wrapText="1"/>
      <protection locked="0"/>
    </xf>
    <xf numFmtId="0" fontId="27" fillId="0" borderId="62" xfId="0" applyFont="1" applyBorder="1" applyAlignment="1" applyProtection="1">
      <alignment horizontal="center" vertical="center" wrapText="1"/>
      <protection locked="0"/>
    </xf>
    <xf numFmtId="0" fontId="27" fillId="0" borderId="23" xfId="0" applyFont="1" applyBorder="1" applyAlignment="1" applyProtection="1">
      <alignment horizontal="center" vertical="center" wrapText="1"/>
      <protection locked="0"/>
    </xf>
    <xf numFmtId="0" fontId="11" fillId="0" borderId="56" xfId="0" applyFont="1" applyFill="1" applyBorder="1" applyAlignment="1" applyProtection="1">
      <alignment vertical="center" wrapText="1"/>
      <protection/>
    </xf>
    <xf numFmtId="0" fontId="11" fillId="0" borderId="60" xfId="0" applyFont="1" applyFill="1" applyBorder="1" applyAlignment="1" applyProtection="1">
      <alignment vertical="center" wrapText="1"/>
      <protection/>
    </xf>
    <xf numFmtId="190" fontId="19" fillId="0" borderId="52" xfId="0" applyNumberFormat="1" applyFont="1" applyBorder="1" applyAlignment="1" applyProtection="1">
      <alignment vertical="center" wrapText="1" shrinkToFit="1"/>
      <protection/>
    </xf>
    <xf numFmtId="190" fontId="19" fillId="0" borderId="46" xfId="0" applyNumberFormat="1" applyFont="1" applyBorder="1" applyAlignment="1" applyProtection="1">
      <alignment vertical="center" wrapText="1" shrinkToFit="1"/>
      <protection/>
    </xf>
    <xf numFmtId="190" fontId="19" fillId="0" borderId="47" xfId="0" applyNumberFormat="1" applyFont="1" applyBorder="1" applyAlignment="1" applyProtection="1">
      <alignment vertical="center" wrapText="1" shrinkToFit="1"/>
      <protection/>
    </xf>
    <xf numFmtId="190" fontId="19" fillId="0" borderId="50" xfId="0" applyNumberFormat="1" applyFont="1" applyBorder="1" applyAlignment="1" applyProtection="1">
      <alignment vertical="center" wrapText="1" shrinkToFit="1"/>
      <protection/>
    </xf>
    <xf numFmtId="190" fontId="19" fillId="0" borderId="51" xfId="0" applyNumberFormat="1" applyFont="1" applyBorder="1" applyAlignment="1" applyProtection="1">
      <alignment vertical="center" wrapText="1" shrinkToFit="1"/>
      <protection/>
    </xf>
    <xf numFmtId="190" fontId="19" fillId="0" borderId="12" xfId="0" applyNumberFormat="1" applyFont="1" applyBorder="1" applyAlignment="1" applyProtection="1">
      <alignment vertical="center" wrapText="1" shrinkToFit="1"/>
      <protection/>
    </xf>
    <xf numFmtId="190" fontId="19" fillId="0" borderId="50" xfId="0" applyNumberFormat="1" applyFont="1" applyBorder="1" applyAlignment="1" applyProtection="1">
      <alignment horizontal="center" vertical="center" shrinkToFit="1"/>
      <protection/>
    </xf>
    <xf numFmtId="190" fontId="19" fillId="0" borderId="51" xfId="0" applyNumberFormat="1" applyFont="1" applyBorder="1" applyAlignment="1" applyProtection="1">
      <alignment horizontal="center" vertical="center" shrinkToFit="1"/>
      <protection/>
    </xf>
    <xf numFmtId="190" fontId="19" fillId="0" borderId="12" xfId="0" applyNumberFormat="1" applyFont="1" applyBorder="1" applyAlignment="1" applyProtection="1">
      <alignment horizontal="center" vertical="center" shrinkToFit="1"/>
      <protection/>
    </xf>
    <xf numFmtId="0" fontId="25" fillId="33" borderId="59" xfId="0" applyFont="1" applyFill="1" applyBorder="1" applyAlignment="1" applyProtection="1">
      <alignment horizontal="center" vertical="center"/>
      <protection/>
    </xf>
    <xf numFmtId="0" fontId="25" fillId="33" borderId="23" xfId="0" applyFont="1" applyFill="1" applyBorder="1" applyAlignment="1" applyProtection="1">
      <alignment horizontal="center" vertical="center"/>
      <protection/>
    </xf>
    <xf numFmtId="0" fontId="20" fillId="0" borderId="77" xfId="0" applyFont="1" applyFill="1" applyBorder="1" applyAlignment="1" applyProtection="1">
      <alignment horizontal="center" vertical="center"/>
      <protection/>
    </xf>
    <xf numFmtId="0" fontId="20" fillId="0" borderId="74" xfId="0" applyFont="1" applyFill="1" applyBorder="1" applyAlignment="1" applyProtection="1">
      <alignment horizontal="center" vertical="center"/>
      <protection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20" fillId="0" borderId="21" xfId="0" applyFont="1" applyFill="1" applyBorder="1" applyAlignment="1" applyProtection="1">
      <alignment horizontal="center" vertical="center" wrapText="1"/>
      <protection/>
    </xf>
    <xf numFmtId="0" fontId="20" fillId="0" borderId="74" xfId="0" applyFont="1" applyFill="1" applyBorder="1" applyAlignment="1" applyProtection="1">
      <alignment horizontal="center" vertical="center" wrapText="1"/>
      <protection/>
    </xf>
    <xf numFmtId="0" fontId="20" fillId="0" borderId="78" xfId="0" applyFont="1" applyFill="1" applyBorder="1" applyAlignment="1" applyProtection="1">
      <alignment horizontal="center" vertical="center" wrapText="1"/>
      <protection/>
    </xf>
    <xf numFmtId="0" fontId="20" fillId="0" borderId="79" xfId="0" applyFont="1" applyFill="1" applyBorder="1" applyAlignment="1" applyProtection="1">
      <alignment horizontal="center" vertical="center" wrapText="1"/>
      <protection/>
    </xf>
    <xf numFmtId="0" fontId="20" fillId="0" borderId="80" xfId="0" applyFont="1" applyFill="1" applyBorder="1" applyAlignment="1" applyProtection="1">
      <alignment horizontal="center" vertical="center" wrapText="1"/>
      <protection/>
    </xf>
    <xf numFmtId="0" fontId="22" fillId="0" borderId="21" xfId="0" applyFont="1" applyFill="1" applyBorder="1" applyAlignment="1" applyProtection="1">
      <alignment horizontal="center" vertical="center" wrapText="1"/>
      <protection/>
    </xf>
    <xf numFmtId="0" fontId="22" fillId="0" borderId="13" xfId="0" applyFont="1" applyFill="1" applyBorder="1" applyAlignment="1" applyProtection="1">
      <alignment horizontal="center" vertical="center" wrapText="1"/>
      <protection/>
    </xf>
    <xf numFmtId="0" fontId="20" fillId="0" borderId="13" xfId="0" applyFont="1" applyFill="1" applyBorder="1" applyAlignment="1" applyProtection="1">
      <alignment horizontal="center" vertical="center" wrapText="1"/>
      <protection/>
    </xf>
    <xf numFmtId="0" fontId="6" fillId="38" borderId="62" xfId="0" applyFont="1" applyFill="1" applyBorder="1" applyAlignment="1" applyProtection="1">
      <alignment horizontal="center" vertical="center" wrapText="1"/>
      <protection/>
    </xf>
    <xf numFmtId="0" fontId="6" fillId="38" borderId="23" xfId="0" applyFont="1" applyFill="1" applyBorder="1" applyAlignment="1" applyProtection="1">
      <alignment horizontal="center" vertical="center" wrapText="1"/>
      <protection/>
    </xf>
    <xf numFmtId="0" fontId="20" fillId="0" borderId="77" xfId="0" applyFont="1" applyFill="1" applyBorder="1" applyAlignment="1" applyProtection="1">
      <alignment horizontal="center" vertical="center" wrapText="1"/>
      <protection/>
    </xf>
    <xf numFmtId="0" fontId="112" fillId="33" borderId="76" xfId="0" applyFont="1" applyFill="1" applyBorder="1" applyAlignment="1" applyProtection="1">
      <alignment horizontal="center" vertical="center"/>
      <protection/>
    </xf>
    <xf numFmtId="0" fontId="11" fillId="6" borderId="59" xfId="0" applyFont="1" applyFill="1" applyBorder="1" applyAlignment="1" applyProtection="1">
      <alignment horizontal="center" vertical="center"/>
      <protection/>
    </xf>
    <xf numFmtId="0" fontId="11" fillId="6" borderId="62" xfId="0" applyFont="1" applyFill="1" applyBorder="1" applyAlignment="1" applyProtection="1">
      <alignment horizontal="center" vertical="center"/>
      <protection/>
    </xf>
    <xf numFmtId="0" fontId="11" fillId="6" borderId="23" xfId="0" applyFont="1" applyFill="1" applyBorder="1" applyAlignment="1" applyProtection="1">
      <alignment horizontal="center" vertical="center"/>
      <protection/>
    </xf>
    <xf numFmtId="0" fontId="6" fillId="36" borderId="59" xfId="0" applyFont="1" applyFill="1" applyBorder="1" applyAlignment="1" applyProtection="1">
      <alignment horizontal="center" vertical="center" textRotation="255"/>
      <protection/>
    </xf>
    <xf numFmtId="0" fontId="6" fillId="36" borderId="62" xfId="0" applyFont="1" applyFill="1" applyBorder="1" applyAlignment="1" applyProtection="1">
      <alignment horizontal="center" vertical="center" textRotation="255"/>
      <protection/>
    </xf>
    <xf numFmtId="0" fontId="6" fillId="36" borderId="23" xfId="0" applyFont="1" applyFill="1" applyBorder="1" applyAlignment="1" applyProtection="1">
      <alignment horizontal="center" vertical="center" textRotation="255"/>
      <protection/>
    </xf>
    <xf numFmtId="0" fontId="4" fillId="38" borderId="62" xfId="0" applyFont="1" applyFill="1" applyBorder="1" applyAlignment="1" applyProtection="1">
      <alignment horizontal="center" vertical="center" wrapText="1"/>
      <protection/>
    </xf>
    <xf numFmtId="0" fontId="4" fillId="38" borderId="23" xfId="0" applyFont="1" applyFill="1" applyBorder="1" applyAlignment="1" applyProtection="1">
      <alignment horizontal="center" vertical="center" wrapText="1"/>
      <protection/>
    </xf>
    <xf numFmtId="0" fontId="113" fillId="0" borderId="0" xfId="0" applyFont="1" applyBorder="1" applyAlignment="1" applyProtection="1">
      <alignment horizontal="center" vertical="center"/>
      <protection/>
    </xf>
    <xf numFmtId="0" fontId="114" fillId="0" borderId="0" xfId="0" applyFont="1" applyBorder="1" applyAlignment="1" applyProtection="1">
      <alignment vertical="center" wrapText="1" shrinkToFit="1"/>
      <protection/>
    </xf>
    <xf numFmtId="0" fontId="24" fillId="33" borderId="59" xfId="0" applyFont="1" applyFill="1" applyBorder="1" applyAlignment="1" applyProtection="1">
      <alignment horizontal="center" vertical="center"/>
      <protection/>
    </xf>
    <xf numFmtId="0" fontId="24" fillId="33" borderId="23" xfId="0" applyFont="1" applyFill="1" applyBorder="1" applyAlignment="1" applyProtection="1">
      <alignment horizontal="center" vertical="center"/>
      <protection/>
    </xf>
    <xf numFmtId="0" fontId="11" fillId="0" borderId="57" xfId="0" applyNumberFormat="1" applyFont="1" applyFill="1" applyBorder="1" applyAlignment="1" applyProtection="1">
      <alignment horizontal="center" vertical="center"/>
      <protection/>
    </xf>
    <xf numFmtId="0" fontId="11" fillId="0" borderId="81" xfId="0" applyNumberFormat="1" applyFont="1" applyFill="1" applyBorder="1" applyAlignment="1" applyProtection="1">
      <alignment horizontal="center" vertical="center"/>
      <protection/>
    </xf>
    <xf numFmtId="0" fontId="11" fillId="0" borderId="75" xfId="0" applyNumberFormat="1" applyFont="1" applyFill="1" applyBorder="1" applyAlignment="1" applyProtection="1">
      <alignment horizontal="center" vertical="center"/>
      <protection/>
    </xf>
    <xf numFmtId="0" fontId="11" fillId="0" borderId="82" xfId="0" applyFont="1" applyFill="1" applyBorder="1" applyAlignment="1" applyProtection="1">
      <alignment horizontal="center" vertical="center"/>
      <protection/>
    </xf>
    <xf numFmtId="0" fontId="11" fillId="0" borderId="83" xfId="0" applyFont="1" applyFill="1" applyBorder="1" applyAlignment="1" applyProtection="1">
      <alignment horizontal="center" vertical="center"/>
      <protection/>
    </xf>
    <xf numFmtId="0" fontId="11" fillId="0" borderId="84" xfId="0" applyFont="1" applyFill="1" applyBorder="1" applyAlignment="1" applyProtection="1">
      <alignment horizontal="center" vertical="center"/>
      <protection/>
    </xf>
    <xf numFmtId="3" fontId="11" fillId="0" borderId="85" xfId="0" applyNumberFormat="1" applyFont="1" applyFill="1" applyBorder="1" applyAlignment="1" applyProtection="1">
      <alignment vertical="center"/>
      <protection/>
    </xf>
    <xf numFmtId="3" fontId="11" fillId="0" borderId="86" xfId="0" applyNumberFormat="1" applyFont="1" applyFill="1" applyBorder="1" applyAlignment="1" applyProtection="1">
      <alignment vertical="center"/>
      <protection/>
    </xf>
    <xf numFmtId="3" fontId="11" fillId="0" borderId="57" xfId="0" applyNumberFormat="1" applyFont="1" applyFill="1" applyBorder="1" applyAlignment="1" applyProtection="1">
      <alignment vertical="center"/>
      <protection/>
    </xf>
    <xf numFmtId="3" fontId="11" fillId="0" borderId="81" xfId="0" applyNumberFormat="1" applyFont="1" applyFill="1" applyBorder="1" applyAlignment="1" applyProtection="1">
      <alignment vertical="center"/>
      <protection/>
    </xf>
    <xf numFmtId="9" fontId="11" fillId="0" borderId="57" xfId="0" applyNumberFormat="1" applyFont="1" applyFill="1" applyBorder="1" applyAlignment="1" applyProtection="1">
      <alignment horizontal="center" vertical="center"/>
      <protection/>
    </xf>
    <xf numFmtId="9" fontId="11" fillId="0" borderId="81" xfId="0" applyNumberFormat="1" applyFont="1" applyFill="1" applyBorder="1" applyAlignment="1" applyProtection="1">
      <alignment horizontal="center" vertical="center"/>
      <protection/>
    </xf>
    <xf numFmtId="9" fontId="11" fillId="0" borderId="75" xfId="0" applyNumberFormat="1" applyFont="1" applyFill="1" applyBorder="1" applyAlignment="1" applyProtection="1">
      <alignment horizontal="center" vertical="center"/>
      <protection/>
    </xf>
    <xf numFmtId="0" fontId="86" fillId="0" borderId="87" xfId="0" applyFont="1" applyBorder="1" applyAlignment="1" applyProtection="1">
      <alignment horizontal="center" vertical="top" wrapText="1"/>
      <protection locked="0"/>
    </xf>
    <xf numFmtId="0" fontId="86" fillId="0" borderId="88" xfId="0" applyFont="1" applyBorder="1" applyAlignment="1" applyProtection="1">
      <alignment horizontal="center" vertical="top" wrapText="1"/>
      <protection locked="0"/>
    </xf>
    <xf numFmtId="0" fontId="86" fillId="0" borderId="10" xfId="0" applyFont="1" applyBorder="1" applyAlignment="1" applyProtection="1">
      <alignment horizontal="center" vertical="center" wrapText="1"/>
      <protection locked="0"/>
    </xf>
    <xf numFmtId="0" fontId="86" fillId="0" borderId="25" xfId="0" applyFont="1" applyBorder="1" applyAlignment="1" applyProtection="1">
      <alignment horizontal="center" vertical="center" wrapText="1"/>
      <protection locked="0"/>
    </xf>
    <xf numFmtId="0" fontId="86" fillId="0" borderId="89" xfId="0" applyFont="1" applyFill="1" applyBorder="1" applyAlignment="1" applyProtection="1">
      <alignment horizontal="center" vertical="center" wrapText="1"/>
      <protection locked="0"/>
    </xf>
    <xf numFmtId="0" fontId="86" fillId="0" borderId="30" xfId="0" applyFont="1" applyFill="1" applyBorder="1" applyAlignment="1" applyProtection="1">
      <alignment horizontal="center" vertical="center" wrapText="1"/>
      <protection locked="0"/>
    </xf>
    <xf numFmtId="14" fontId="87" fillId="7" borderId="23" xfId="0" applyNumberFormat="1" applyFont="1" applyFill="1" applyBorder="1" applyAlignment="1" applyProtection="1">
      <alignment horizontal="center" vertical="center" wrapText="1"/>
      <protection locked="0"/>
    </xf>
    <xf numFmtId="0" fontId="87" fillId="7" borderId="23" xfId="0" applyFont="1" applyFill="1" applyBorder="1" applyAlignment="1" applyProtection="1">
      <alignment horizontal="center" vertical="center" wrapText="1"/>
      <protection locked="0"/>
    </xf>
    <xf numFmtId="0" fontId="88" fillId="33" borderId="90" xfId="0" applyFont="1" applyFill="1" applyBorder="1" applyAlignment="1" applyProtection="1">
      <alignment horizontal="center" vertical="center" wrapText="1"/>
      <protection locked="0"/>
    </xf>
    <xf numFmtId="0" fontId="88" fillId="33" borderId="91" xfId="0" applyFont="1" applyFill="1" applyBorder="1" applyAlignment="1" applyProtection="1">
      <alignment horizontal="center" vertical="center" wrapText="1"/>
      <protection locked="0"/>
    </xf>
    <xf numFmtId="0" fontId="86" fillId="0" borderId="0" xfId="0" applyFont="1" applyAlignment="1" applyProtection="1">
      <alignment horizontal="left" vertical="center"/>
      <protection locked="0"/>
    </xf>
    <xf numFmtId="0" fontId="86" fillId="0" borderId="92" xfId="0" applyFont="1" applyBorder="1" applyAlignment="1" applyProtection="1">
      <alignment horizontal="center" vertical="center" wrapText="1"/>
      <protection locked="0"/>
    </xf>
    <xf numFmtId="0" fontId="86" fillId="0" borderId="93" xfId="0" applyFont="1" applyBorder="1" applyAlignment="1" applyProtection="1">
      <alignment horizontal="center" vertical="center" wrapText="1"/>
      <protection locked="0"/>
    </xf>
    <xf numFmtId="14" fontId="87" fillId="7" borderId="25" xfId="0" applyNumberFormat="1" applyFont="1" applyFill="1" applyBorder="1" applyAlignment="1" applyProtection="1">
      <alignment horizontal="center" vertical="center" wrapText="1"/>
      <protection locked="0"/>
    </xf>
    <xf numFmtId="0" fontId="87" fillId="7" borderId="25" xfId="0" applyFont="1" applyFill="1" applyBorder="1" applyAlignment="1" applyProtection="1">
      <alignment horizontal="center" vertical="center" wrapText="1"/>
      <protection locked="0"/>
    </xf>
    <xf numFmtId="0" fontId="86" fillId="0" borderId="89" xfId="0" applyFont="1" applyBorder="1" applyAlignment="1" applyProtection="1">
      <alignment horizontal="center" vertical="center" wrapText="1"/>
      <protection locked="0"/>
    </xf>
    <xf numFmtId="0" fontId="86" fillId="0" borderId="30" xfId="0" applyFont="1" applyBorder="1" applyAlignment="1" applyProtection="1">
      <alignment horizontal="center" vertical="center" wrapText="1"/>
      <protection locked="0"/>
    </xf>
    <xf numFmtId="14" fontId="87" fillId="7" borderId="22" xfId="0" applyNumberFormat="1" applyFont="1" applyFill="1" applyBorder="1" applyAlignment="1" applyProtection="1">
      <alignment horizontal="center" vertical="center" wrapText="1"/>
      <protection locked="0"/>
    </xf>
    <xf numFmtId="0" fontId="87" fillId="7" borderId="22" xfId="0" applyFont="1" applyFill="1" applyBorder="1" applyAlignment="1" applyProtection="1">
      <alignment horizontal="center" vertical="center" wrapText="1"/>
      <protection locked="0"/>
    </xf>
    <xf numFmtId="14" fontId="87" fillId="7" borderId="19" xfId="0" applyNumberFormat="1" applyFont="1" applyFill="1" applyBorder="1" applyAlignment="1" applyProtection="1">
      <alignment horizontal="center" vertical="center" wrapText="1"/>
      <protection locked="0"/>
    </xf>
    <xf numFmtId="0" fontId="87" fillId="7" borderId="19" xfId="0" applyFont="1" applyFill="1" applyBorder="1" applyAlignment="1" applyProtection="1">
      <alignment horizontal="center" vertical="center" wrapText="1"/>
      <protection locked="0"/>
    </xf>
    <xf numFmtId="0" fontId="86" fillId="0" borderId="26" xfId="0" applyFont="1" applyBorder="1" applyAlignment="1" applyProtection="1">
      <alignment horizontal="center" vertical="top" wrapText="1"/>
      <protection locked="0"/>
    </xf>
    <xf numFmtId="0" fontId="88" fillId="33" borderId="94" xfId="0" applyFont="1" applyFill="1" applyBorder="1" applyAlignment="1" applyProtection="1">
      <alignment horizontal="center" vertical="center" wrapText="1"/>
      <protection locked="0"/>
    </xf>
    <xf numFmtId="0" fontId="88" fillId="33" borderId="14" xfId="0" applyFont="1" applyFill="1" applyBorder="1" applyAlignment="1" applyProtection="1">
      <alignment horizontal="center" vertical="center" wrapText="1"/>
      <protection locked="0"/>
    </xf>
    <xf numFmtId="0" fontId="87" fillId="7" borderId="50" xfId="0" applyFont="1" applyFill="1" applyBorder="1" applyAlignment="1" applyProtection="1">
      <alignment horizontal="center" vertical="center" wrapText="1"/>
      <protection locked="0"/>
    </xf>
    <xf numFmtId="14" fontId="87" fillId="7" borderId="24" xfId="0" applyNumberFormat="1" applyFont="1" applyFill="1" applyBorder="1" applyAlignment="1" applyProtection="1">
      <alignment horizontal="center" vertical="center" wrapText="1"/>
      <protection locked="0"/>
    </xf>
    <xf numFmtId="0" fontId="87" fillId="7" borderId="24" xfId="0" applyFont="1" applyFill="1" applyBorder="1" applyAlignment="1" applyProtection="1">
      <alignment horizontal="center" vertical="center" wrapText="1"/>
      <protection locked="0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2 2" xfId="65"/>
    <cellStyle name="標準 3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866775</xdr:colOff>
      <xdr:row>21</xdr:row>
      <xdr:rowOff>123825</xdr:rowOff>
    </xdr:from>
    <xdr:ext cx="561975" cy="238125"/>
    <xdr:sp>
      <xdr:nvSpPr>
        <xdr:cNvPr id="1" name="テキスト ボックス 1"/>
        <xdr:cNvSpPr txBox="1">
          <a:spLocks noChangeArrowheads="1"/>
        </xdr:cNvSpPr>
      </xdr:nvSpPr>
      <xdr:spPr>
        <a:xfrm>
          <a:off x="2219325" y="4095750"/>
          <a:ext cx="561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小規模型</a:t>
          </a:r>
        </a:p>
      </xdr:txBody>
    </xdr:sp>
    <xdr:clientData/>
  </xdr:oneCellAnchor>
  <xdr:oneCellAnchor>
    <xdr:from>
      <xdr:col>5</xdr:col>
      <xdr:colOff>885825</xdr:colOff>
      <xdr:row>21</xdr:row>
      <xdr:rowOff>123825</xdr:rowOff>
    </xdr:from>
    <xdr:ext cx="1038225" cy="238125"/>
    <xdr:sp>
      <xdr:nvSpPr>
        <xdr:cNvPr id="2" name="テキスト ボックス 12"/>
        <xdr:cNvSpPr txBox="1">
          <a:spLocks noChangeArrowheads="1"/>
        </xdr:cNvSpPr>
      </xdr:nvSpPr>
      <xdr:spPr>
        <a:xfrm>
          <a:off x="4029075" y="4095750"/>
          <a:ext cx="10382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高度生産性向上型</a:t>
          </a:r>
        </a:p>
      </xdr:txBody>
    </xdr:sp>
    <xdr:clientData/>
  </xdr:oneCellAnchor>
  <xdr:oneCellAnchor>
    <xdr:from>
      <xdr:col>2</xdr:col>
      <xdr:colOff>0</xdr:colOff>
      <xdr:row>13</xdr:row>
      <xdr:rowOff>142875</xdr:rowOff>
    </xdr:from>
    <xdr:ext cx="771525" cy="238125"/>
    <xdr:sp>
      <xdr:nvSpPr>
        <xdr:cNvPr id="3" name="テキスト ボックス 14"/>
        <xdr:cNvSpPr txBox="1">
          <a:spLocks noChangeArrowheads="1"/>
        </xdr:cNvSpPr>
      </xdr:nvSpPr>
      <xdr:spPr>
        <a:xfrm>
          <a:off x="457200" y="2590800"/>
          <a:ext cx="771525" cy="238125"/>
        </a:xfrm>
        <a:prstGeom prst="rect">
          <a:avLst/>
        </a:prstGeom>
        <a:solidFill>
          <a:srgbClr val="FDEAD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事業類型型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Ⅰ</a:t>
          </a:r>
        </a:p>
      </xdr:txBody>
    </xdr:sp>
    <xdr:clientData/>
  </xdr:oneCellAnchor>
  <xdr:oneCellAnchor>
    <xdr:from>
      <xdr:col>1</xdr:col>
      <xdr:colOff>219075</xdr:colOff>
      <xdr:row>21</xdr:row>
      <xdr:rowOff>114300</xdr:rowOff>
    </xdr:from>
    <xdr:ext cx="466725" cy="238125"/>
    <xdr:sp>
      <xdr:nvSpPr>
        <xdr:cNvPr id="4" name="テキスト ボックス 18"/>
        <xdr:cNvSpPr txBox="1">
          <a:spLocks noChangeArrowheads="1"/>
        </xdr:cNvSpPr>
      </xdr:nvSpPr>
      <xdr:spPr>
        <a:xfrm>
          <a:off x="447675" y="40862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一般型</a:t>
          </a:r>
        </a:p>
      </xdr:txBody>
    </xdr:sp>
    <xdr:clientData/>
  </xdr:oneCellAnchor>
  <xdr:oneCellAnchor>
    <xdr:from>
      <xdr:col>2</xdr:col>
      <xdr:colOff>0</xdr:colOff>
      <xdr:row>19</xdr:row>
      <xdr:rowOff>142875</xdr:rowOff>
    </xdr:from>
    <xdr:ext cx="771525" cy="238125"/>
    <xdr:sp>
      <xdr:nvSpPr>
        <xdr:cNvPr id="5" name="テキスト ボックス 16"/>
        <xdr:cNvSpPr txBox="1">
          <a:spLocks noChangeArrowheads="1"/>
        </xdr:cNvSpPr>
      </xdr:nvSpPr>
      <xdr:spPr>
        <a:xfrm>
          <a:off x="457200" y="3733800"/>
          <a:ext cx="771525" cy="238125"/>
        </a:xfrm>
        <a:prstGeom prst="rect">
          <a:avLst/>
        </a:prstGeom>
        <a:solidFill>
          <a:srgbClr val="FDEAD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事業類型型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Ⅱ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0</xdr:colOff>
      <xdr:row>41</xdr:row>
      <xdr:rowOff>0</xdr:rowOff>
    </xdr:from>
    <xdr:to>
      <xdr:col>16</xdr:col>
      <xdr:colOff>9525</xdr:colOff>
      <xdr:row>41</xdr:row>
      <xdr:rowOff>9525</xdr:rowOff>
    </xdr:to>
    <xdr:pic>
      <xdr:nvPicPr>
        <xdr:cNvPr id="1" name="図 2" descr="http://aw.dw.impact-ad.jp/c/blue.velvet/?ac=70&amp;p=OSHIETExBADGE300_1&amp;w=300&amp;h=250&amp;if=0&amp;fv=3&amp;url=http%3A%2F%2Foshiete.goo.ne.jp%2Fqa%2F1099309.html&amp;ref=http%3A%2F%2Fsearch.yahoo.co.jp%2Fsearch%3Fp%3D%2523div%252F0%2521%2B%25E8%25A1%25A8%25E7%25A4%25BA%25E3%2581%2597%25E3%2581%25AA%25E3%2581%2584%26search.x%3D1%26fr%3Dtop_ga1_sa%26tid%3Dtop_ga1_sa%26ei%3DUTF-8%26aq%3D2%26oq%3D%2523div&amp;ss=42868345&amp;v=1.8.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83550" y="1484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</xdr:colOff>
      <xdr:row>41</xdr:row>
      <xdr:rowOff>0</xdr:rowOff>
    </xdr:from>
    <xdr:to>
      <xdr:col>16</xdr:col>
      <xdr:colOff>28575</xdr:colOff>
      <xdr:row>41</xdr:row>
      <xdr:rowOff>9525</xdr:rowOff>
    </xdr:to>
    <xdr:pic>
      <xdr:nvPicPr>
        <xdr:cNvPr id="2" name="図 3" descr="http://aw.dw.impact-ad.jp/c/blue.velvet/?ac=70&amp;p=OSHIETExBADGE300_2&amp;w=300&amp;h=250&amp;if=0&amp;fv=3&amp;url=http%3A%2F%2Foshiete.goo.ne.jp%2Fqa%2F1099309.html&amp;ref=http%3A%2F%2Fsearch.yahoo.co.jp%2Fsearch%3Fp%3D%2523div%252F0%2521%2B%25E8%25A1%25A8%25E7%25A4%25BA%25E3%2581%2597%25E3%2581%25AA%25E3%2581%2584%26search.x%3D1%26fr%3Dtop_ga1_sa%26tid%3Dtop_ga1_sa%26ei%3DUTF-8%26aq%3D2%26oq%3D%2523div&amp;ss=51776368&amp;v=1.8.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802600" y="1484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41</xdr:row>
      <xdr:rowOff>0</xdr:rowOff>
    </xdr:from>
    <xdr:to>
      <xdr:col>16</xdr:col>
      <xdr:colOff>47625</xdr:colOff>
      <xdr:row>41</xdr:row>
      <xdr:rowOff>9525</xdr:rowOff>
    </xdr:to>
    <xdr:pic>
      <xdr:nvPicPr>
        <xdr:cNvPr id="3" name="図 4" descr="http://aw.dw.impact-ad.jp/c/blue.velvet/?ac=70&amp;p=OSHIETExLONG&amp;w=728&amp;h=90&amp;if=0&amp;fv=3&amp;url=http%3A%2F%2Foshiete.goo.ne.jp%2Fqa%2F1099309.html&amp;ref=http%3A%2F%2Fsearch.yahoo.co.jp%2Fsearch%3Fp%3D%2523div%252F0%2521%2B%25E8%25A1%25A8%25E7%25A4%25BA%25E3%2581%2597%25E3%2581%25AA%25E3%2581%2584%26search.x%3D1%26fr%3Dtop_ga1_sa%26tid%3Dtop_ga1_sa%26ei%3DUTF-8%26aq%3D2%26oq%3D%2523div&amp;ss=69883727&amp;v=1.8.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821650" y="1484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9525</xdr:colOff>
      <xdr:row>41</xdr:row>
      <xdr:rowOff>9525</xdr:rowOff>
    </xdr:to>
    <xdr:pic>
      <xdr:nvPicPr>
        <xdr:cNvPr id="4" name="図 2" descr="http://aw.dw.impact-ad.jp/c/blue.velvet/?ac=70&amp;p=OSHIETExBADGE300_1&amp;w=300&amp;h=250&amp;if=0&amp;fv=3&amp;url=http%3A%2F%2Foshiete.goo.ne.jp%2Fqa%2F1099309.html&amp;ref=http%3A%2F%2Fsearch.yahoo.co.jp%2Fsearch%3Fp%3D%2523div%252F0%2521%2B%25E8%25A1%25A8%25E7%25A4%25BA%25E3%2581%2597%25E3%2581%25AA%25E3%2581%2584%26search.x%3D1%26fr%3Dtop_ga1_sa%26tid%3Dtop_ga1_sa%26ei%3DUTF-8%26aq%3D2%26oq%3D%2523div&amp;ss=42868345&amp;v=1.8.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21375" y="1484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19050</xdr:colOff>
      <xdr:row>41</xdr:row>
      <xdr:rowOff>0</xdr:rowOff>
    </xdr:from>
    <xdr:to>
      <xdr:col>15</xdr:col>
      <xdr:colOff>28575</xdr:colOff>
      <xdr:row>41</xdr:row>
      <xdr:rowOff>9525</xdr:rowOff>
    </xdr:to>
    <xdr:pic>
      <xdr:nvPicPr>
        <xdr:cNvPr id="5" name="図 3" descr="http://aw.dw.impact-ad.jp/c/blue.velvet/?ac=70&amp;p=OSHIETExBADGE300_2&amp;w=300&amp;h=250&amp;if=0&amp;fv=3&amp;url=http%3A%2F%2Foshiete.goo.ne.jp%2Fqa%2F1099309.html&amp;ref=http%3A%2F%2Fsearch.yahoo.co.jp%2Fsearch%3Fp%3D%2523div%252F0%2521%2B%25E8%25A1%25A8%25E7%25A4%25BA%25E3%2581%2597%25E3%2581%25AA%25E3%2581%2584%26search.x%3D1%26fr%3Dtop_ga1_sa%26tid%3Dtop_ga1_sa%26ei%3DUTF-8%26aq%3D2%26oq%3D%2523div&amp;ss=51776368&amp;v=1.8.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484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38100</xdr:colOff>
      <xdr:row>41</xdr:row>
      <xdr:rowOff>0</xdr:rowOff>
    </xdr:from>
    <xdr:to>
      <xdr:col>15</xdr:col>
      <xdr:colOff>57150</xdr:colOff>
      <xdr:row>41</xdr:row>
      <xdr:rowOff>9525</xdr:rowOff>
    </xdr:to>
    <xdr:pic>
      <xdr:nvPicPr>
        <xdr:cNvPr id="6" name="図 4" descr="http://aw.dw.impact-ad.jp/c/blue.velvet/?ac=70&amp;p=OSHIETExLONG&amp;w=728&amp;h=90&amp;if=0&amp;fv=3&amp;url=http%3A%2F%2Foshiete.goo.ne.jp%2Fqa%2F1099309.html&amp;ref=http%3A%2F%2Fsearch.yahoo.co.jp%2Fsearch%3Fp%3D%2523div%252F0%2521%2B%25E8%25A1%25A8%25E7%25A4%25BA%25E3%2581%2597%25E3%2581%25AA%25E3%2581%2584%26search.x%3D1%26fr%3Dtop_ga1_sa%26tid%3Dtop_ga1_sa%26ei%3DUTF-8%26aq%3D2%26oq%3D%2523div&amp;ss=69883727&amp;v=1.8.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59475" y="1484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2"/>
  <dimension ref="B1:E18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9.5" customHeight="1"/>
  <cols>
    <col min="1" max="1" width="2.57421875" style="0" customWidth="1"/>
    <col min="2" max="2" width="3.7109375" style="0" customWidth="1"/>
    <col min="3" max="3" width="47.8515625" style="0" customWidth="1"/>
  </cols>
  <sheetData>
    <row r="1" spans="2:5" ht="19.5" customHeight="1">
      <c r="B1" s="135" t="s">
        <v>576</v>
      </c>
      <c r="D1" s="57"/>
      <c r="E1" s="57"/>
    </row>
    <row r="2" spans="2:5" ht="19.5" customHeight="1">
      <c r="B2" s="135"/>
      <c r="D2" s="57"/>
      <c r="E2" s="57"/>
    </row>
    <row r="3" spans="2:5" ht="19.5" customHeight="1">
      <c r="B3" t="s">
        <v>580</v>
      </c>
      <c r="C3" s="57"/>
      <c r="D3" s="57"/>
      <c r="E3" s="57"/>
    </row>
    <row r="4" spans="2:3" ht="19.5" customHeight="1" thickBot="1">
      <c r="B4" s="136" t="s">
        <v>31</v>
      </c>
      <c r="C4" s="136" t="s">
        <v>577</v>
      </c>
    </row>
    <row r="5" spans="2:3" ht="19.5" customHeight="1" thickTop="1">
      <c r="B5" s="137">
        <v>1</v>
      </c>
      <c r="C5" s="138" t="s">
        <v>576</v>
      </c>
    </row>
    <row r="6" spans="2:3" ht="19.5" customHeight="1">
      <c r="B6" s="139">
        <v>2</v>
      </c>
      <c r="C6" s="140" t="s">
        <v>607</v>
      </c>
    </row>
    <row r="7" spans="2:3" ht="19.5" customHeight="1">
      <c r="B7" s="139">
        <v>3</v>
      </c>
      <c r="C7" s="140" t="s">
        <v>637</v>
      </c>
    </row>
    <row r="8" spans="2:3" ht="19.5" customHeight="1">
      <c r="B8" s="209">
        <v>4</v>
      </c>
      <c r="C8" s="140" t="s">
        <v>578</v>
      </c>
    </row>
    <row r="9" spans="2:3" ht="19.5" customHeight="1">
      <c r="B9" s="209">
        <v>5</v>
      </c>
      <c r="C9" s="140" t="s">
        <v>570</v>
      </c>
    </row>
    <row r="10" spans="2:3" ht="19.5" customHeight="1">
      <c r="B10" s="209">
        <v>6</v>
      </c>
      <c r="C10" s="140" t="s">
        <v>555</v>
      </c>
    </row>
    <row r="11" spans="2:3" ht="19.5" customHeight="1">
      <c r="B11" s="209">
        <v>7</v>
      </c>
      <c r="C11" s="140" t="s">
        <v>636</v>
      </c>
    </row>
    <row r="12" spans="2:3" ht="19.5" customHeight="1">
      <c r="B12" s="209">
        <v>8</v>
      </c>
      <c r="C12" s="140" t="s">
        <v>27</v>
      </c>
    </row>
    <row r="13" spans="2:3" ht="19.5" customHeight="1">
      <c r="B13" s="209">
        <v>9</v>
      </c>
      <c r="C13" s="140" t="s">
        <v>630</v>
      </c>
    </row>
    <row r="14" spans="2:3" ht="19.5" customHeight="1">
      <c r="B14" s="209">
        <v>10</v>
      </c>
      <c r="C14" s="140" t="s">
        <v>638</v>
      </c>
    </row>
    <row r="15" spans="2:3" ht="19.5" customHeight="1">
      <c r="B15" s="209">
        <v>11</v>
      </c>
      <c r="C15" s="140" t="s">
        <v>639</v>
      </c>
    </row>
    <row r="16" spans="2:3" ht="19.5" customHeight="1">
      <c r="B16" s="209">
        <v>12</v>
      </c>
      <c r="C16" s="140" t="s">
        <v>30</v>
      </c>
    </row>
    <row r="17" spans="2:3" ht="19.5" customHeight="1">
      <c r="B17" s="209">
        <v>13</v>
      </c>
      <c r="C17" s="140" t="s">
        <v>556</v>
      </c>
    </row>
    <row r="18" spans="2:3" ht="19.5" customHeight="1">
      <c r="B18" s="209">
        <v>14</v>
      </c>
      <c r="C18" s="140" t="s">
        <v>640</v>
      </c>
    </row>
  </sheetData>
  <sheetProtection sheet="1" objects="1" scenarios="1"/>
  <hyperlinks>
    <hyperlink ref="C6" location="'基本情報入力（使い方）'!A1" display="基本情報入力（使い方）"/>
    <hyperlink ref="C7" location="経費明細表!A1" display="経費明細表"/>
    <hyperlink ref="C8" location="日本標準産業分類!A1" display="日本標準産業分類"/>
    <hyperlink ref="C9" location="'機械装置費（50万円以上）'!A1" display="機械装置費（50万円以上）"/>
    <hyperlink ref="C10" location="'機械装置費（50万円未満）'!A1" display="機械装置費（50万円未満）"/>
    <hyperlink ref="C11" location="原材料費!A1" display="原材料費"/>
    <hyperlink ref="C12" location="技術導入費!A1" display="技術導入費"/>
    <hyperlink ref="C13" location="外注加工費!A1" display="外注加工費（小規模型のみ）"/>
    <hyperlink ref="C14" location="委託費!A1" display="委託費"/>
    <hyperlink ref="C15" location="知的財産権等関連経費!A1" display="知的財産権等関連経費"/>
    <hyperlink ref="C16" location="運搬費!A1" display="運搬費"/>
    <hyperlink ref="C17" location="専門家経費!A1" display="専門家経費"/>
    <hyperlink ref="C18" location="クラウド利用費!A1" display="クラウド利用費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6">
    <tabColor rgb="FF92D050"/>
    <pageSetUpPr fitToPage="1"/>
  </sheetPr>
  <dimension ref="A1:R38"/>
  <sheetViews>
    <sheetView showGridLines="0" zoomScaleSheetLayoutView="80" workbookViewId="0" topLeftCell="A1">
      <pane ySplit="3" topLeftCell="A4" activePane="bottomLeft" state="frozen"/>
      <selection pane="topLeft" activeCell="O8" sqref="O8"/>
      <selection pane="bottomLeft" activeCell="A1" sqref="A1"/>
    </sheetView>
  </sheetViews>
  <sheetFormatPr defaultColWidth="9.140625" defaultRowHeight="15"/>
  <cols>
    <col min="1" max="4" width="3.7109375" style="1" customWidth="1"/>
    <col min="5" max="5" width="16.421875" style="82" customWidth="1"/>
    <col min="6" max="6" width="16.140625" style="77" customWidth="1"/>
    <col min="7" max="7" width="9.140625" style="1" customWidth="1"/>
    <col min="8" max="8" width="6.421875" style="1" customWidth="1"/>
    <col min="9" max="9" width="11.57421875" style="1" customWidth="1"/>
    <col min="10" max="10" width="11.57421875" style="98" customWidth="1"/>
    <col min="11" max="13" width="15.140625" style="1" customWidth="1"/>
    <col min="14" max="14" width="3.8515625" style="5" customWidth="1"/>
    <col min="15" max="15" width="5.28125" style="5" customWidth="1"/>
    <col min="16" max="16384" width="9.00390625" style="1" customWidth="1"/>
  </cols>
  <sheetData>
    <row r="1" spans="1:18" ht="13.5">
      <c r="A1" s="5"/>
      <c r="H1" s="5"/>
      <c r="J1" s="1"/>
      <c r="P1" s="5"/>
      <c r="Q1" s="83"/>
      <c r="R1" s="83"/>
    </row>
    <row r="2" spans="1:18" ht="13.5">
      <c r="A2" s="5"/>
      <c r="B2" s="248" t="s">
        <v>579</v>
      </c>
      <c r="H2" s="5"/>
      <c r="J2" s="1"/>
      <c r="P2" s="5"/>
      <c r="Q2" s="83"/>
      <c r="R2" s="83"/>
    </row>
    <row r="3" spans="1:18" ht="13.5">
      <c r="A3" s="5"/>
      <c r="H3" s="5"/>
      <c r="J3" s="1"/>
      <c r="P3" s="5"/>
      <c r="Q3" s="83"/>
      <c r="R3" s="83"/>
    </row>
    <row r="4" spans="1:6" ht="13.5" customHeight="1">
      <c r="A4" s="518" t="s">
        <v>712</v>
      </c>
      <c r="B4" s="518"/>
      <c r="C4" s="518"/>
      <c r="D4" s="518"/>
      <c r="E4" s="518"/>
      <c r="F4" s="5"/>
    </row>
    <row r="5" spans="1:14" ht="13.5" customHeight="1">
      <c r="A5" s="11"/>
      <c r="B5" s="11"/>
      <c r="C5" s="11"/>
      <c r="D5" s="11"/>
      <c r="E5" s="108"/>
      <c r="F5" s="5"/>
      <c r="N5" s="11"/>
    </row>
    <row r="6" spans="1:14" ht="13.5" customHeight="1">
      <c r="A6" s="11"/>
      <c r="B6" s="240" t="s">
        <v>648</v>
      </c>
      <c r="C6" s="241"/>
      <c r="D6" s="242"/>
      <c r="E6" s="243"/>
      <c r="F6" s="85" t="s">
        <v>17</v>
      </c>
      <c r="N6" s="11"/>
    </row>
    <row r="7" spans="1:14" ht="13.5" customHeight="1">
      <c r="A7" s="11"/>
      <c r="B7" s="11"/>
      <c r="C7" s="11"/>
      <c r="D7" s="11"/>
      <c r="E7" s="108"/>
      <c r="F7" s="131" t="s">
        <v>29</v>
      </c>
      <c r="N7" s="11"/>
    </row>
    <row r="8" spans="1:15" ht="13.5" customHeight="1">
      <c r="A8" s="11"/>
      <c r="B8" s="11"/>
      <c r="C8" s="11"/>
      <c r="D8" s="11"/>
      <c r="E8" s="108"/>
      <c r="F8" s="5"/>
      <c r="M8" s="1" t="s">
        <v>21</v>
      </c>
      <c r="N8" s="11"/>
      <c r="O8" s="86"/>
    </row>
    <row r="9" spans="1:14" ht="13.5" customHeight="1">
      <c r="A9" s="87"/>
      <c r="F9" s="5"/>
      <c r="K9" s="2" t="s">
        <v>32</v>
      </c>
      <c r="L9" s="8" t="str">
        <f>IF('基本情報入力（使い方）'!$C$11="","",'基本情報入力（使い方）'!$C$11)</f>
        <v>Ｂ金属株式会社</v>
      </c>
      <c r="N9" s="11"/>
    </row>
    <row r="10" spans="1:14" ht="13.5" customHeight="1" thickBot="1">
      <c r="A10" s="87"/>
      <c r="F10" s="5"/>
      <c r="N10" s="11"/>
    </row>
    <row r="11" spans="1:15" ht="27" customHeight="1">
      <c r="A11" s="519" t="s">
        <v>2</v>
      </c>
      <c r="B11" s="508" t="s">
        <v>3</v>
      </c>
      <c r="C11" s="508"/>
      <c r="D11" s="509"/>
      <c r="E11" s="109" t="s">
        <v>4</v>
      </c>
      <c r="F11" s="3" t="s">
        <v>5</v>
      </c>
      <c r="G11" s="3" t="s">
        <v>6</v>
      </c>
      <c r="H11" s="3" t="s">
        <v>7</v>
      </c>
      <c r="I11" s="3" t="s">
        <v>1</v>
      </c>
      <c r="J11" s="99" t="s">
        <v>1</v>
      </c>
      <c r="K11" s="529" t="s">
        <v>8</v>
      </c>
      <c r="L11" s="509"/>
      <c r="M11" s="80" t="s">
        <v>9</v>
      </c>
      <c r="N11" s="510" t="s">
        <v>2</v>
      </c>
      <c r="O11" s="523" t="s">
        <v>40</v>
      </c>
    </row>
    <row r="12" spans="1:15" ht="42" customHeight="1" thickBot="1">
      <c r="A12" s="520"/>
      <c r="B12" s="89" t="s">
        <v>10</v>
      </c>
      <c r="C12" s="89" t="s">
        <v>11</v>
      </c>
      <c r="D12" s="90" t="s">
        <v>12</v>
      </c>
      <c r="E12" s="110"/>
      <c r="F12" s="92"/>
      <c r="G12" s="78"/>
      <c r="H12" s="78"/>
      <c r="I12" s="78" t="s">
        <v>13</v>
      </c>
      <c r="J12" s="100" t="s">
        <v>25</v>
      </c>
      <c r="K12" s="78" t="s">
        <v>14</v>
      </c>
      <c r="L12" s="4" t="s">
        <v>23</v>
      </c>
      <c r="M12" s="4" t="s">
        <v>15</v>
      </c>
      <c r="N12" s="511"/>
      <c r="O12" s="524"/>
    </row>
    <row r="13" spans="1:15" ht="30.75" customHeight="1">
      <c r="A13" s="182">
        <v>1</v>
      </c>
      <c r="B13" s="514"/>
      <c r="C13" s="515"/>
      <c r="D13" s="515"/>
      <c r="E13" s="70" t="s">
        <v>716</v>
      </c>
      <c r="F13" s="71" t="s">
        <v>717</v>
      </c>
      <c r="G13" s="170"/>
      <c r="H13" s="163" t="s">
        <v>592</v>
      </c>
      <c r="I13" s="145">
        <f>IF(J13="","",ROUNDDOWN(J13*(1+O13/100),0))</f>
        <v>108000</v>
      </c>
      <c r="J13" s="147">
        <v>100000</v>
      </c>
      <c r="K13" s="145">
        <f>IF(L13="","",ROUNDDOWN(L13*(1+O13/100),0))</f>
      </c>
      <c r="L13" s="145">
        <f>IF(OR(J13="",G13=""),"",ROUNDDOWN(J13*G13,0))</f>
      </c>
      <c r="M13" s="146">
        <f aca="true" t="shared" si="0" ref="M13:M32">L13</f>
      </c>
      <c r="N13" s="12">
        <v>1</v>
      </c>
      <c r="O13" s="111">
        <v>8</v>
      </c>
    </row>
    <row r="14" spans="1:15" ht="30.75" customHeight="1">
      <c r="A14" s="183">
        <v>2</v>
      </c>
      <c r="B14" s="514"/>
      <c r="C14" s="515"/>
      <c r="D14" s="515"/>
      <c r="E14" s="72"/>
      <c r="F14" s="71"/>
      <c r="G14" s="170"/>
      <c r="H14" s="163"/>
      <c r="I14" s="145">
        <f aca="true" t="shared" si="1" ref="I14:I32">IF(J14="","",ROUNDDOWN(J14*(1+O14/100),0))</f>
      </c>
      <c r="J14" s="147"/>
      <c r="K14" s="145">
        <f aca="true" t="shared" si="2" ref="K14:K32">IF(L14="","",ROUNDDOWN(L14*(1+O14/100),0))</f>
      </c>
      <c r="L14" s="145">
        <f aca="true" t="shared" si="3" ref="L14:L32">IF(OR(J14="",G14=""),"",ROUNDDOWN(J14*G14,0))</f>
      </c>
      <c r="M14" s="146">
        <f t="shared" si="0"/>
      </c>
      <c r="N14" s="13">
        <v>2</v>
      </c>
      <c r="O14" s="111">
        <v>8</v>
      </c>
    </row>
    <row r="15" spans="1:15" ht="30.75" customHeight="1">
      <c r="A15" s="182">
        <v>3</v>
      </c>
      <c r="B15" s="514"/>
      <c r="C15" s="515"/>
      <c r="D15" s="515"/>
      <c r="E15" s="72"/>
      <c r="F15" s="72"/>
      <c r="G15" s="170"/>
      <c r="H15" s="163"/>
      <c r="I15" s="145">
        <f t="shared" si="1"/>
      </c>
      <c r="J15" s="147"/>
      <c r="K15" s="145">
        <f t="shared" si="2"/>
      </c>
      <c r="L15" s="145">
        <f t="shared" si="3"/>
      </c>
      <c r="M15" s="146">
        <f t="shared" si="0"/>
      </c>
      <c r="N15" s="12">
        <v>3</v>
      </c>
      <c r="O15" s="111">
        <v>8</v>
      </c>
    </row>
    <row r="16" spans="1:15" s="10" customFormat="1" ht="30.75" customHeight="1">
      <c r="A16" s="183">
        <v>4</v>
      </c>
      <c r="B16" s="514"/>
      <c r="C16" s="515"/>
      <c r="D16" s="515"/>
      <c r="E16" s="72"/>
      <c r="F16" s="72"/>
      <c r="G16" s="170"/>
      <c r="H16" s="163"/>
      <c r="I16" s="145">
        <f t="shared" si="1"/>
      </c>
      <c r="J16" s="147"/>
      <c r="K16" s="145">
        <f t="shared" si="2"/>
      </c>
      <c r="L16" s="145">
        <f t="shared" si="3"/>
      </c>
      <c r="M16" s="146">
        <f t="shared" si="0"/>
      </c>
      <c r="N16" s="16">
        <v>4</v>
      </c>
      <c r="O16" s="111">
        <v>8</v>
      </c>
    </row>
    <row r="17" spans="1:15" s="10" customFormat="1" ht="30.75" customHeight="1">
      <c r="A17" s="182">
        <v>5</v>
      </c>
      <c r="B17" s="514"/>
      <c r="C17" s="515"/>
      <c r="D17" s="515"/>
      <c r="E17" s="72"/>
      <c r="F17" s="72"/>
      <c r="G17" s="170"/>
      <c r="H17" s="163"/>
      <c r="I17" s="145">
        <f t="shared" si="1"/>
      </c>
      <c r="J17" s="147"/>
      <c r="K17" s="145">
        <f t="shared" si="2"/>
      </c>
      <c r="L17" s="145">
        <f t="shared" si="3"/>
      </c>
      <c r="M17" s="146">
        <f t="shared" si="0"/>
      </c>
      <c r="N17" s="17">
        <v>5</v>
      </c>
      <c r="O17" s="111">
        <v>8</v>
      </c>
    </row>
    <row r="18" spans="1:15" ht="30.75" customHeight="1">
      <c r="A18" s="183">
        <v>6</v>
      </c>
      <c r="B18" s="514"/>
      <c r="C18" s="515"/>
      <c r="D18" s="515"/>
      <c r="E18" s="72"/>
      <c r="F18" s="72"/>
      <c r="G18" s="170"/>
      <c r="H18" s="163"/>
      <c r="I18" s="145">
        <f t="shared" si="1"/>
      </c>
      <c r="J18" s="147"/>
      <c r="K18" s="145">
        <f t="shared" si="2"/>
      </c>
      <c r="L18" s="145">
        <f t="shared" si="3"/>
      </c>
      <c r="M18" s="146">
        <f t="shared" si="0"/>
      </c>
      <c r="N18" s="13">
        <v>6</v>
      </c>
      <c r="O18" s="111">
        <v>8</v>
      </c>
    </row>
    <row r="19" spans="1:15" ht="30.75" customHeight="1">
      <c r="A19" s="182">
        <v>7</v>
      </c>
      <c r="B19" s="514"/>
      <c r="C19" s="515"/>
      <c r="D19" s="515"/>
      <c r="E19" s="72"/>
      <c r="F19" s="95"/>
      <c r="G19" s="170"/>
      <c r="H19" s="163"/>
      <c r="I19" s="145">
        <f t="shared" si="1"/>
      </c>
      <c r="J19" s="147"/>
      <c r="K19" s="145">
        <f t="shared" si="2"/>
      </c>
      <c r="L19" s="145">
        <f t="shared" si="3"/>
      </c>
      <c r="M19" s="146">
        <f t="shared" si="0"/>
      </c>
      <c r="N19" s="12">
        <v>7</v>
      </c>
      <c r="O19" s="111">
        <v>8</v>
      </c>
    </row>
    <row r="20" spans="1:15" ht="30.75" customHeight="1">
      <c r="A20" s="183">
        <v>8</v>
      </c>
      <c r="B20" s="514"/>
      <c r="C20" s="515"/>
      <c r="D20" s="515"/>
      <c r="E20" s="72"/>
      <c r="F20" s="72"/>
      <c r="G20" s="170"/>
      <c r="H20" s="163"/>
      <c r="I20" s="145">
        <f t="shared" si="1"/>
      </c>
      <c r="J20" s="147"/>
      <c r="K20" s="145">
        <f t="shared" si="2"/>
      </c>
      <c r="L20" s="145">
        <f t="shared" si="3"/>
      </c>
      <c r="M20" s="146">
        <f t="shared" si="0"/>
      </c>
      <c r="N20" s="13">
        <v>8</v>
      </c>
      <c r="O20" s="111">
        <v>8</v>
      </c>
    </row>
    <row r="21" spans="1:15" ht="30.75" customHeight="1">
      <c r="A21" s="182">
        <v>9</v>
      </c>
      <c r="B21" s="514"/>
      <c r="C21" s="515"/>
      <c r="D21" s="515"/>
      <c r="E21" s="72"/>
      <c r="F21" s="72"/>
      <c r="G21" s="170"/>
      <c r="H21" s="163"/>
      <c r="I21" s="145">
        <f t="shared" si="1"/>
      </c>
      <c r="J21" s="147"/>
      <c r="K21" s="145">
        <f t="shared" si="2"/>
      </c>
      <c r="L21" s="145">
        <f t="shared" si="3"/>
      </c>
      <c r="M21" s="146">
        <f t="shared" si="0"/>
      </c>
      <c r="N21" s="12">
        <v>9</v>
      </c>
      <c r="O21" s="111">
        <v>8</v>
      </c>
    </row>
    <row r="22" spans="1:15" ht="30.75" customHeight="1">
      <c r="A22" s="183">
        <v>10</v>
      </c>
      <c r="B22" s="514"/>
      <c r="C22" s="515"/>
      <c r="D22" s="515"/>
      <c r="E22" s="72"/>
      <c r="F22" s="72"/>
      <c r="G22" s="170"/>
      <c r="H22" s="163"/>
      <c r="I22" s="145">
        <f t="shared" si="1"/>
      </c>
      <c r="J22" s="147"/>
      <c r="K22" s="145">
        <f t="shared" si="2"/>
      </c>
      <c r="L22" s="145">
        <f t="shared" si="3"/>
      </c>
      <c r="M22" s="146">
        <f t="shared" si="0"/>
      </c>
      <c r="N22" s="13">
        <v>10</v>
      </c>
      <c r="O22" s="111">
        <v>8</v>
      </c>
    </row>
    <row r="23" spans="1:16" ht="30.75" customHeight="1">
      <c r="A23" s="182">
        <v>11</v>
      </c>
      <c r="B23" s="514"/>
      <c r="C23" s="515"/>
      <c r="D23" s="515"/>
      <c r="E23" s="72"/>
      <c r="F23" s="72"/>
      <c r="G23" s="170"/>
      <c r="H23" s="163"/>
      <c r="I23" s="145">
        <f t="shared" si="1"/>
      </c>
      <c r="J23" s="147"/>
      <c r="K23" s="145">
        <f t="shared" si="2"/>
      </c>
      <c r="L23" s="145">
        <f t="shared" si="3"/>
      </c>
      <c r="M23" s="146">
        <f t="shared" si="0"/>
      </c>
      <c r="N23" s="12">
        <v>11</v>
      </c>
      <c r="O23" s="111">
        <v>8</v>
      </c>
      <c r="P23" s="83"/>
    </row>
    <row r="24" spans="1:15" ht="30.75" customHeight="1">
      <c r="A24" s="183">
        <v>12</v>
      </c>
      <c r="B24" s="514"/>
      <c r="C24" s="515"/>
      <c r="D24" s="515"/>
      <c r="E24" s="72"/>
      <c r="F24" s="72"/>
      <c r="G24" s="170"/>
      <c r="H24" s="163"/>
      <c r="I24" s="145">
        <f t="shared" si="1"/>
      </c>
      <c r="J24" s="147"/>
      <c r="K24" s="145">
        <f t="shared" si="2"/>
      </c>
      <c r="L24" s="145">
        <f t="shared" si="3"/>
      </c>
      <c r="M24" s="146">
        <f t="shared" si="0"/>
      </c>
      <c r="N24" s="13">
        <v>12</v>
      </c>
      <c r="O24" s="111">
        <v>8</v>
      </c>
    </row>
    <row r="25" spans="1:15" ht="30.75" customHeight="1">
      <c r="A25" s="182">
        <v>13</v>
      </c>
      <c r="B25" s="514"/>
      <c r="C25" s="515"/>
      <c r="D25" s="515"/>
      <c r="E25" s="72"/>
      <c r="F25" s="72"/>
      <c r="G25" s="170"/>
      <c r="H25" s="163"/>
      <c r="I25" s="145">
        <f t="shared" si="1"/>
      </c>
      <c r="J25" s="147"/>
      <c r="K25" s="145">
        <f t="shared" si="2"/>
      </c>
      <c r="L25" s="145">
        <f t="shared" si="3"/>
      </c>
      <c r="M25" s="146">
        <f t="shared" si="0"/>
      </c>
      <c r="N25" s="12">
        <v>13</v>
      </c>
      <c r="O25" s="111">
        <v>8</v>
      </c>
    </row>
    <row r="26" spans="1:15" ht="30.75" customHeight="1">
      <c r="A26" s="183">
        <v>14</v>
      </c>
      <c r="B26" s="514"/>
      <c r="C26" s="515"/>
      <c r="D26" s="515"/>
      <c r="E26" s="73"/>
      <c r="F26" s="72"/>
      <c r="G26" s="170"/>
      <c r="H26" s="163"/>
      <c r="I26" s="145">
        <f t="shared" si="1"/>
      </c>
      <c r="J26" s="147"/>
      <c r="K26" s="145">
        <f t="shared" si="2"/>
      </c>
      <c r="L26" s="145">
        <f t="shared" si="3"/>
      </c>
      <c r="M26" s="146">
        <f t="shared" si="0"/>
      </c>
      <c r="N26" s="13">
        <v>14</v>
      </c>
      <c r="O26" s="111">
        <v>8</v>
      </c>
    </row>
    <row r="27" spans="1:15" ht="30.75" customHeight="1">
      <c r="A27" s="182">
        <v>15</v>
      </c>
      <c r="B27" s="514"/>
      <c r="C27" s="515"/>
      <c r="D27" s="515"/>
      <c r="E27" s="73"/>
      <c r="F27" s="72"/>
      <c r="G27" s="170"/>
      <c r="H27" s="163"/>
      <c r="I27" s="145">
        <f t="shared" si="1"/>
      </c>
      <c r="J27" s="147"/>
      <c r="K27" s="145">
        <f t="shared" si="2"/>
      </c>
      <c r="L27" s="145">
        <f t="shared" si="3"/>
      </c>
      <c r="M27" s="146">
        <f t="shared" si="0"/>
      </c>
      <c r="N27" s="12">
        <v>15</v>
      </c>
      <c r="O27" s="111">
        <v>8</v>
      </c>
    </row>
    <row r="28" spans="1:15" ht="30.75" customHeight="1">
      <c r="A28" s="183">
        <v>16</v>
      </c>
      <c r="B28" s="514"/>
      <c r="C28" s="515"/>
      <c r="D28" s="515"/>
      <c r="E28" s="72"/>
      <c r="F28" s="72"/>
      <c r="G28" s="170"/>
      <c r="H28" s="163"/>
      <c r="I28" s="145">
        <f t="shared" si="1"/>
      </c>
      <c r="J28" s="147"/>
      <c r="K28" s="145">
        <f t="shared" si="2"/>
      </c>
      <c r="L28" s="145">
        <f t="shared" si="3"/>
      </c>
      <c r="M28" s="146">
        <f t="shared" si="0"/>
      </c>
      <c r="N28" s="13">
        <v>16</v>
      </c>
      <c r="O28" s="111">
        <v>8</v>
      </c>
    </row>
    <row r="29" spans="1:15" ht="30.75" customHeight="1">
      <c r="A29" s="182">
        <v>17</v>
      </c>
      <c r="B29" s="514"/>
      <c r="C29" s="515"/>
      <c r="D29" s="515"/>
      <c r="E29" s="72"/>
      <c r="F29" s="72"/>
      <c r="G29" s="170"/>
      <c r="H29" s="163"/>
      <c r="I29" s="145">
        <f t="shared" si="1"/>
      </c>
      <c r="J29" s="147"/>
      <c r="K29" s="145">
        <f t="shared" si="2"/>
      </c>
      <c r="L29" s="145">
        <f t="shared" si="3"/>
      </c>
      <c r="M29" s="146">
        <f t="shared" si="0"/>
      </c>
      <c r="N29" s="12">
        <v>17</v>
      </c>
      <c r="O29" s="111">
        <v>8</v>
      </c>
    </row>
    <row r="30" spans="1:15" ht="30.75" customHeight="1">
      <c r="A30" s="183">
        <v>18</v>
      </c>
      <c r="B30" s="514"/>
      <c r="C30" s="515"/>
      <c r="D30" s="515"/>
      <c r="E30" s="72"/>
      <c r="F30" s="72"/>
      <c r="G30" s="170"/>
      <c r="H30" s="163"/>
      <c r="I30" s="145">
        <f t="shared" si="1"/>
      </c>
      <c r="J30" s="147"/>
      <c r="K30" s="145">
        <f t="shared" si="2"/>
      </c>
      <c r="L30" s="145">
        <f t="shared" si="3"/>
      </c>
      <c r="M30" s="146">
        <f t="shared" si="0"/>
      </c>
      <c r="N30" s="13">
        <v>18</v>
      </c>
      <c r="O30" s="111">
        <v>8</v>
      </c>
    </row>
    <row r="31" spans="1:15" ht="30.75" customHeight="1">
      <c r="A31" s="182">
        <v>19</v>
      </c>
      <c r="B31" s="514"/>
      <c r="C31" s="515"/>
      <c r="D31" s="515"/>
      <c r="E31" s="73"/>
      <c r="F31" s="72"/>
      <c r="G31" s="170"/>
      <c r="H31" s="163"/>
      <c r="I31" s="145">
        <f t="shared" si="1"/>
      </c>
      <c r="J31" s="147"/>
      <c r="K31" s="145">
        <f t="shared" si="2"/>
      </c>
      <c r="L31" s="145">
        <f t="shared" si="3"/>
      </c>
      <c r="M31" s="146">
        <f t="shared" si="0"/>
      </c>
      <c r="N31" s="12">
        <v>19</v>
      </c>
      <c r="O31" s="111">
        <v>8</v>
      </c>
    </row>
    <row r="32" spans="1:15" ht="30.75" customHeight="1" thickBot="1">
      <c r="A32" s="184">
        <v>20</v>
      </c>
      <c r="B32" s="521"/>
      <c r="C32" s="522"/>
      <c r="D32" s="522"/>
      <c r="E32" s="76"/>
      <c r="F32" s="76"/>
      <c r="G32" s="173"/>
      <c r="H32" s="165"/>
      <c r="I32" s="148">
        <f t="shared" si="1"/>
      </c>
      <c r="J32" s="149"/>
      <c r="K32" s="148">
        <f t="shared" si="2"/>
      </c>
      <c r="L32" s="148">
        <f t="shared" si="3"/>
      </c>
      <c r="M32" s="150">
        <f t="shared" si="0"/>
      </c>
      <c r="N32" s="25">
        <v>20</v>
      </c>
      <c r="O32" s="112">
        <v>8</v>
      </c>
    </row>
    <row r="33" spans="1:14" ht="21" customHeight="1" thickBot="1">
      <c r="A33" s="516" t="s">
        <v>16</v>
      </c>
      <c r="B33" s="517"/>
      <c r="C33" s="517"/>
      <c r="D33" s="517"/>
      <c r="E33" s="517"/>
      <c r="F33" s="517"/>
      <c r="G33" s="517"/>
      <c r="H33" s="517"/>
      <c r="I33" s="517"/>
      <c r="J33" s="18"/>
      <c r="K33" s="157">
        <f>SUM(K13:K32)</f>
        <v>0</v>
      </c>
      <c r="L33" s="157">
        <f>SUM(L13:L32)</f>
        <v>0</v>
      </c>
      <c r="M33" s="158">
        <f>SUM(M13:M32)</f>
        <v>0</v>
      </c>
      <c r="N33" s="14"/>
    </row>
    <row r="34" spans="1:14" ht="13.5" customHeight="1">
      <c r="A34" s="87"/>
      <c r="N34" s="11"/>
    </row>
    <row r="35" spans="2:14" ht="13.5" customHeight="1">
      <c r="B35" s="1" t="s">
        <v>18</v>
      </c>
      <c r="D35" s="87"/>
      <c r="E35" s="77" t="s">
        <v>33</v>
      </c>
      <c r="N35" s="11"/>
    </row>
    <row r="36" spans="1:15" s="77" customFormat="1" ht="13.5" customHeight="1">
      <c r="A36" s="1"/>
      <c r="B36" s="1"/>
      <c r="C36" s="1"/>
      <c r="D36" s="1"/>
      <c r="E36" s="77" t="s">
        <v>34</v>
      </c>
      <c r="G36" s="1"/>
      <c r="H36" s="1"/>
      <c r="I36" s="1"/>
      <c r="J36" s="98"/>
      <c r="K36" s="1"/>
      <c r="L36" s="1"/>
      <c r="M36" s="1"/>
      <c r="N36" s="15"/>
      <c r="O36" s="5"/>
    </row>
    <row r="37" spans="1:15" s="77" customFormat="1" ht="13.5" customHeight="1">
      <c r="A37" s="1"/>
      <c r="B37" s="1" t="s">
        <v>19</v>
      </c>
      <c r="C37" s="1"/>
      <c r="D37" s="1"/>
      <c r="E37" s="77" t="s">
        <v>35</v>
      </c>
      <c r="G37" s="1"/>
      <c r="H37" s="1"/>
      <c r="I37" s="1"/>
      <c r="J37" s="98"/>
      <c r="K37" s="1"/>
      <c r="L37" s="1"/>
      <c r="M37" s="1"/>
      <c r="N37" s="5"/>
      <c r="O37" s="5"/>
    </row>
    <row r="38" spans="1:15" s="77" customFormat="1" ht="13.5" customHeight="1">
      <c r="A38" s="1"/>
      <c r="B38" s="1" t="s">
        <v>20</v>
      </c>
      <c r="C38" s="1"/>
      <c r="D38" s="1"/>
      <c r="E38" s="77" t="s">
        <v>36</v>
      </c>
      <c r="G38" s="1"/>
      <c r="H38" s="1"/>
      <c r="I38" s="1"/>
      <c r="J38" s="98"/>
      <c r="K38" s="1"/>
      <c r="L38" s="1"/>
      <c r="M38" s="1"/>
      <c r="N38" s="5"/>
      <c r="O38" s="5"/>
    </row>
  </sheetData>
  <sheetProtection sheet="1" objects="1" scenarios="1"/>
  <mergeCells count="27">
    <mergeCell ref="A4:E4"/>
    <mergeCell ref="A11:A12"/>
    <mergeCell ref="B11:D11"/>
    <mergeCell ref="K11:L11"/>
    <mergeCell ref="N11:N12"/>
    <mergeCell ref="O11:O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31:D31"/>
    <mergeCell ref="B32:D32"/>
    <mergeCell ref="A33:I33"/>
    <mergeCell ref="B25:D25"/>
    <mergeCell ref="B26:D26"/>
    <mergeCell ref="B27:D27"/>
    <mergeCell ref="B28:D28"/>
    <mergeCell ref="B29:D29"/>
    <mergeCell ref="B30:D30"/>
  </mergeCells>
  <dataValidations count="2">
    <dataValidation allowBlank="1" showInputMessage="1" showErrorMessage="1" imeMode="halfAlpha" sqref="I13:M32"/>
    <dataValidation allowBlank="1" showInputMessage="1" showErrorMessage="1" imeMode="hiragana" sqref="L9"/>
  </dataValidations>
  <hyperlinks>
    <hyperlink ref="B2" location="経費明細表!A1" display="戻る"/>
  </hyperlinks>
  <printOptions/>
  <pageMargins left="0.8661417322834646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7">
    <tabColor rgb="FF92D050"/>
    <pageSetUpPr fitToPage="1"/>
  </sheetPr>
  <dimension ref="A1:R38"/>
  <sheetViews>
    <sheetView showGridLines="0" zoomScaleSheetLayoutView="80" workbookViewId="0" topLeftCell="A1">
      <pane ySplit="3" topLeftCell="A4" activePane="bottomLeft" state="frozen"/>
      <selection pane="topLeft" activeCell="O8" sqref="O8"/>
      <selection pane="bottomLeft" activeCell="A1" sqref="A1"/>
    </sheetView>
  </sheetViews>
  <sheetFormatPr defaultColWidth="9.140625" defaultRowHeight="15"/>
  <cols>
    <col min="1" max="4" width="3.7109375" style="1" customWidth="1"/>
    <col min="5" max="5" width="16.421875" style="77" customWidth="1"/>
    <col min="6" max="6" width="16.140625" style="77" customWidth="1"/>
    <col min="7" max="7" width="9.140625" style="1" customWidth="1"/>
    <col min="8" max="8" width="6.421875" style="1" customWidth="1"/>
    <col min="9" max="10" width="11.57421875" style="1" customWidth="1"/>
    <col min="11" max="13" width="15.140625" style="1" customWidth="1"/>
    <col min="14" max="14" width="3.8515625" style="5" customWidth="1"/>
    <col min="15" max="15" width="5.28125" style="5" customWidth="1"/>
    <col min="16" max="16384" width="9.00390625" style="1" customWidth="1"/>
  </cols>
  <sheetData>
    <row r="1" spans="1:18" ht="13.5">
      <c r="A1" s="5"/>
      <c r="E1" s="82"/>
      <c r="H1" s="5"/>
      <c r="P1" s="5"/>
      <c r="Q1" s="83"/>
      <c r="R1" s="83"/>
    </row>
    <row r="2" spans="1:18" ht="13.5">
      <c r="A2" s="5"/>
      <c r="B2" s="248" t="s">
        <v>579</v>
      </c>
      <c r="E2" s="82"/>
      <c r="H2" s="5"/>
      <c r="P2" s="5"/>
      <c r="Q2" s="83"/>
      <c r="R2" s="83"/>
    </row>
    <row r="3" spans="1:18" ht="13.5">
      <c r="A3" s="5"/>
      <c r="E3" s="82"/>
      <c r="H3" s="5"/>
      <c r="P3" s="5"/>
      <c r="Q3" s="83"/>
      <c r="R3" s="83"/>
    </row>
    <row r="4" spans="1:6" ht="13.5" customHeight="1">
      <c r="A4" s="518" t="s">
        <v>712</v>
      </c>
      <c r="B4" s="518"/>
      <c r="C4" s="518"/>
      <c r="D4" s="518"/>
      <c r="E4" s="518"/>
      <c r="F4" s="5"/>
    </row>
    <row r="5" spans="1:14" ht="13.5" customHeight="1">
      <c r="A5" s="11"/>
      <c r="B5" s="11"/>
      <c r="C5" s="11"/>
      <c r="D5" s="11"/>
      <c r="E5" s="84"/>
      <c r="F5" s="5"/>
      <c r="N5" s="11"/>
    </row>
    <row r="6" spans="1:14" ht="13.5" customHeight="1">
      <c r="A6" s="11"/>
      <c r="B6" s="240" t="s">
        <v>648</v>
      </c>
      <c r="C6" s="241"/>
      <c r="D6" s="242"/>
      <c r="E6" s="243"/>
      <c r="F6" s="85" t="s">
        <v>17</v>
      </c>
      <c r="N6" s="11"/>
    </row>
    <row r="7" spans="1:14" ht="13.5" customHeight="1">
      <c r="A7" s="11"/>
      <c r="B7" s="11"/>
      <c r="C7" s="11"/>
      <c r="D7" s="11"/>
      <c r="E7" s="84"/>
      <c r="F7" s="131" t="s">
        <v>28</v>
      </c>
      <c r="N7" s="84"/>
    </row>
    <row r="8" spans="1:15" ht="13.5" customHeight="1">
      <c r="A8" s="11"/>
      <c r="B8" s="11"/>
      <c r="C8" s="11"/>
      <c r="D8" s="11"/>
      <c r="E8" s="84"/>
      <c r="F8" s="5"/>
      <c r="M8" s="1" t="s">
        <v>21</v>
      </c>
      <c r="N8" s="11"/>
      <c r="O8" s="86"/>
    </row>
    <row r="9" spans="1:14" ht="13.5" customHeight="1">
      <c r="A9" s="87"/>
      <c r="F9" s="5"/>
      <c r="K9" s="2" t="s">
        <v>527</v>
      </c>
      <c r="L9" s="77" t="str">
        <f>IF('基本情報入力（使い方）'!$C$11="","",'基本情報入力（使い方）'!$C$11)</f>
        <v>Ｂ金属株式会社</v>
      </c>
      <c r="M9" s="56"/>
      <c r="N9" s="11"/>
    </row>
    <row r="10" spans="1:14" ht="13.5" customHeight="1" thickBot="1">
      <c r="A10" s="87"/>
      <c r="F10" s="5"/>
      <c r="N10" s="11"/>
    </row>
    <row r="11" spans="1:15" ht="27" customHeight="1">
      <c r="A11" s="519" t="s">
        <v>2</v>
      </c>
      <c r="B11" s="508" t="s">
        <v>3</v>
      </c>
      <c r="C11" s="508"/>
      <c r="D11" s="509"/>
      <c r="E11" s="3" t="s">
        <v>4</v>
      </c>
      <c r="F11" s="3" t="s">
        <v>5</v>
      </c>
      <c r="G11" s="3" t="s">
        <v>6</v>
      </c>
      <c r="H11" s="3" t="s">
        <v>7</v>
      </c>
      <c r="I11" s="3" t="s">
        <v>1</v>
      </c>
      <c r="J11" s="3" t="s">
        <v>1</v>
      </c>
      <c r="K11" s="529" t="s">
        <v>8</v>
      </c>
      <c r="L11" s="509"/>
      <c r="M11" s="80" t="s">
        <v>9</v>
      </c>
      <c r="N11" s="510" t="s">
        <v>2</v>
      </c>
      <c r="O11" s="523" t="s">
        <v>40</v>
      </c>
    </row>
    <row r="12" spans="1:15" ht="42" customHeight="1" thickBot="1">
      <c r="A12" s="520"/>
      <c r="B12" s="89" t="s">
        <v>10</v>
      </c>
      <c r="C12" s="89" t="s">
        <v>11</v>
      </c>
      <c r="D12" s="90" t="s">
        <v>12</v>
      </c>
      <c r="E12" s="91"/>
      <c r="F12" s="92"/>
      <c r="G12" s="78"/>
      <c r="H12" s="78"/>
      <c r="I12" s="78" t="s">
        <v>13</v>
      </c>
      <c r="J12" s="78" t="s">
        <v>25</v>
      </c>
      <c r="K12" s="78" t="s">
        <v>14</v>
      </c>
      <c r="L12" s="4" t="s">
        <v>23</v>
      </c>
      <c r="M12" s="4" t="s">
        <v>15</v>
      </c>
      <c r="N12" s="511"/>
      <c r="O12" s="524"/>
    </row>
    <row r="13" spans="1:15" ht="30.75" customHeight="1">
      <c r="A13" s="182">
        <v>1</v>
      </c>
      <c r="B13" s="525">
        <v>42674</v>
      </c>
      <c r="C13" s="526"/>
      <c r="D13" s="526"/>
      <c r="E13" s="93" t="s">
        <v>593</v>
      </c>
      <c r="F13" s="71" t="s">
        <v>594</v>
      </c>
      <c r="G13" s="170">
        <v>2</v>
      </c>
      <c r="H13" s="163" t="s">
        <v>592</v>
      </c>
      <c r="I13" s="145">
        <f>IF(J13="","",ROUNDDOWN(J13*(1+O13/100),0))</f>
        <v>583200</v>
      </c>
      <c r="J13" s="147">
        <v>540000</v>
      </c>
      <c r="K13" s="145">
        <f>IF(L13="","",ROUNDDOWN(L13*(1+O13/100),0))</f>
        <v>1166400</v>
      </c>
      <c r="L13" s="145">
        <f>IF(OR(J13="",G13=""),"",ROUNDDOWN(J13*G13,0))</f>
        <v>1080000</v>
      </c>
      <c r="M13" s="155">
        <f aca="true" t="shared" si="0" ref="M13:M32">L13</f>
        <v>1080000</v>
      </c>
      <c r="N13" s="103">
        <v>1</v>
      </c>
      <c r="O13" s="104">
        <v>8</v>
      </c>
    </row>
    <row r="14" spans="1:15" ht="30.75" customHeight="1">
      <c r="A14" s="183">
        <v>2</v>
      </c>
      <c r="B14" s="514"/>
      <c r="C14" s="515"/>
      <c r="D14" s="515"/>
      <c r="E14" s="94"/>
      <c r="F14" s="72"/>
      <c r="G14" s="170"/>
      <c r="H14" s="163"/>
      <c r="I14" s="145">
        <f aca="true" t="shared" si="1" ref="I14:I32">IF(J14="","",ROUNDDOWN(J14*(1+O14/100),0))</f>
      </c>
      <c r="J14" s="147"/>
      <c r="K14" s="145">
        <f aca="true" t="shared" si="2" ref="K14:K32">IF(L14="","",ROUNDDOWN(L14*(1+O14/100),0))</f>
      </c>
      <c r="L14" s="145">
        <f aca="true" t="shared" si="3" ref="L14:L32">IF(OR(J14="",G14=""),"",ROUNDDOWN(J14*G14,0))</f>
      </c>
      <c r="M14" s="155">
        <f t="shared" si="0"/>
      </c>
      <c r="N14" s="105">
        <v>2</v>
      </c>
      <c r="O14" s="104">
        <v>8</v>
      </c>
    </row>
    <row r="15" spans="1:15" ht="30.75" customHeight="1">
      <c r="A15" s="183">
        <v>3</v>
      </c>
      <c r="B15" s="514"/>
      <c r="C15" s="515"/>
      <c r="D15" s="515"/>
      <c r="E15" s="94"/>
      <c r="F15" s="72"/>
      <c r="G15" s="170"/>
      <c r="H15" s="163"/>
      <c r="I15" s="145">
        <f t="shared" si="1"/>
      </c>
      <c r="J15" s="147"/>
      <c r="K15" s="145">
        <f t="shared" si="2"/>
      </c>
      <c r="L15" s="145">
        <f t="shared" si="3"/>
      </c>
      <c r="M15" s="155">
        <f t="shared" si="0"/>
      </c>
      <c r="N15" s="103">
        <v>3</v>
      </c>
      <c r="O15" s="104">
        <v>8</v>
      </c>
    </row>
    <row r="16" spans="1:15" ht="30.75" customHeight="1">
      <c r="A16" s="183">
        <v>4</v>
      </c>
      <c r="B16" s="514"/>
      <c r="C16" s="515"/>
      <c r="D16" s="515"/>
      <c r="E16" s="94"/>
      <c r="F16" s="72"/>
      <c r="G16" s="170"/>
      <c r="H16" s="163"/>
      <c r="I16" s="145">
        <f t="shared" si="1"/>
      </c>
      <c r="J16" s="147"/>
      <c r="K16" s="145">
        <f t="shared" si="2"/>
      </c>
      <c r="L16" s="145">
        <f t="shared" si="3"/>
      </c>
      <c r="M16" s="155">
        <f t="shared" si="0"/>
      </c>
      <c r="N16" s="105">
        <v>4</v>
      </c>
      <c r="O16" s="104">
        <v>8</v>
      </c>
    </row>
    <row r="17" spans="1:15" ht="30.75" customHeight="1">
      <c r="A17" s="183">
        <v>5</v>
      </c>
      <c r="B17" s="514"/>
      <c r="C17" s="515"/>
      <c r="D17" s="515"/>
      <c r="E17" s="94"/>
      <c r="F17" s="72"/>
      <c r="G17" s="170"/>
      <c r="H17" s="163"/>
      <c r="I17" s="145">
        <f t="shared" si="1"/>
      </c>
      <c r="J17" s="147"/>
      <c r="K17" s="145">
        <f t="shared" si="2"/>
      </c>
      <c r="L17" s="145">
        <f t="shared" si="3"/>
      </c>
      <c r="M17" s="155">
        <f t="shared" si="0"/>
      </c>
      <c r="N17" s="103">
        <v>5</v>
      </c>
      <c r="O17" s="104">
        <v>8</v>
      </c>
    </row>
    <row r="18" spans="1:15" ht="30.75" customHeight="1">
      <c r="A18" s="183">
        <v>6</v>
      </c>
      <c r="B18" s="514"/>
      <c r="C18" s="515"/>
      <c r="D18" s="515"/>
      <c r="E18" s="94"/>
      <c r="F18" s="72"/>
      <c r="G18" s="170"/>
      <c r="H18" s="163"/>
      <c r="I18" s="145">
        <f t="shared" si="1"/>
      </c>
      <c r="J18" s="147"/>
      <c r="K18" s="145">
        <f t="shared" si="2"/>
      </c>
      <c r="L18" s="145">
        <f t="shared" si="3"/>
      </c>
      <c r="M18" s="155">
        <f t="shared" si="0"/>
      </c>
      <c r="N18" s="105">
        <v>6</v>
      </c>
      <c r="O18" s="104">
        <v>8</v>
      </c>
    </row>
    <row r="19" spans="1:15" ht="30.75" customHeight="1">
      <c r="A19" s="183">
        <v>7</v>
      </c>
      <c r="B19" s="514"/>
      <c r="C19" s="515"/>
      <c r="D19" s="515"/>
      <c r="E19" s="94"/>
      <c r="F19" s="95"/>
      <c r="G19" s="170"/>
      <c r="H19" s="163"/>
      <c r="I19" s="145">
        <f t="shared" si="1"/>
      </c>
      <c r="J19" s="147"/>
      <c r="K19" s="145">
        <f t="shared" si="2"/>
      </c>
      <c r="L19" s="145">
        <f t="shared" si="3"/>
      </c>
      <c r="M19" s="155">
        <f t="shared" si="0"/>
      </c>
      <c r="N19" s="103">
        <v>7</v>
      </c>
      <c r="O19" s="104">
        <v>8</v>
      </c>
    </row>
    <row r="20" spans="1:15" ht="30.75" customHeight="1">
      <c r="A20" s="183">
        <v>8</v>
      </c>
      <c r="B20" s="514"/>
      <c r="C20" s="515"/>
      <c r="D20" s="515"/>
      <c r="E20" s="94"/>
      <c r="F20" s="72"/>
      <c r="G20" s="170"/>
      <c r="H20" s="163"/>
      <c r="I20" s="145">
        <f t="shared" si="1"/>
      </c>
      <c r="J20" s="147"/>
      <c r="K20" s="145">
        <f t="shared" si="2"/>
      </c>
      <c r="L20" s="145">
        <f t="shared" si="3"/>
      </c>
      <c r="M20" s="155">
        <f t="shared" si="0"/>
      </c>
      <c r="N20" s="105">
        <v>8</v>
      </c>
      <c r="O20" s="104">
        <v>8</v>
      </c>
    </row>
    <row r="21" spans="1:15" ht="30.75" customHeight="1">
      <c r="A21" s="183">
        <v>9</v>
      </c>
      <c r="B21" s="514"/>
      <c r="C21" s="515"/>
      <c r="D21" s="515"/>
      <c r="E21" s="94"/>
      <c r="F21" s="72"/>
      <c r="G21" s="170"/>
      <c r="H21" s="163"/>
      <c r="I21" s="145">
        <f t="shared" si="1"/>
      </c>
      <c r="J21" s="147"/>
      <c r="K21" s="145">
        <f t="shared" si="2"/>
      </c>
      <c r="L21" s="145">
        <f t="shared" si="3"/>
      </c>
      <c r="M21" s="155">
        <f t="shared" si="0"/>
      </c>
      <c r="N21" s="103">
        <v>9</v>
      </c>
      <c r="O21" s="104">
        <v>8</v>
      </c>
    </row>
    <row r="22" spans="1:15" ht="30.75" customHeight="1">
      <c r="A22" s="183">
        <v>10</v>
      </c>
      <c r="B22" s="514"/>
      <c r="C22" s="515"/>
      <c r="D22" s="515"/>
      <c r="E22" s="94"/>
      <c r="F22" s="72"/>
      <c r="G22" s="170"/>
      <c r="H22" s="163"/>
      <c r="I22" s="145">
        <f t="shared" si="1"/>
      </c>
      <c r="J22" s="147"/>
      <c r="K22" s="145">
        <f t="shared" si="2"/>
      </c>
      <c r="L22" s="145">
        <f t="shared" si="3"/>
      </c>
      <c r="M22" s="155">
        <f t="shared" si="0"/>
      </c>
      <c r="N22" s="105">
        <v>10</v>
      </c>
      <c r="O22" s="104">
        <v>8</v>
      </c>
    </row>
    <row r="23" spans="1:15" ht="30.75" customHeight="1">
      <c r="A23" s="183">
        <v>11</v>
      </c>
      <c r="B23" s="514"/>
      <c r="C23" s="515"/>
      <c r="D23" s="515"/>
      <c r="E23" s="94"/>
      <c r="F23" s="72"/>
      <c r="G23" s="170"/>
      <c r="H23" s="163"/>
      <c r="I23" s="145">
        <f t="shared" si="1"/>
      </c>
      <c r="J23" s="147"/>
      <c r="K23" s="145">
        <f t="shared" si="2"/>
      </c>
      <c r="L23" s="145">
        <f t="shared" si="3"/>
      </c>
      <c r="M23" s="155">
        <f t="shared" si="0"/>
      </c>
      <c r="N23" s="103">
        <v>11</v>
      </c>
      <c r="O23" s="104">
        <v>8</v>
      </c>
    </row>
    <row r="24" spans="1:15" ht="30.75" customHeight="1">
      <c r="A24" s="183">
        <v>12</v>
      </c>
      <c r="B24" s="514"/>
      <c r="C24" s="515"/>
      <c r="D24" s="515"/>
      <c r="E24" s="94"/>
      <c r="F24" s="72"/>
      <c r="G24" s="170"/>
      <c r="H24" s="163"/>
      <c r="I24" s="145">
        <f t="shared" si="1"/>
      </c>
      <c r="J24" s="147"/>
      <c r="K24" s="145">
        <f t="shared" si="2"/>
      </c>
      <c r="L24" s="145">
        <f t="shared" si="3"/>
      </c>
      <c r="M24" s="155">
        <f t="shared" si="0"/>
      </c>
      <c r="N24" s="105">
        <v>12</v>
      </c>
      <c r="O24" s="104">
        <v>8</v>
      </c>
    </row>
    <row r="25" spans="1:15" ht="30.75" customHeight="1">
      <c r="A25" s="183">
        <v>13</v>
      </c>
      <c r="B25" s="514"/>
      <c r="C25" s="515"/>
      <c r="D25" s="515"/>
      <c r="E25" s="94"/>
      <c r="F25" s="72"/>
      <c r="G25" s="170"/>
      <c r="H25" s="163"/>
      <c r="I25" s="145">
        <f t="shared" si="1"/>
      </c>
      <c r="J25" s="147"/>
      <c r="K25" s="145">
        <f t="shared" si="2"/>
      </c>
      <c r="L25" s="145">
        <f t="shared" si="3"/>
      </c>
      <c r="M25" s="155">
        <f t="shared" si="0"/>
      </c>
      <c r="N25" s="103">
        <v>13</v>
      </c>
      <c r="O25" s="104">
        <v>8</v>
      </c>
    </row>
    <row r="26" spans="1:15" ht="30.75" customHeight="1">
      <c r="A26" s="183">
        <v>14</v>
      </c>
      <c r="B26" s="514"/>
      <c r="C26" s="515"/>
      <c r="D26" s="515"/>
      <c r="E26" s="96"/>
      <c r="F26" s="72"/>
      <c r="G26" s="170"/>
      <c r="H26" s="163"/>
      <c r="I26" s="145">
        <f t="shared" si="1"/>
      </c>
      <c r="J26" s="147"/>
      <c r="K26" s="145">
        <f t="shared" si="2"/>
      </c>
      <c r="L26" s="145">
        <f t="shared" si="3"/>
      </c>
      <c r="M26" s="155">
        <f t="shared" si="0"/>
      </c>
      <c r="N26" s="105">
        <v>14</v>
      </c>
      <c r="O26" s="104">
        <v>8</v>
      </c>
    </row>
    <row r="27" spans="1:15" ht="30.75" customHeight="1">
      <c r="A27" s="183">
        <v>15</v>
      </c>
      <c r="B27" s="514"/>
      <c r="C27" s="515"/>
      <c r="D27" s="515"/>
      <c r="E27" s="96"/>
      <c r="F27" s="72"/>
      <c r="G27" s="170"/>
      <c r="H27" s="163"/>
      <c r="I27" s="145">
        <f t="shared" si="1"/>
      </c>
      <c r="J27" s="147"/>
      <c r="K27" s="145">
        <f t="shared" si="2"/>
      </c>
      <c r="L27" s="145">
        <f t="shared" si="3"/>
      </c>
      <c r="M27" s="155">
        <f t="shared" si="0"/>
      </c>
      <c r="N27" s="103">
        <v>15</v>
      </c>
      <c r="O27" s="104">
        <v>8</v>
      </c>
    </row>
    <row r="28" spans="1:15" ht="30.75" customHeight="1">
      <c r="A28" s="183">
        <v>16</v>
      </c>
      <c r="B28" s="514"/>
      <c r="C28" s="515"/>
      <c r="D28" s="515"/>
      <c r="E28" s="94"/>
      <c r="F28" s="72"/>
      <c r="G28" s="170"/>
      <c r="H28" s="163"/>
      <c r="I28" s="145">
        <f t="shared" si="1"/>
      </c>
      <c r="J28" s="147"/>
      <c r="K28" s="145">
        <f t="shared" si="2"/>
      </c>
      <c r="L28" s="145">
        <f t="shared" si="3"/>
      </c>
      <c r="M28" s="155">
        <f t="shared" si="0"/>
      </c>
      <c r="N28" s="105">
        <v>16</v>
      </c>
      <c r="O28" s="104">
        <v>8</v>
      </c>
    </row>
    <row r="29" spans="1:15" ht="30.75" customHeight="1">
      <c r="A29" s="183">
        <v>17</v>
      </c>
      <c r="B29" s="514"/>
      <c r="C29" s="515"/>
      <c r="D29" s="515"/>
      <c r="E29" s="94"/>
      <c r="F29" s="72"/>
      <c r="G29" s="170"/>
      <c r="H29" s="163"/>
      <c r="I29" s="145">
        <f t="shared" si="1"/>
      </c>
      <c r="J29" s="147"/>
      <c r="K29" s="145">
        <f t="shared" si="2"/>
      </c>
      <c r="L29" s="145">
        <f t="shared" si="3"/>
      </c>
      <c r="M29" s="155">
        <f t="shared" si="0"/>
      </c>
      <c r="N29" s="103">
        <v>17</v>
      </c>
      <c r="O29" s="104">
        <v>8</v>
      </c>
    </row>
    <row r="30" spans="1:15" ht="30.75" customHeight="1">
      <c r="A30" s="183">
        <v>18</v>
      </c>
      <c r="B30" s="514"/>
      <c r="C30" s="515"/>
      <c r="D30" s="515"/>
      <c r="E30" s="94"/>
      <c r="F30" s="72"/>
      <c r="G30" s="170"/>
      <c r="H30" s="163"/>
      <c r="I30" s="145">
        <f t="shared" si="1"/>
      </c>
      <c r="J30" s="147"/>
      <c r="K30" s="145">
        <f t="shared" si="2"/>
      </c>
      <c r="L30" s="145">
        <f t="shared" si="3"/>
      </c>
      <c r="M30" s="155">
        <f t="shared" si="0"/>
      </c>
      <c r="N30" s="105">
        <v>18</v>
      </c>
      <c r="O30" s="104">
        <v>8</v>
      </c>
    </row>
    <row r="31" spans="1:15" ht="30.75" customHeight="1">
      <c r="A31" s="183">
        <v>19</v>
      </c>
      <c r="B31" s="514"/>
      <c r="C31" s="515"/>
      <c r="D31" s="515"/>
      <c r="E31" s="96"/>
      <c r="F31" s="72"/>
      <c r="G31" s="170"/>
      <c r="H31" s="163"/>
      <c r="I31" s="145">
        <f t="shared" si="1"/>
      </c>
      <c r="J31" s="147"/>
      <c r="K31" s="145">
        <f t="shared" si="2"/>
      </c>
      <c r="L31" s="145">
        <f t="shared" si="3"/>
      </c>
      <c r="M31" s="155">
        <f t="shared" si="0"/>
      </c>
      <c r="N31" s="103">
        <v>19</v>
      </c>
      <c r="O31" s="104">
        <v>8</v>
      </c>
    </row>
    <row r="32" spans="1:15" ht="30.75" customHeight="1" thickBot="1">
      <c r="A32" s="184">
        <v>20</v>
      </c>
      <c r="B32" s="521"/>
      <c r="C32" s="522"/>
      <c r="D32" s="522"/>
      <c r="E32" s="97"/>
      <c r="F32" s="76"/>
      <c r="G32" s="173"/>
      <c r="H32" s="165"/>
      <c r="I32" s="148">
        <f t="shared" si="1"/>
      </c>
      <c r="J32" s="149"/>
      <c r="K32" s="148">
        <f t="shared" si="2"/>
      </c>
      <c r="L32" s="148">
        <f t="shared" si="3"/>
      </c>
      <c r="M32" s="156">
        <f t="shared" si="0"/>
      </c>
      <c r="N32" s="106">
        <v>20</v>
      </c>
      <c r="O32" s="107">
        <v>8</v>
      </c>
    </row>
    <row r="33" spans="1:14" ht="21" customHeight="1" thickBot="1">
      <c r="A33" s="530" t="s">
        <v>16</v>
      </c>
      <c r="B33" s="531"/>
      <c r="C33" s="531"/>
      <c r="D33" s="531"/>
      <c r="E33" s="531"/>
      <c r="F33" s="531"/>
      <c r="G33" s="531"/>
      <c r="H33" s="531"/>
      <c r="I33" s="531"/>
      <c r="J33" s="79"/>
      <c r="K33" s="144">
        <f>SUM(K13:K32)</f>
        <v>1166400</v>
      </c>
      <c r="L33" s="144">
        <f>SUM(L13:L32)</f>
        <v>1080000</v>
      </c>
      <c r="M33" s="142">
        <f>SUM(M13:M32)</f>
        <v>1080000</v>
      </c>
      <c r="N33" s="14"/>
    </row>
    <row r="34" spans="1:14" ht="13.5" customHeight="1">
      <c r="A34" s="87"/>
      <c r="N34" s="11"/>
    </row>
    <row r="35" spans="1:14" ht="13.5" customHeight="1">
      <c r="A35" s="87"/>
      <c r="B35" s="1" t="s">
        <v>18</v>
      </c>
      <c r="D35" s="87"/>
      <c r="E35" s="77" t="s">
        <v>33</v>
      </c>
      <c r="N35" s="11"/>
    </row>
    <row r="36" ht="13.5" customHeight="1">
      <c r="E36" s="77" t="s">
        <v>34</v>
      </c>
    </row>
    <row r="37" spans="2:5" ht="13.5" customHeight="1">
      <c r="B37" s="1" t="s">
        <v>19</v>
      </c>
      <c r="E37" s="77" t="s">
        <v>35</v>
      </c>
    </row>
    <row r="38" spans="2:5" ht="13.5" customHeight="1">
      <c r="B38" s="1" t="s">
        <v>20</v>
      </c>
      <c r="E38" s="77" t="s">
        <v>36</v>
      </c>
    </row>
  </sheetData>
  <sheetProtection sheet="1" objects="1" scenarios="1"/>
  <mergeCells count="27">
    <mergeCell ref="A4:E4"/>
    <mergeCell ref="A11:A12"/>
    <mergeCell ref="B11:D11"/>
    <mergeCell ref="K11:L11"/>
    <mergeCell ref="N11:N12"/>
    <mergeCell ref="O11:O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31:D31"/>
    <mergeCell ref="B32:D32"/>
    <mergeCell ref="A33:I33"/>
    <mergeCell ref="B25:D25"/>
    <mergeCell ref="B26:D26"/>
    <mergeCell ref="B27:D27"/>
    <mergeCell ref="B28:D28"/>
    <mergeCell ref="B29:D29"/>
    <mergeCell ref="B30:D30"/>
  </mergeCells>
  <dataValidations count="1">
    <dataValidation allowBlank="1" showInputMessage="1" showErrorMessage="1" imeMode="halfAlpha" sqref="I13:M32"/>
  </dataValidations>
  <hyperlinks>
    <hyperlink ref="B2" location="経費明細表!A1" display="戻る"/>
  </hyperlinks>
  <printOptions/>
  <pageMargins left="0.8661417322834646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8">
    <tabColor rgb="FF92D050"/>
    <pageSetUpPr fitToPage="1"/>
  </sheetPr>
  <dimension ref="A1:R38"/>
  <sheetViews>
    <sheetView showGridLines="0" zoomScaleSheetLayoutView="80" zoomScalePageLayoutView="0" workbookViewId="0" topLeftCell="A1">
      <pane ySplit="3" topLeftCell="A4" activePane="bottomLeft" state="frozen"/>
      <selection pane="topLeft" activeCell="O8" sqref="O8"/>
      <selection pane="bottomLeft" activeCell="A1" sqref="A1"/>
    </sheetView>
  </sheetViews>
  <sheetFormatPr defaultColWidth="9.140625" defaultRowHeight="15"/>
  <cols>
    <col min="1" max="4" width="3.7109375" style="1" customWidth="1"/>
    <col min="5" max="5" width="16.421875" style="77" customWidth="1"/>
    <col min="6" max="6" width="16.140625" style="77" customWidth="1"/>
    <col min="7" max="7" width="9.140625" style="1" customWidth="1"/>
    <col min="8" max="8" width="6.421875" style="1" customWidth="1"/>
    <col min="9" max="10" width="11.57421875" style="1" customWidth="1"/>
    <col min="11" max="13" width="15.140625" style="1" customWidth="1"/>
    <col min="14" max="14" width="3.8515625" style="5" customWidth="1"/>
    <col min="15" max="15" width="5.28125" style="5" customWidth="1"/>
    <col min="16" max="16384" width="9.00390625" style="1" customWidth="1"/>
  </cols>
  <sheetData>
    <row r="1" spans="1:18" ht="13.5">
      <c r="A1" s="5"/>
      <c r="E1" s="82"/>
      <c r="H1" s="5"/>
      <c r="P1" s="5"/>
      <c r="Q1" s="83"/>
      <c r="R1" s="83"/>
    </row>
    <row r="2" spans="1:18" ht="13.5">
      <c r="A2" s="5"/>
      <c r="B2" s="248" t="s">
        <v>579</v>
      </c>
      <c r="E2" s="82"/>
      <c r="H2" s="5"/>
      <c r="P2" s="5"/>
      <c r="Q2" s="83"/>
      <c r="R2" s="83"/>
    </row>
    <row r="3" spans="1:18" ht="13.5">
      <c r="A3" s="5"/>
      <c r="E3" s="82"/>
      <c r="H3" s="5"/>
      <c r="P3" s="5"/>
      <c r="Q3" s="83"/>
      <c r="R3" s="83"/>
    </row>
    <row r="4" spans="1:6" ht="13.5" customHeight="1">
      <c r="A4" s="518" t="s">
        <v>712</v>
      </c>
      <c r="B4" s="518"/>
      <c r="C4" s="518"/>
      <c r="D4" s="518"/>
      <c r="E4" s="518"/>
      <c r="F4" s="5"/>
    </row>
    <row r="5" spans="1:14" ht="13.5" customHeight="1">
      <c r="A5" s="11"/>
      <c r="B5" s="11"/>
      <c r="C5" s="11"/>
      <c r="D5" s="11"/>
      <c r="E5" s="84"/>
      <c r="F5" s="5"/>
      <c r="N5" s="11"/>
    </row>
    <row r="6" spans="1:14" ht="13.5" customHeight="1">
      <c r="A6" s="11"/>
      <c r="B6" s="240" t="s">
        <v>648</v>
      </c>
      <c r="C6" s="241"/>
      <c r="D6" s="242"/>
      <c r="E6" s="243"/>
      <c r="F6" s="85" t="s">
        <v>17</v>
      </c>
      <c r="N6" s="11"/>
    </row>
    <row r="7" spans="1:14" ht="13.5" customHeight="1">
      <c r="A7" s="11"/>
      <c r="B7" s="11"/>
      <c r="C7" s="11"/>
      <c r="D7" s="11"/>
      <c r="E7" s="84"/>
      <c r="F7" s="131" t="s">
        <v>49</v>
      </c>
      <c r="N7" s="11"/>
    </row>
    <row r="8" spans="1:15" ht="13.5" customHeight="1">
      <c r="A8" s="11"/>
      <c r="B8" s="11"/>
      <c r="C8" s="11"/>
      <c r="D8" s="11"/>
      <c r="E8" s="84"/>
      <c r="F8" s="5"/>
      <c r="M8" s="1" t="s">
        <v>21</v>
      </c>
      <c r="N8" s="11"/>
      <c r="O8" s="86"/>
    </row>
    <row r="9" spans="1:14" ht="13.5" customHeight="1">
      <c r="A9" s="87"/>
      <c r="F9" s="5"/>
      <c r="K9" s="2" t="s">
        <v>527</v>
      </c>
      <c r="L9" s="81" t="str">
        <f>IF('基本情報入力（使い方）'!$C$11="","",'基本情報入力（使い方）'!$C$11)</f>
        <v>Ｂ金属株式会社</v>
      </c>
      <c r="M9" s="56"/>
      <c r="N9" s="11"/>
    </row>
    <row r="10" spans="1:14" ht="13.5" customHeight="1" thickBot="1">
      <c r="A10" s="87"/>
      <c r="F10" s="5"/>
      <c r="N10" s="11"/>
    </row>
    <row r="11" spans="1:15" ht="27" customHeight="1">
      <c r="A11" s="519" t="s">
        <v>2</v>
      </c>
      <c r="B11" s="508" t="s">
        <v>3</v>
      </c>
      <c r="C11" s="508"/>
      <c r="D11" s="509"/>
      <c r="E11" s="3" t="s">
        <v>4</v>
      </c>
      <c r="F11" s="3" t="s">
        <v>5</v>
      </c>
      <c r="G11" s="3" t="s">
        <v>6</v>
      </c>
      <c r="H11" s="3" t="s">
        <v>7</v>
      </c>
      <c r="I11" s="3" t="s">
        <v>1</v>
      </c>
      <c r="J11" s="3" t="s">
        <v>1</v>
      </c>
      <c r="K11" s="529" t="s">
        <v>8</v>
      </c>
      <c r="L11" s="509"/>
      <c r="M11" s="80" t="s">
        <v>9</v>
      </c>
      <c r="N11" s="510" t="s">
        <v>2</v>
      </c>
      <c r="O11" s="523" t="s">
        <v>40</v>
      </c>
    </row>
    <row r="12" spans="1:15" ht="42" customHeight="1" thickBot="1">
      <c r="A12" s="520"/>
      <c r="B12" s="89" t="s">
        <v>10</v>
      </c>
      <c r="C12" s="89" t="s">
        <v>11</v>
      </c>
      <c r="D12" s="90" t="s">
        <v>12</v>
      </c>
      <c r="E12" s="91"/>
      <c r="F12" s="92"/>
      <c r="G12" s="78"/>
      <c r="H12" s="78"/>
      <c r="I12" s="78" t="s">
        <v>13</v>
      </c>
      <c r="J12" s="78" t="s">
        <v>25</v>
      </c>
      <c r="K12" s="78" t="s">
        <v>14</v>
      </c>
      <c r="L12" s="4" t="s">
        <v>23</v>
      </c>
      <c r="M12" s="4" t="s">
        <v>15</v>
      </c>
      <c r="N12" s="511"/>
      <c r="O12" s="524"/>
    </row>
    <row r="13" spans="1:15" ht="30.75" customHeight="1">
      <c r="A13" s="182">
        <v>1</v>
      </c>
      <c r="B13" s="514">
        <v>42674</v>
      </c>
      <c r="C13" s="515"/>
      <c r="D13" s="532"/>
      <c r="E13" s="70" t="s">
        <v>595</v>
      </c>
      <c r="F13" s="70" t="s">
        <v>596</v>
      </c>
      <c r="G13" s="174">
        <v>1</v>
      </c>
      <c r="H13" s="166" t="s">
        <v>602</v>
      </c>
      <c r="I13" s="153">
        <f>IF(J13="","",ROUNDDOWN(J13*(1+O13/100),0))</f>
        <v>594000</v>
      </c>
      <c r="J13" s="154">
        <v>550000</v>
      </c>
      <c r="K13" s="153">
        <f>IF(L13="","",ROUNDDOWN(L13*(1+O13/100),0))</f>
        <v>594000</v>
      </c>
      <c r="L13" s="153">
        <f>IF(OR(J13="",G13=""),"",ROUNDDOWN(J13*G13,0))</f>
        <v>550000</v>
      </c>
      <c r="M13" s="153">
        <f aca="true" t="shared" si="0" ref="M13:M32">L13</f>
        <v>550000</v>
      </c>
      <c r="N13" s="12">
        <v>1</v>
      </c>
      <c r="O13" s="111">
        <v>8</v>
      </c>
    </row>
    <row r="14" spans="1:15" ht="30.75" customHeight="1">
      <c r="A14" s="183">
        <v>2</v>
      </c>
      <c r="B14" s="514"/>
      <c r="C14" s="515"/>
      <c r="D14" s="532"/>
      <c r="E14" s="72"/>
      <c r="F14" s="72"/>
      <c r="G14" s="170"/>
      <c r="H14" s="163"/>
      <c r="I14" s="145">
        <f aca="true" t="shared" si="1" ref="I14:I32">IF(J14="","",ROUNDDOWN(J14*(1+O14/100),0))</f>
      </c>
      <c r="J14" s="147"/>
      <c r="K14" s="145">
        <f aca="true" t="shared" si="2" ref="K14:K32">IF(L14="","",ROUNDDOWN(L14*(1+O14/100),0))</f>
      </c>
      <c r="L14" s="145">
        <f aca="true" t="shared" si="3" ref="L14:L32">IF(OR(J14="",G14=""),"",ROUNDDOWN(J14*G14,0))</f>
      </c>
      <c r="M14" s="146">
        <f t="shared" si="0"/>
      </c>
      <c r="N14" s="13">
        <v>2</v>
      </c>
      <c r="O14" s="111">
        <v>8</v>
      </c>
    </row>
    <row r="15" spans="1:15" ht="30.75" customHeight="1">
      <c r="A15" s="183">
        <v>3</v>
      </c>
      <c r="B15" s="514"/>
      <c r="C15" s="515"/>
      <c r="D15" s="532"/>
      <c r="E15" s="72"/>
      <c r="F15" s="72"/>
      <c r="G15" s="170"/>
      <c r="H15" s="163"/>
      <c r="I15" s="145">
        <f t="shared" si="1"/>
      </c>
      <c r="J15" s="147"/>
      <c r="K15" s="145">
        <f t="shared" si="2"/>
      </c>
      <c r="L15" s="145">
        <f t="shared" si="3"/>
      </c>
      <c r="M15" s="146">
        <f t="shared" si="0"/>
      </c>
      <c r="N15" s="12">
        <v>3</v>
      </c>
      <c r="O15" s="111">
        <v>8</v>
      </c>
    </row>
    <row r="16" spans="1:15" ht="30.75" customHeight="1">
      <c r="A16" s="183">
        <v>4</v>
      </c>
      <c r="B16" s="514"/>
      <c r="C16" s="515"/>
      <c r="D16" s="532"/>
      <c r="E16" s="72"/>
      <c r="F16" s="72"/>
      <c r="G16" s="170"/>
      <c r="H16" s="163"/>
      <c r="I16" s="145">
        <f t="shared" si="1"/>
      </c>
      <c r="J16" s="147"/>
      <c r="K16" s="145">
        <f t="shared" si="2"/>
      </c>
      <c r="L16" s="145">
        <f t="shared" si="3"/>
      </c>
      <c r="M16" s="146">
        <f t="shared" si="0"/>
      </c>
      <c r="N16" s="13">
        <v>4</v>
      </c>
      <c r="O16" s="111">
        <v>8</v>
      </c>
    </row>
    <row r="17" spans="1:15" ht="30.75" customHeight="1">
      <c r="A17" s="183">
        <v>5</v>
      </c>
      <c r="B17" s="514"/>
      <c r="C17" s="515"/>
      <c r="D17" s="532"/>
      <c r="E17" s="72"/>
      <c r="F17" s="72"/>
      <c r="G17" s="170"/>
      <c r="H17" s="163"/>
      <c r="I17" s="145">
        <f t="shared" si="1"/>
      </c>
      <c r="J17" s="147"/>
      <c r="K17" s="145">
        <f t="shared" si="2"/>
      </c>
      <c r="L17" s="145">
        <f t="shared" si="3"/>
      </c>
      <c r="M17" s="146">
        <f t="shared" si="0"/>
      </c>
      <c r="N17" s="12">
        <v>5</v>
      </c>
      <c r="O17" s="111">
        <v>8</v>
      </c>
    </row>
    <row r="18" spans="1:15" ht="30.75" customHeight="1">
      <c r="A18" s="183">
        <v>6</v>
      </c>
      <c r="B18" s="514"/>
      <c r="C18" s="515"/>
      <c r="D18" s="532"/>
      <c r="E18" s="72"/>
      <c r="F18" s="72"/>
      <c r="G18" s="170"/>
      <c r="H18" s="163"/>
      <c r="I18" s="145">
        <f t="shared" si="1"/>
      </c>
      <c r="J18" s="147"/>
      <c r="K18" s="145">
        <f t="shared" si="2"/>
      </c>
      <c r="L18" s="145">
        <f t="shared" si="3"/>
      </c>
      <c r="M18" s="146">
        <f t="shared" si="0"/>
      </c>
      <c r="N18" s="13">
        <v>6</v>
      </c>
      <c r="O18" s="111">
        <v>8</v>
      </c>
    </row>
    <row r="19" spans="1:15" ht="30.75" customHeight="1">
      <c r="A19" s="183">
        <v>7</v>
      </c>
      <c r="B19" s="514"/>
      <c r="C19" s="515"/>
      <c r="D19" s="532"/>
      <c r="E19" s="72"/>
      <c r="F19" s="95"/>
      <c r="G19" s="170"/>
      <c r="H19" s="163"/>
      <c r="I19" s="145">
        <f t="shared" si="1"/>
      </c>
      <c r="J19" s="147"/>
      <c r="K19" s="145">
        <f t="shared" si="2"/>
      </c>
      <c r="L19" s="145">
        <f t="shared" si="3"/>
      </c>
      <c r="M19" s="146">
        <f t="shared" si="0"/>
      </c>
      <c r="N19" s="12">
        <v>7</v>
      </c>
      <c r="O19" s="111">
        <v>8</v>
      </c>
    </row>
    <row r="20" spans="1:15" ht="30.75" customHeight="1">
      <c r="A20" s="183">
        <v>8</v>
      </c>
      <c r="B20" s="514"/>
      <c r="C20" s="515"/>
      <c r="D20" s="532"/>
      <c r="E20" s="72"/>
      <c r="F20" s="72"/>
      <c r="G20" s="170"/>
      <c r="H20" s="163"/>
      <c r="I20" s="145">
        <f t="shared" si="1"/>
      </c>
      <c r="J20" s="147"/>
      <c r="K20" s="145">
        <f t="shared" si="2"/>
      </c>
      <c r="L20" s="145">
        <f t="shared" si="3"/>
      </c>
      <c r="M20" s="146">
        <f t="shared" si="0"/>
      </c>
      <c r="N20" s="13">
        <v>8</v>
      </c>
      <c r="O20" s="111">
        <v>8</v>
      </c>
    </row>
    <row r="21" spans="1:15" ht="30.75" customHeight="1">
      <c r="A21" s="183">
        <v>9</v>
      </c>
      <c r="B21" s="514"/>
      <c r="C21" s="515"/>
      <c r="D21" s="532"/>
      <c r="E21" s="72"/>
      <c r="F21" s="72"/>
      <c r="G21" s="170"/>
      <c r="H21" s="163"/>
      <c r="I21" s="145">
        <f t="shared" si="1"/>
      </c>
      <c r="J21" s="147"/>
      <c r="K21" s="145">
        <f t="shared" si="2"/>
      </c>
      <c r="L21" s="145">
        <f t="shared" si="3"/>
      </c>
      <c r="M21" s="146">
        <f t="shared" si="0"/>
      </c>
      <c r="N21" s="12">
        <v>9</v>
      </c>
      <c r="O21" s="111">
        <v>8</v>
      </c>
    </row>
    <row r="22" spans="1:15" ht="30.75" customHeight="1">
      <c r="A22" s="183">
        <v>10</v>
      </c>
      <c r="B22" s="514"/>
      <c r="C22" s="515"/>
      <c r="D22" s="532"/>
      <c r="E22" s="72"/>
      <c r="F22" s="72"/>
      <c r="G22" s="170"/>
      <c r="H22" s="163"/>
      <c r="I22" s="145">
        <f t="shared" si="1"/>
      </c>
      <c r="J22" s="147"/>
      <c r="K22" s="145">
        <f t="shared" si="2"/>
      </c>
      <c r="L22" s="145">
        <f t="shared" si="3"/>
      </c>
      <c r="M22" s="146">
        <f t="shared" si="0"/>
      </c>
      <c r="N22" s="13">
        <v>10</v>
      </c>
      <c r="O22" s="111">
        <v>8</v>
      </c>
    </row>
    <row r="23" spans="1:15" ht="30.75" customHeight="1">
      <c r="A23" s="183">
        <v>11</v>
      </c>
      <c r="B23" s="514"/>
      <c r="C23" s="515"/>
      <c r="D23" s="532"/>
      <c r="E23" s="72"/>
      <c r="F23" s="72"/>
      <c r="G23" s="170"/>
      <c r="H23" s="163"/>
      <c r="I23" s="145">
        <f t="shared" si="1"/>
      </c>
      <c r="J23" s="147"/>
      <c r="K23" s="145">
        <f t="shared" si="2"/>
      </c>
      <c r="L23" s="145">
        <f t="shared" si="3"/>
      </c>
      <c r="M23" s="146">
        <f t="shared" si="0"/>
      </c>
      <c r="N23" s="12">
        <v>11</v>
      </c>
      <c r="O23" s="111">
        <v>8</v>
      </c>
    </row>
    <row r="24" spans="1:15" ht="30.75" customHeight="1">
      <c r="A24" s="183">
        <v>12</v>
      </c>
      <c r="B24" s="514"/>
      <c r="C24" s="515"/>
      <c r="D24" s="532"/>
      <c r="E24" s="72"/>
      <c r="F24" s="72"/>
      <c r="G24" s="170"/>
      <c r="H24" s="163"/>
      <c r="I24" s="145">
        <f t="shared" si="1"/>
      </c>
      <c r="J24" s="147"/>
      <c r="K24" s="145">
        <f t="shared" si="2"/>
      </c>
      <c r="L24" s="145">
        <f t="shared" si="3"/>
      </c>
      <c r="M24" s="146">
        <f t="shared" si="0"/>
      </c>
      <c r="N24" s="13">
        <v>12</v>
      </c>
      <c r="O24" s="111">
        <v>8</v>
      </c>
    </row>
    <row r="25" spans="1:15" ht="30.75" customHeight="1">
      <c r="A25" s="183">
        <v>13</v>
      </c>
      <c r="B25" s="514"/>
      <c r="C25" s="515"/>
      <c r="D25" s="532"/>
      <c r="E25" s="72"/>
      <c r="F25" s="72"/>
      <c r="G25" s="170"/>
      <c r="H25" s="163"/>
      <c r="I25" s="145">
        <f t="shared" si="1"/>
      </c>
      <c r="J25" s="147"/>
      <c r="K25" s="145">
        <f t="shared" si="2"/>
      </c>
      <c r="L25" s="145">
        <f t="shared" si="3"/>
      </c>
      <c r="M25" s="146">
        <f t="shared" si="0"/>
      </c>
      <c r="N25" s="12">
        <v>13</v>
      </c>
      <c r="O25" s="111">
        <v>8</v>
      </c>
    </row>
    <row r="26" spans="1:15" ht="30.75" customHeight="1">
      <c r="A26" s="183">
        <v>14</v>
      </c>
      <c r="B26" s="514"/>
      <c r="C26" s="515"/>
      <c r="D26" s="532"/>
      <c r="E26" s="102"/>
      <c r="F26" s="72"/>
      <c r="G26" s="170"/>
      <c r="H26" s="163"/>
      <c r="I26" s="145">
        <f t="shared" si="1"/>
      </c>
      <c r="J26" s="147"/>
      <c r="K26" s="145">
        <f t="shared" si="2"/>
      </c>
      <c r="L26" s="145">
        <f t="shared" si="3"/>
      </c>
      <c r="M26" s="146">
        <f t="shared" si="0"/>
      </c>
      <c r="N26" s="13">
        <v>14</v>
      </c>
      <c r="O26" s="111">
        <v>8</v>
      </c>
    </row>
    <row r="27" spans="1:15" ht="30.75" customHeight="1">
      <c r="A27" s="183">
        <v>15</v>
      </c>
      <c r="B27" s="514"/>
      <c r="C27" s="515"/>
      <c r="D27" s="532"/>
      <c r="E27" s="102"/>
      <c r="F27" s="72"/>
      <c r="G27" s="170"/>
      <c r="H27" s="163"/>
      <c r="I27" s="145">
        <f t="shared" si="1"/>
      </c>
      <c r="J27" s="147"/>
      <c r="K27" s="145">
        <f t="shared" si="2"/>
      </c>
      <c r="L27" s="145">
        <f t="shared" si="3"/>
      </c>
      <c r="M27" s="146">
        <f t="shared" si="0"/>
      </c>
      <c r="N27" s="12">
        <v>15</v>
      </c>
      <c r="O27" s="111">
        <v>8</v>
      </c>
    </row>
    <row r="28" spans="1:15" ht="30.75" customHeight="1">
      <c r="A28" s="183">
        <v>16</v>
      </c>
      <c r="B28" s="514"/>
      <c r="C28" s="515"/>
      <c r="D28" s="532"/>
      <c r="E28" s="72"/>
      <c r="F28" s="72"/>
      <c r="G28" s="170"/>
      <c r="H28" s="163"/>
      <c r="I28" s="145">
        <f t="shared" si="1"/>
      </c>
      <c r="J28" s="147"/>
      <c r="K28" s="145">
        <f t="shared" si="2"/>
      </c>
      <c r="L28" s="145">
        <f t="shared" si="3"/>
      </c>
      <c r="M28" s="146">
        <f t="shared" si="0"/>
      </c>
      <c r="N28" s="13">
        <v>16</v>
      </c>
      <c r="O28" s="111">
        <v>8</v>
      </c>
    </row>
    <row r="29" spans="1:15" ht="30.75" customHeight="1">
      <c r="A29" s="183">
        <v>17</v>
      </c>
      <c r="B29" s="514"/>
      <c r="C29" s="515"/>
      <c r="D29" s="532"/>
      <c r="E29" s="72"/>
      <c r="F29" s="72"/>
      <c r="G29" s="170"/>
      <c r="H29" s="163"/>
      <c r="I29" s="145">
        <f t="shared" si="1"/>
      </c>
      <c r="J29" s="147"/>
      <c r="K29" s="145">
        <f t="shared" si="2"/>
      </c>
      <c r="L29" s="145">
        <f t="shared" si="3"/>
      </c>
      <c r="M29" s="146">
        <f t="shared" si="0"/>
      </c>
      <c r="N29" s="12">
        <v>17</v>
      </c>
      <c r="O29" s="111">
        <v>8</v>
      </c>
    </row>
    <row r="30" spans="1:15" ht="30.75" customHeight="1">
      <c r="A30" s="183">
        <v>18</v>
      </c>
      <c r="B30" s="514"/>
      <c r="C30" s="515"/>
      <c r="D30" s="532"/>
      <c r="E30" s="72"/>
      <c r="F30" s="72"/>
      <c r="G30" s="170"/>
      <c r="H30" s="163"/>
      <c r="I30" s="145">
        <f t="shared" si="1"/>
      </c>
      <c r="J30" s="147"/>
      <c r="K30" s="145">
        <f t="shared" si="2"/>
      </c>
      <c r="L30" s="145">
        <f t="shared" si="3"/>
      </c>
      <c r="M30" s="146">
        <f t="shared" si="0"/>
      </c>
      <c r="N30" s="13">
        <v>18</v>
      </c>
      <c r="O30" s="111">
        <v>8</v>
      </c>
    </row>
    <row r="31" spans="1:15" ht="30.75" customHeight="1">
      <c r="A31" s="183">
        <v>19</v>
      </c>
      <c r="B31" s="514"/>
      <c r="C31" s="515"/>
      <c r="D31" s="532"/>
      <c r="E31" s="102"/>
      <c r="F31" s="72"/>
      <c r="G31" s="170"/>
      <c r="H31" s="163"/>
      <c r="I31" s="145">
        <f t="shared" si="1"/>
      </c>
      <c r="J31" s="147"/>
      <c r="K31" s="145">
        <f t="shared" si="2"/>
      </c>
      <c r="L31" s="145">
        <f t="shared" si="3"/>
      </c>
      <c r="M31" s="146">
        <f t="shared" si="0"/>
      </c>
      <c r="N31" s="12">
        <v>19</v>
      </c>
      <c r="O31" s="111">
        <v>8</v>
      </c>
    </row>
    <row r="32" spans="1:15" ht="30.75" customHeight="1" thickBot="1">
      <c r="A32" s="184">
        <v>20</v>
      </c>
      <c r="B32" s="533"/>
      <c r="C32" s="534"/>
      <c r="D32" s="534"/>
      <c r="E32" s="97"/>
      <c r="F32" s="76"/>
      <c r="G32" s="173"/>
      <c r="H32" s="165"/>
      <c r="I32" s="148">
        <f t="shared" si="1"/>
      </c>
      <c r="J32" s="149"/>
      <c r="K32" s="148">
        <f t="shared" si="2"/>
      </c>
      <c r="L32" s="148">
        <f t="shared" si="3"/>
      </c>
      <c r="M32" s="150">
        <f t="shared" si="0"/>
      </c>
      <c r="N32" s="25">
        <v>20</v>
      </c>
      <c r="O32" s="112">
        <v>8</v>
      </c>
    </row>
    <row r="33" spans="1:14" ht="21" customHeight="1" thickBot="1">
      <c r="A33" s="530" t="s">
        <v>16</v>
      </c>
      <c r="B33" s="531"/>
      <c r="C33" s="531"/>
      <c r="D33" s="531"/>
      <c r="E33" s="531"/>
      <c r="F33" s="531"/>
      <c r="G33" s="531"/>
      <c r="H33" s="531"/>
      <c r="I33" s="531"/>
      <c r="J33" s="79"/>
      <c r="K33" s="151">
        <f>SUM(K13:K32)</f>
        <v>594000</v>
      </c>
      <c r="L33" s="141">
        <f>SUM(L13:L32)</f>
        <v>550000</v>
      </c>
      <c r="M33" s="152">
        <f>SUM(M13:M32)</f>
        <v>550000</v>
      </c>
      <c r="N33" s="14"/>
    </row>
    <row r="34" spans="1:14" ht="13.5" customHeight="1">
      <c r="A34" s="87"/>
      <c r="N34" s="11"/>
    </row>
    <row r="35" spans="1:14" ht="13.5" customHeight="1">
      <c r="A35" s="87"/>
      <c r="B35" s="1" t="s">
        <v>18</v>
      </c>
      <c r="D35" s="87"/>
      <c r="E35" s="77" t="s">
        <v>33</v>
      </c>
      <c r="N35" s="11"/>
    </row>
    <row r="36" ht="13.5" customHeight="1">
      <c r="E36" s="77" t="s">
        <v>34</v>
      </c>
    </row>
    <row r="37" spans="2:5" ht="13.5" customHeight="1">
      <c r="B37" s="1" t="s">
        <v>19</v>
      </c>
      <c r="E37" s="77" t="s">
        <v>35</v>
      </c>
    </row>
    <row r="38" spans="2:5" ht="13.5" customHeight="1">
      <c r="B38" s="1" t="s">
        <v>20</v>
      </c>
      <c r="E38" s="77" t="s">
        <v>36</v>
      </c>
    </row>
  </sheetData>
  <sheetProtection sheet="1" objects="1" scenarios="1"/>
  <mergeCells count="27">
    <mergeCell ref="A4:E4"/>
    <mergeCell ref="A11:A12"/>
    <mergeCell ref="B11:D11"/>
    <mergeCell ref="K11:L11"/>
    <mergeCell ref="N11:N12"/>
    <mergeCell ref="O11:O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31:D31"/>
    <mergeCell ref="B32:D32"/>
    <mergeCell ref="A33:I33"/>
    <mergeCell ref="B25:D25"/>
    <mergeCell ref="B26:D26"/>
    <mergeCell ref="B27:D27"/>
    <mergeCell ref="B28:D28"/>
    <mergeCell ref="B29:D29"/>
    <mergeCell ref="B30:D30"/>
  </mergeCells>
  <dataValidations count="1">
    <dataValidation allowBlank="1" showInputMessage="1" showErrorMessage="1" imeMode="halfAlpha" sqref="K33:M33 I13:M32"/>
  </dataValidations>
  <hyperlinks>
    <hyperlink ref="B2" location="経費明細表!A1" display="戻る"/>
  </hyperlinks>
  <printOptions/>
  <pageMargins left="0.8661417322834646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9">
    <tabColor rgb="FF92D050"/>
    <pageSetUpPr fitToPage="1"/>
  </sheetPr>
  <dimension ref="A1:R38"/>
  <sheetViews>
    <sheetView showGridLines="0" zoomScaleSheetLayoutView="80" zoomScalePageLayoutView="0" workbookViewId="0" topLeftCell="A1">
      <pane ySplit="3" topLeftCell="A4" activePane="bottomLeft" state="frozen"/>
      <selection pane="topLeft" activeCell="O8" sqref="O8"/>
      <selection pane="bottomLeft" activeCell="A1" sqref="A1"/>
    </sheetView>
  </sheetViews>
  <sheetFormatPr defaultColWidth="9.140625" defaultRowHeight="15"/>
  <cols>
    <col min="1" max="4" width="3.7109375" style="1" customWidth="1"/>
    <col min="5" max="5" width="16.421875" style="77" customWidth="1"/>
    <col min="6" max="6" width="16.140625" style="77" customWidth="1"/>
    <col min="7" max="7" width="9.140625" style="1" customWidth="1"/>
    <col min="8" max="8" width="6.421875" style="1" customWidth="1"/>
    <col min="9" max="10" width="11.57421875" style="1" customWidth="1"/>
    <col min="11" max="13" width="15.140625" style="1" customWidth="1"/>
    <col min="14" max="14" width="3.8515625" style="5" customWidth="1"/>
    <col min="15" max="15" width="5.28125" style="5" customWidth="1"/>
    <col min="16" max="16384" width="9.00390625" style="1" customWidth="1"/>
  </cols>
  <sheetData>
    <row r="1" spans="1:18" ht="13.5">
      <c r="A1" s="5"/>
      <c r="E1" s="82"/>
      <c r="H1" s="5"/>
      <c r="P1" s="5"/>
      <c r="Q1" s="83"/>
      <c r="R1" s="83"/>
    </row>
    <row r="2" spans="1:18" ht="13.5">
      <c r="A2" s="5"/>
      <c r="B2" s="248" t="s">
        <v>579</v>
      </c>
      <c r="E2" s="82"/>
      <c r="H2" s="5"/>
      <c r="P2" s="5"/>
      <c r="Q2" s="83"/>
      <c r="R2" s="83"/>
    </row>
    <row r="3" spans="1:18" ht="13.5">
      <c r="A3" s="5"/>
      <c r="E3" s="82"/>
      <c r="H3" s="5"/>
      <c r="P3" s="5"/>
      <c r="Q3" s="83"/>
      <c r="R3" s="83"/>
    </row>
    <row r="4" spans="1:6" ht="13.5" customHeight="1">
      <c r="A4" s="518" t="s">
        <v>712</v>
      </c>
      <c r="B4" s="518"/>
      <c r="C4" s="518"/>
      <c r="D4" s="518"/>
      <c r="E4" s="518"/>
      <c r="F4" s="5"/>
    </row>
    <row r="5" spans="1:14" ht="13.5" customHeight="1">
      <c r="A5" s="11"/>
      <c r="B5" s="11"/>
      <c r="C5" s="11"/>
      <c r="D5" s="11"/>
      <c r="E5" s="84"/>
      <c r="F5" s="5"/>
      <c r="N5" s="11"/>
    </row>
    <row r="6" spans="1:14" ht="13.5" customHeight="1">
      <c r="A6" s="11"/>
      <c r="B6" s="240" t="s">
        <v>648</v>
      </c>
      <c r="C6" s="241"/>
      <c r="D6" s="242"/>
      <c r="E6" s="243"/>
      <c r="F6" s="85" t="s">
        <v>17</v>
      </c>
      <c r="N6" s="11"/>
    </row>
    <row r="7" spans="1:14" ht="13.5" customHeight="1">
      <c r="A7" s="11"/>
      <c r="B7" s="11"/>
      <c r="C7" s="11"/>
      <c r="D7" s="11"/>
      <c r="E7" s="84"/>
      <c r="F7" s="131" t="s">
        <v>30</v>
      </c>
      <c r="N7" s="11"/>
    </row>
    <row r="8" spans="1:15" ht="13.5" customHeight="1">
      <c r="A8" s="11"/>
      <c r="B8" s="11"/>
      <c r="C8" s="11"/>
      <c r="D8" s="11"/>
      <c r="E8" s="84"/>
      <c r="F8" s="5"/>
      <c r="M8" s="1" t="s">
        <v>21</v>
      </c>
      <c r="N8" s="11"/>
      <c r="O8" s="86"/>
    </row>
    <row r="9" spans="1:14" ht="13.5" customHeight="1">
      <c r="A9" s="87"/>
      <c r="F9" s="5"/>
      <c r="K9" s="2" t="s">
        <v>527</v>
      </c>
      <c r="L9" s="81" t="str">
        <f>IF('基本情報入力（使い方）'!$C$11="","",'基本情報入力（使い方）'!$C$11)</f>
        <v>Ｂ金属株式会社</v>
      </c>
      <c r="M9" s="88"/>
      <c r="N9" s="11"/>
    </row>
    <row r="10" spans="1:14" ht="13.5" customHeight="1" thickBot="1">
      <c r="A10" s="87"/>
      <c r="F10" s="5"/>
      <c r="N10" s="11"/>
    </row>
    <row r="11" spans="1:15" ht="27" customHeight="1">
      <c r="A11" s="519" t="s">
        <v>2</v>
      </c>
      <c r="B11" s="508" t="s">
        <v>3</v>
      </c>
      <c r="C11" s="508"/>
      <c r="D11" s="509"/>
      <c r="E11" s="3" t="s">
        <v>4</v>
      </c>
      <c r="F11" s="3" t="s">
        <v>5</v>
      </c>
      <c r="G11" s="3" t="s">
        <v>6</v>
      </c>
      <c r="H11" s="3" t="s">
        <v>7</v>
      </c>
      <c r="I11" s="3" t="s">
        <v>1</v>
      </c>
      <c r="J11" s="3" t="s">
        <v>1</v>
      </c>
      <c r="K11" s="529" t="s">
        <v>8</v>
      </c>
      <c r="L11" s="509"/>
      <c r="M11" s="3" t="s">
        <v>9</v>
      </c>
      <c r="N11" s="510" t="s">
        <v>2</v>
      </c>
      <c r="O11" s="523" t="s">
        <v>40</v>
      </c>
    </row>
    <row r="12" spans="1:15" ht="42" customHeight="1" thickBot="1">
      <c r="A12" s="520"/>
      <c r="B12" s="89" t="s">
        <v>10</v>
      </c>
      <c r="C12" s="89" t="s">
        <v>11</v>
      </c>
      <c r="D12" s="90" t="s">
        <v>12</v>
      </c>
      <c r="E12" s="91"/>
      <c r="F12" s="92"/>
      <c r="G12" s="78"/>
      <c r="H12" s="78"/>
      <c r="I12" s="78" t="s">
        <v>13</v>
      </c>
      <c r="J12" s="78" t="s">
        <v>25</v>
      </c>
      <c r="K12" s="78" t="s">
        <v>14</v>
      </c>
      <c r="L12" s="4" t="s">
        <v>23</v>
      </c>
      <c r="M12" s="78" t="s">
        <v>15</v>
      </c>
      <c r="N12" s="511"/>
      <c r="O12" s="524"/>
    </row>
    <row r="13" spans="1:15" ht="30.75" customHeight="1">
      <c r="A13" s="182">
        <v>1</v>
      </c>
      <c r="B13" s="525">
        <v>42674</v>
      </c>
      <c r="C13" s="526"/>
      <c r="D13" s="526"/>
      <c r="E13" s="93" t="s">
        <v>597</v>
      </c>
      <c r="F13" s="71" t="s">
        <v>598</v>
      </c>
      <c r="G13" s="170">
        <v>150</v>
      </c>
      <c r="H13" s="163" t="s">
        <v>599</v>
      </c>
      <c r="I13" s="145">
        <f>IF(J13="","",ROUNDDOWN(J13*(1+O13/100),0))</f>
        <v>6372</v>
      </c>
      <c r="J13" s="143">
        <v>5900</v>
      </c>
      <c r="K13" s="145">
        <f>IF(L13="","",ROUNDDOWN(L13*(1+O13/100),0))</f>
        <v>955800</v>
      </c>
      <c r="L13" s="145">
        <f>IF(OR(J13="",G13=""),"",ROUNDDOWN(J13*G13,0))</f>
        <v>885000</v>
      </c>
      <c r="M13" s="146">
        <f aca="true" t="shared" si="0" ref="M13:M32">L13</f>
        <v>885000</v>
      </c>
      <c r="N13" s="12">
        <v>1</v>
      </c>
      <c r="O13" s="111">
        <v>8</v>
      </c>
    </row>
    <row r="14" spans="1:15" ht="30.75" customHeight="1">
      <c r="A14" s="183">
        <v>2</v>
      </c>
      <c r="B14" s="514"/>
      <c r="C14" s="515"/>
      <c r="D14" s="515"/>
      <c r="E14" s="94"/>
      <c r="F14" s="72"/>
      <c r="G14" s="170"/>
      <c r="H14" s="163"/>
      <c r="I14" s="145">
        <f aca="true" t="shared" si="1" ref="I14:I32">IF(J14="","",ROUNDDOWN(J14*(1+O14/100),0))</f>
      </c>
      <c r="J14" s="147"/>
      <c r="K14" s="145">
        <f aca="true" t="shared" si="2" ref="K14:K32">IF(L14="","",ROUNDDOWN(L14*(1+O14/100),0))</f>
      </c>
      <c r="L14" s="145">
        <f aca="true" t="shared" si="3" ref="L14:L32">IF(OR(J14="",G14=""),"",ROUNDDOWN(J14*G14,0))</f>
      </c>
      <c r="M14" s="146">
        <f t="shared" si="0"/>
      </c>
      <c r="N14" s="13">
        <v>2</v>
      </c>
      <c r="O14" s="111">
        <v>8</v>
      </c>
    </row>
    <row r="15" spans="1:15" ht="30.75" customHeight="1">
      <c r="A15" s="183">
        <v>3</v>
      </c>
      <c r="B15" s="514"/>
      <c r="C15" s="515"/>
      <c r="D15" s="515"/>
      <c r="E15" s="94"/>
      <c r="F15" s="72"/>
      <c r="G15" s="170"/>
      <c r="H15" s="163"/>
      <c r="I15" s="145">
        <f t="shared" si="1"/>
      </c>
      <c r="J15" s="147"/>
      <c r="K15" s="145">
        <f t="shared" si="2"/>
      </c>
      <c r="L15" s="145">
        <f t="shared" si="3"/>
      </c>
      <c r="M15" s="146">
        <f t="shared" si="0"/>
      </c>
      <c r="N15" s="12">
        <v>3</v>
      </c>
      <c r="O15" s="111">
        <v>8</v>
      </c>
    </row>
    <row r="16" spans="1:15" ht="30.75" customHeight="1">
      <c r="A16" s="183">
        <v>4</v>
      </c>
      <c r="B16" s="514"/>
      <c r="C16" s="515"/>
      <c r="D16" s="515"/>
      <c r="E16" s="94"/>
      <c r="F16" s="72"/>
      <c r="G16" s="170"/>
      <c r="H16" s="163"/>
      <c r="I16" s="145">
        <f t="shared" si="1"/>
      </c>
      <c r="J16" s="147"/>
      <c r="K16" s="145">
        <f t="shared" si="2"/>
      </c>
      <c r="L16" s="145">
        <f t="shared" si="3"/>
      </c>
      <c r="M16" s="146">
        <f t="shared" si="0"/>
      </c>
      <c r="N16" s="13">
        <v>4</v>
      </c>
      <c r="O16" s="111">
        <v>8</v>
      </c>
    </row>
    <row r="17" spans="1:15" ht="30.75" customHeight="1">
      <c r="A17" s="183">
        <v>5</v>
      </c>
      <c r="B17" s="514"/>
      <c r="C17" s="515"/>
      <c r="D17" s="515"/>
      <c r="E17" s="94"/>
      <c r="F17" s="72"/>
      <c r="G17" s="170"/>
      <c r="H17" s="163"/>
      <c r="I17" s="145">
        <f t="shared" si="1"/>
      </c>
      <c r="J17" s="147"/>
      <c r="K17" s="145">
        <f t="shared" si="2"/>
      </c>
      <c r="L17" s="145">
        <f t="shared" si="3"/>
      </c>
      <c r="M17" s="146">
        <f t="shared" si="0"/>
      </c>
      <c r="N17" s="12">
        <v>5</v>
      </c>
      <c r="O17" s="111">
        <v>8</v>
      </c>
    </row>
    <row r="18" spans="1:15" ht="30.75" customHeight="1">
      <c r="A18" s="183">
        <v>6</v>
      </c>
      <c r="B18" s="514"/>
      <c r="C18" s="515"/>
      <c r="D18" s="515"/>
      <c r="E18" s="94"/>
      <c r="F18" s="72"/>
      <c r="G18" s="170"/>
      <c r="H18" s="163"/>
      <c r="I18" s="145">
        <f t="shared" si="1"/>
      </c>
      <c r="J18" s="147"/>
      <c r="K18" s="145">
        <f t="shared" si="2"/>
      </c>
      <c r="L18" s="145">
        <f t="shared" si="3"/>
      </c>
      <c r="M18" s="146">
        <f t="shared" si="0"/>
      </c>
      <c r="N18" s="13">
        <v>6</v>
      </c>
      <c r="O18" s="111">
        <v>8</v>
      </c>
    </row>
    <row r="19" spans="1:15" ht="30.75" customHeight="1">
      <c r="A19" s="183">
        <v>7</v>
      </c>
      <c r="B19" s="514"/>
      <c r="C19" s="515"/>
      <c r="D19" s="515"/>
      <c r="E19" s="94"/>
      <c r="F19" s="95"/>
      <c r="G19" s="170"/>
      <c r="H19" s="163"/>
      <c r="I19" s="145">
        <f t="shared" si="1"/>
      </c>
      <c r="J19" s="147"/>
      <c r="K19" s="145">
        <f t="shared" si="2"/>
      </c>
      <c r="L19" s="145">
        <f t="shared" si="3"/>
      </c>
      <c r="M19" s="146">
        <f t="shared" si="0"/>
      </c>
      <c r="N19" s="12">
        <v>7</v>
      </c>
      <c r="O19" s="111">
        <v>8</v>
      </c>
    </row>
    <row r="20" spans="1:15" ht="30.75" customHeight="1">
      <c r="A20" s="183">
        <v>8</v>
      </c>
      <c r="B20" s="514"/>
      <c r="C20" s="515"/>
      <c r="D20" s="515"/>
      <c r="E20" s="94"/>
      <c r="F20" s="72"/>
      <c r="G20" s="170"/>
      <c r="H20" s="163"/>
      <c r="I20" s="145">
        <f t="shared" si="1"/>
      </c>
      <c r="J20" s="147"/>
      <c r="K20" s="145">
        <f t="shared" si="2"/>
      </c>
      <c r="L20" s="145">
        <f t="shared" si="3"/>
      </c>
      <c r="M20" s="146">
        <f t="shared" si="0"/>
      </c>
      <c r="N20" s="13">
        <v>8</v>
      </c>
      <c r="O20" s="111">
        <v>8</v>
      </c>
    </row>
    <row r="21" spans="1:15" ht="30.75" customHeight="1">
      <c r="A21" s="183">
        <v>9</v>
      </c>
      <c r="B21" s="514"/>
      <c r="C21" s="515"/>
      <c r="D21" s="515"/>
      <c r="E21" s="94"/>
      <c r="F21" s="72"/>
      <c r="G21" s="170"/>
      <c r="H21" s="163"/>
      <c r="I21" s="145">
        <f t="shared" si="1"/>
      </c>
      <c r="J21" s="147"/>
      <c r="K21" s="145">
        <f t="shared" si="2"/>
      </c>
      <c r="L21" s="145">
        <f t="shared" si="3"/>
      </c>
      <c r="M21" s="146">
        <f t="shared" si="0"/>
      </c>
      <c r="N21" s="12">
        <v>9</v>
      </c>
      <c r="O21" s="111">
        <v>8</v>
      </c>
    </row>
    <row r="22" spans="1:15" ht="30.75" customHeight="1">
      <c r="A22" s="183">
        <v>10</v>
      </c>
      <c r="B22" s="514"/>
      <c r="C22" s="515"/>
      <c r="D22" s="515"/>
      <c r="E22" s="94"/>
      <c r="F22" s="72"/>
      <c r="G22" s="170"/>
      <c r="H22" s="163"/>
      <c r="I22" s="145">
        <f t="shared" si="1"/>
      </c>
      <c r="J22" s="147"/>
      <c r="K22" s="145">
        <f t="shared" si="2"/>
      </c>
      <c r="L22" s="145">
        <f t="shared" si="3"/>
      </c>
      <c r="M22" s="146">
        <f t="shared" si="0"/>
      </c>
      <c r="N22" s="13">
        <v>10</v>
      </c>
      <c r="O22" s="111">
        <v>8</v>
      </c>
    </row>
    <row r="23" spans="1:15" ht="30.75" customHeight="1">
      <c r="A23" s="183">
        <v>11</v>
      </c>
      <c r="B23" s="514"/>
      <c r="C23" s="515"/>
      <c r="D23" s="515"/>
      <c r="E23" s="94"/>
      <c r="F23" s="72"/>
      <c r="G23" s="170"/>
      <c r="H23" s="163"/>
      <c r="I23" s="145">
        <f t="shared" si="1"/>
      </c>
      <c r="J23" s="147"/>
      <c r="K23" s="145">
        <f t="shared" si="2"/>
      </c>
      <c r="L23" s="145">
        <f t="shared" si="3"/>
      </c>
      <c r="M23" s="146">
        <f t="shared" si="0"/>
      </c>
      <c r="N23" s="12">
        <v>11</v>
      </c>
      <c r="O23" s="111">
        <v>8</v>
      </c>
    </row>
    <row r="24" spans="1:15" ht="30.75" customHeight="1">
      <c r="A24" s="183">
        <v>12</v>
      </c>
      <c r="B24" s="514"/>
      <c r="C24" s="515"/>
      <c r="D24" s="515"/>
      <c r="E24" s="94"/>
      <c r="F24" s="72"/>
      <c r="G24" s="170"/>
      <c r="H24" s="163"/>
      <c r="I24" s="145">
        <f t="shared" si="1"/>
      </c>
      <c r="J24" s="147"/>
      <c r="K24" s="145">
        <f t="shared" si="2"/>
      </c>
      <c r="L24" s="145">
        <f t="shared" si="3"/>
      </c>
      <c r="M24" s="146">
        <f t="shared" si="0"/>
      </c>
      <c r="N24" s="13">
        <v>12</v>
      </c>
      <c r="O24" s="111">
        <v>8</v>
      </c>
    </row>
    <row r="25" spans="1:15" ht="30.75" customHeight="1">
      <c r="A25" s="183">
        <v>13</v>
      </c>
      <c r="B25" s="514"/>
      <c r="C25" s="515"/>
      <c r="D25" s="515"/>
      <c r="E25" s="94"/>
      <c r="F25" s="72"/>
      <c r="G25" s="170"/>
      <c r="H25" s="163"/>
      <c r="I25" s="145">
        <f t="shared" si="1"/>
      </c>
      <c r="J25" s="147"/>
      <c r="K25" s="145">
        <f t="shared" si="2"/>
      </c>
      <c r="L25" s="145">
        <f t="shared" si="3"/>
      </c>
      <c r="M25" s="146">
        <f t="shared" si="0"/>
      </c>
      <c r="N25" s="12">
        <v>13</v>
      </c>
      <c r="O25" s="111">
        <v>8</v>
      </c>
    </row>
    <row r="26" spans="1:15" ht="30.75" customHeight="1">
      <c r="A26" s="183">
        <v>14</v>
      </c>
      <c r="B26" s="514"/>
      <c r="C26" s="515"/>
      <c r="D26" s="515"/>
      <c r="E26" s="96"/>
      <c r="F26" s="72"/>
      <c r="G26" s="170"/>
      <c r="H26" s="163"/>
      <c r="I26" s="145">
        <f t="shared" si="1"/>
      </c>
      <c r="J26" s="147"/>
      <c r="K26" s="145">
        <f t="shared" si="2"/>
      </c>
      <c r="L26" s="145">
        <f t="shared" si="3"/>
      </c>
      <c r="M26" s="146">
        <f t="shared" si="0"/>
      </c>
      <c r="N26" s="13">
        <v>14</v>
      </c>
      <c r="O26" s="111">
        <v>8</v>
      </c>
    </row>
    <row r="27" spans="1:15" ht="30.75" customHeight="1">
      <c r="A27" s="183">
        <v>15</v>
      </c>
      <c r="B27" s="514"/>
      <c r="C27" s="515"/>
      <c r="D27" s="515"/>
      <c r="E27" s="96"/>
      <c r="F27" s="72"/>
      <c r="G27" s="170"/>
      <c r="H27" s="163"/>
      <c r="I27" s="145">
        <f t="shared" si="1"/>
      </c>
      <c r="J27" s="147"/>
      <c r="K27" s="145">
        <f t="shared" si="2"/>
      </c>
      <c r="L27" s="145">
        <f t="shared" si="3"/>
      </c>
      <c r="M27" s="146">
        <f t="shared" si="0"/>
      </c>
      <c r="N27" s="12">
        <v>15</v>
      </c>
      <c r="O27" s="111">
        <v>8</v>
      </c>
    </row>
    <row r="28" spans="1:15" ht="30.75" customHeight="1">
      <c r="A28" s="183">
        <v>16</v>
      </c>
      <c r="B28" s="514"/>
      <c r="C28" s="515"/>
      <c r="D28" s="515"/>
      <c r="E28" s="94"/>
      <c r="F28" s="72"/>
      <c r="G28" s="170"/>
      <c r="H28" s="163"/>
      <c r="I28" s="145">
        <f t="shared" si="1"/>
      </c>
      <c r="J28" s="147"/>
      <c r="K28" s="145">
        <f t="shared" si="2"/>
      </c>
      <c r="L28" s="145">
        <f t="shared" si="3"/>
      </c>
      <c r="M28" s="146">
        <f t="shared" si="0"/>
      </c>
      <c r="N28" s="13">
        <v>16</v>
      </c>
      <c r="O28" s="111">
        <v>8</v>
      </c>
    </row>
    <row r="29" spans="1:15" ht="30.75" customHeight="1">
      <c r="A29" s="183">
        <v>17</v>
      </c>
      <c r="B29" s="514"/>
      <c r="C29" s="515"/>
      <c r="D29" s="515"/>
      <c r="E29" s="94"/>
      <c r="F29" s="72"/>
      <c r="G29" s="170"/>
      <c r="H29" s="163"/>
      <c r="I29" s="145">
        <f t="shared" si="1"/>
      </c>
      <c r="J29" s="147"/>
      <c r="K29" s="145">
        <f t="shared" si="2"/>
      </c>
      <c r="L29" s="145">
        <f t="shared" si="3"/>
      </c>
      <c r="M29" s="146">
        <f t="shared" si="0"/>
      </c>
      <c r="N29" s="12">
        <v>17</v>
      </c>
      <c r="O29" s="111">
        <v>8</v>
      </c>
    </row>
    <row r="30" spans="1:15" ht="30.75" customHeight="1">
      <c r="A30" s="183">
        <v>18</v>
      </c>
      <c r="B30" s="514"/>
      <c r="C30" s="515"/>
      <c r="D30" s="515"/>
      <c r="E30" s="94"/>
      <c r="F30" s="72"/>
      <c r="G30" s="170"/>
      <c r="H30" s="163"/>
      <c r="I30" s="145">
        <f t="shared" si="1"/>
      </c>
      <c r="J30" s="147"/>
      <c r="K30" s="145">
        <f t="shared" si="2"/>
      </c>
      <c r="L30" s="145">
        <f t="shared" si="3"/>
      </c>
      <c r="M30" s="146">
        <f t="shared" si="0"/>
      </c>
      <c r="N30" s="13">
        <v>18</v>
      </c>
      <c r="O30" s="111">
        <v>8</v>
      </c>
    </row>
    <row r="31" spans="1:15" ht="30.75" customHeight="1">
      <c r="A31" s="183">
        <v>19</v>
      </c>
      <c r="B31" s="514"/>
      <c r="C31" s="515"/>
      <c r="D31" s="515"/>
      <c r="E31" s="96"/>
      <c r="F31" s="72"/>
      <c r="G31" s="170"/>
      <c r="H31" s="163"/>
      <c r="I31" s="145">
        <f t="shared" si="1"/>
      </c>
      <c r="J31" s="147"/>
      <c r="K31" s="145">
        <f t="shared" si="2"/>
      </c>
      <c r="L31" s="145">
        <f t="shared" si="3"/>
      </c>
      <c r="M31" s="146">
        <f t="shared" si="0"/>
      </c>
      <c r="N31" s="12">
        <v>19</v>
      </c>
      <c r="O31" s="111">
        <v>8</v>
      </c>
    </row>
    <row r="32" spans="1:15" ht="30.75" customHeight="1" thickBot="1">
      <c r="A32" s="184">
        <v>20</v>
      </c>
      <c r="B32" s="521"/>
      <c r="C32" s="522"/>
      <c r="D32" s="522"/>
      <c r="E32" s="97"/>
      <c r="F32" s="76"/>
      <c r="G32" s="173"/>
      <c r="H32" s="165"/>
      <c r="I32" s="148">
        <f t="shared" si="1"/>
      </c>
      <c r="J32" s="149"/>
      <c r="K32" s="148">
        <f t="shared" si="2"/>
      </c>
      <c r="L32" s="148">
        <f t="shared" si="3"/>
      </c>
      <c r="M32" s="150">
        <f t="shared" si="0"/>
      </c>
      <c r="N32" s="25">
        <v>20</v>
      </c>
      <c r="O32" s="112">
        <v>8</v>
      </c>
    </row>
    <row r="33" spans="1:14" ht="21" customHeight="1" thickBot="1">
      <c r="A33" s="530" t="s">
        <v>16</v>
      </c>
      <c r="B33" s="531"/>
      <c r="C33" s="531"/>
      <c r="D33" s="531"/>
      <c r="E33" s="531"/>
      <c r="F33" s="531"/>
      <c r="G33" s="531"/>
      <c r="H33" s="531"/>
      <c r="I33" s="531"/>
      <c r="J33" s="79"/>
      <c r="K33" s="144">
        <f>SUM(K13:K32)</f>
        <v>955800</v>
      </c>
      <c r="L33" s="144">
        <f>SUM(L13:L32)</f>
        <v>885000</v>
      </c>
      <c r="M33" s="142">
        <f>SUM(M13:M32)</f>
        <v>885000</v>
      </c>
      <c r="N33" s="14"/>
    </row>
    <row r="34" spans="1:14" ht="13.5" customHeight="1">
      <c r="A34" s="87"/>
      <c r="N34" s="11"/>
    </row>
    <row r="35" spans="1:14" ht="13.5" customHeight="1">
      <c r="A35" s="87"/>
      <c r="B35" s="1" t="s">
        <v>18</v>
      </c>
      <c r="D35" s="87"/>
      <c r="E35" s="77" t="s">
        <v>33</v>
      </c>
      <c r="N35" s="11"/>
    </row>
    <row r="36" ht="13.5" customHeight="1">
      <c r="E36" s="77" t="s">
        <v>34</v>
      </c>
    </row>
    <row r="37" spans="2:5" ht="13.5" customHeight="1">
      <c r="B37" s="1" t="s">
        <v>19</v>
      </c>
      <c r="E37" s="77" t="s">
        <v>35</v>
      </c>
    </row>
    <row r="38" spans="2:5" ht="13.5" customHeight="1">
      <c r="B38" s="1" t="s">
        <v>20</v>
      </c>
      <c r="E38" s="77" t="s">
        <v>36</v>
      </c>
    </row>
  </sheetData>
  <sheetProtection sheet="1" objects="1" scenarios="1"/>
  <mergeCells count="27">
    <mergeCell ref="A4:E4"/>
    <mergeCell ref="A11:A12"/>
    <mergeCell ref="B11:D11"/>
    <mergeCell ref="K11:L11"/>
    <mergeCell ref="N11:N12"/>
    <mergeCell ref="O11:O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31:D31"/>
    <mergeCell ref="B32:D32"/>
    <mergeCell ref="A33:I33"/>
    <mergeCell ref="B25:D25"/>
    <mergeCell ref="B26:D26"/>
    <mergeCell ref="B27:D27"/>
    <mergeCell ref="B28:D28"/>
    <mergeCell ref="B29:D29"/>
    <mergeCell ref="B30:D30"/>
  </mergeCells>
  <dataValidations count="1">
    <dataValidation allowBlank="1" showInputMessage="1" showErrorMessage="1" imeMode="halfAlpha" sqref="I13:M32"/>
  </dataValidations>
  <hyperlinks>
    <hyperlink ref="B2" location="経費明細表!A1" display="戻る"/>
  </hyperlinks>
  <printOptions/>
  <pageMargins left="0.8661417322834646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1">
    <tabColor rgb="FF92D050"/>
    <pageSetUpPr fitToPage="1"/>
  </sheetPr>
  <dimension ref="A1:R38"/>
  <sheetViews>
    <sheetView showGridLines="0" zoomScaleSheetLayoutView="80" zoomScalePageLayoutView="0" workbookViewId="0" topLeftCell="A1">
      <pane ySplit="3" topLeftCell="A4" activePane="bottomLeft" state="frozen"/>
      <selection pane="topLeft" activeCell="O8" sqref="O8"/>
      <selection pane="bottomLeft" activeCell="A1" sqref="A1"/>
    </sheetView>
  </sheetViews>
  <sheetFormatPr defaultColWidth="9.140625" defaultRowHeight="15"/>
  <cols>
    <col min="1" max="4" width="3.7109375" style="1" customWidth="1"/>
    <col min="5" max="5" width="16.421875" style="77" customWidth="1"/>
    <col min="6" max="6" width="16.140625" style="77" customWidth="1"/>
    <col min="7" max="7" width="9.140625" style="1" customWidth="1"/>
    <col min="8" max="8" width="6.421875" style="1" customWidth="1"/>
    <col min="9" max="10" width="11.57421875" style="1" customWidth="1"/>
    <col min="11" max="13" width="15.140625" style="1" customWidth="1"/>
    <col min="14" max="14" width="3.8515625" style="5" customWidth="1"/>
    <col min="15" max="15" width="5.28125" style="5" customWidth="1"/>
    <col min="16" max="16384" width="9.00390625" style="1" customWidth="1"/>
  </cols>
  <sheetData>
    <row r="1" spans="1:18" ht="13.5">
      <c r="A1" s="5"/>
      <c r="E1" s="82"/>
      <c r="H1" s="5"/>
      <c r="P1" s="5"/>
      <c r="Q1" s="83"/>
      <c r="R1" s="83"/>
    </row>
    <row r="2" spans="1:18" ht="13.5">
      <c r="A2" s="5"/>
      <c r="B2" s="248" t="s">
        <v>579</v>
      </c>
      <c r="E2" s="82"/>
      <c r="H2" s="5"/>
      <c r="P2" s="5"/>
      <c r="Q2" s="83"/>
      <c r="R2" s="83"/>
    </row>
    <row r="3" spans="1:18" ht="13.5">
      <c r="A3" s="5"/>
      <c r="E3" s="82"/>
      <c r="H3" s="5"/>
      <c r="P3" s="5"/>
      <c r="Q3" s="83"/>
      <c r="R3" s="83"/>
    </row>
    <row r="4" spans="1:6" ht="13.5" customHeight="1">
      <c r="A4" s="518" t="s">
        <v>712</v>
      </c>
      <c r="B4" s="518"/>
      <c r="C4" s="518"/>
      <c r="D4" s="518"/>
      <c r="E4" s="518"/>
      <c r="F4" s="5"/>
    </row>
    <row r="5" spans="1:14" ht="13.5" customHeight="1">
      <c r="A5" s="11"/>
      <c r="B5" s="11"/>
      <c r="C5" s="11"/>
      <c r="D5" s="11"/>
      <c r="E5" s="84"/>
      <c r="F5" s="5"/>
      <c r="N5" s="11"/>
    </row>
    <row r="6" spans="1:14" ht="13.5" customHeight="1">
      <c r="A6" s="11"/>
      <c r="B6" s="240" t="s">
        <v>648</v>
      </c>
      <c r="C6" s="241"/>
      <c r="D6" s="242"/>
      <c r="E6" s="243"/>
      <c r="F6" s="85" t="s">
        <v>17</v>
      </c>
      <c r="N6" s="11"/>
    </row>
    <row r="7" spans="1:14" ht="13.5" customHeight="1">
      <c r="A7" s="11"/>
      <c r="B7" s="11"/>
      <c r="C7" s="11"/>
      <c r="D7" s="11"/>
      <c r="E7" s="84"/>
      <c r="F7" s="131" t="s">
        <v>556</v>
      </c>
      <c r="N7" s="11"/>
    </row>
    <row r="8" spans="1:15" ht="13.5" customHeight="1">
      <c r="A8" s="11"/>
      <c r="B8" s="11"/>
      <c r="C8" s="11"/>
      <c r="D8" s="11"/>
      <c r="E8" s="84"/>
      <c r="F8" s="5"/>
      <c r="M8" s="1" t="s">
        <v>21</v>
      </c>
      <c r="N8" s="11"/>
      <c r="O8" s="86"/>
    </row>
    <row r="9" spans="1:14" ht="13.5" customHeight="1">
      <c r="A9" s="87"/>
      <c r="F9" s="5"/>
      <c r="K9" s="2" t="s">
        <v>527</v>
      </c>
      <c r="L9" s="81" t="str">
        <f>IF('基本情報入力（使い方）'!$C$11="","",'基本情報入力（使い方）'!$C$11)</f>
        <v>Ｂ金属株式会社</v>
      </c>
      <c r="M9" s="88"/>
      <c r="N9" s="11"/>
    </row>
    <row r="10" spans="1:14" ht="13.5" customHeight="1" thickBot="1">
      <c r="A10" s="87"/>
      <c r="F10" s="5"/>
      <c r="N10" s="11"/>
    </row>
    <row r="11" spans="1:15" ht="27" customHeight="1">
      <c r="A11" s="519" t="s">
        <v>2</v>
      </c>
      <c r="B11" s="508" t="s">
        <v>3</v>
      </c>
      <c r="C11" s="508"/>
      <c r="D11" s="509"/>
      <c r="E11" s="3" t="s">
        <v>4</v>
      </c>
      <c r="F11" s="3" t="s">
        <v>5</v>
      </c>
      <c r="G11" s="3" t="s">
        <v>6</v>
      </c>
      <c r="H11" s="3" t="s">
        <v>7</v>
      </c>
      <c r="I11" s="3" t="s">
        <v>1</v>
      </c>
      <c r="J11" s="3" t="s">
        <v>1</v>
      </c>
      <c r="K11" s="529" t="s">
        <v>8</v>
      </c>
      <c r="L11" s="509"/>
      <c r="M11" s="3" t="s">
        <v>9</v>
      </c>
      <c r="N11" s="510" t="s">
        <v>2</v>
      </c>
      <c r="O11" s="523" t="s">
        <v>40</v>
      </c>
    </row>
    <row r="12" spans="1:15" ht="42" customHeight="1" thickBot="1">
      <c r="A12" s="520"/>
      <c r="B12" s="89" t="s">
        <v>10</v>
      </c>
      <c r="C12" s="89" t="s">
        <v>11</v>
      </c>
      <c r="D12" s="90" t="s">
        <v>12</v>
      </c>
      <c r="E12" s="91"/>
      <c r="F12" s="92"/>
      <c r="G12" s="78"/>
      <c r="H12" s="78"/>
      <c r="I12" s="78" t="s">
        <v>13</v>
      </c>
      <c r="J12" s="78" t="s">
        <v>25</v>
      </c>
      <c r="K12" s="78" t="s">
        <v>14</v>
      </c>
      <c r="L12" s="4" t="s">
        <v>23</v>
      </c>
      <c r="M12" s="78" t="s">
        <v>15</v>
      </c>
      <c r="N12" s="511"/>
      <c r="O12" s="524"/>
    </row>
    <row r="13" spans="1:15" ht="30.75" customHeight="1">
      <c r="A13" s="182">
        <v>1</v>
      </c>
      <c r="B13" s="525"/>
      <c r="C13" s="526"/>
      <c r="D13" s="526"/>
      <c r="E13" s="70" t="s">
        <v>713</v>
      </c>
      <c r="F13" s="70" t="s">
        <v>714</v>
      </c>
      <c r="G13" s="174"/>
      <c r="H13" s="166" t="s">
        <v>715</v>
      </c>
      <c r="I13" s="153">
        <f>IF(J13="","",ROUNDDOWN(J13*(1+O13/100),0))</f>
        <v>54000</v>
      </c>
      <c r="J13" s="143">
        <v>50000</v>
      </c>
      <c r="K13" s="153">
        <f>IF(L13="","",ROUNDDOWN(L13*(1+O13/100),0))</f>
      </c>
      <c r="L13" s="153">
        <f>IF(OR(J13="",G13=""),"",ROUNDDOWN(J13*G13,0))</f>
      </c>
      <c r="M13" s="146">
        <f aca="true" t="shared" si="0" ref="M13:M32">L13</f>
      </c>
      <c r="N13" s="12">
        <v>1</v>
      </c>
      <c r="O13" s="111">
        <v>8</v>
      </c>
    </row>
    <row r="14" spans="1:15" ht="30.75" customHeight="1">
      <c r="A14" s="183">
        <v>2</v>
      </c>
      <c r="B14" s="514"/>
      <c r="C14" s="515"/>
      <c r="D14" s="515"/>
      <c r="E14" s="72"/>
      <c r="F14" s="72"/>
      <c r="G14" s="171"/>
      <c r="H14" s="167"/>
      <c r="I14" s="146">
        <f aca="true" t="shared" si="1" ref="I14:I32">IF(J14="","",ROUNDDOWN(J14*(1+O14/100),0))</f>
      </c>
      <c r="J14" s="390"/>
      <c r="K14" s="146">
        <f aca="true" t="shared" si="2" ref="K14:K32">IF(L14="","",ROUNDDOWN(L14*(1+O14/100),0))</f>
      </c>
      <c r="L14" s="146">
        <f aca="true" t="shared" si="3" ref="L14:L32">IF(OR(J14="",G14=""),"",ROUNDDOWN(J14*G14,0))</f>
      </c>
      <c r="M14" s="146">
        <f t="shared" si="0"/>
      </c>
      <c r="N14" s="13">
        <v>2</v>
      </c>
      <c r="O14" s="111">
        <v>8</v>
      </c>
    </row>
    <row r="15" spans="1:15" ht="30.75" customHeight="1">
      <c r="A15" s="183">
        <v>3</v>
      </c>
      <c r="B15" s="514"/>
      <c r="C15" s="515"/>
      <c r="D15" s="515"/>
      <c r="E15" s="72"/>
      <c r="F15" s="72"/>
      <c r="G15" s="171"/>
      <c r="H15" s="167"/>
      <c r="I15" s="146">
        <f t="shared" si="1"/>
      </c>
      <c r="J15" s="390"/>
      <c r="K15" s="146">
        <f t="shared" si="2"/>
      </c>
      <c r="L15" s="146">
        <f t="shared" si="3"/>
      </c>
      <c r="M15" s="146">
        <f t="shared" si="0"/>
      </c>
      <c r="N15" s="12">
        <v>3</v>
      </c>
      <c r="O15" s="111">
        <v>8</v>
      </c>
    </row>
    <row r="16" spans="1:15" ht="30.75" customHeight="1">
      <c r="A16" s="183">
        <v>4</v>
      </c>
      <c r="B16" s="514"/>
      <c r="C16" s="515"/>
      <c r="D16" s="515"/>
      <c r="E16" s="72"/>
      <c r="F16" s="72"/>
      <c r="G16" s="171"/>
      <c r="H16" s="167"/>
      <c r="I16" s="145">
        <f t="shared" si="1"/>
      </c>
      <c r="J16" s="390"/>
      <c r="K16" s="145">
        <f t="shared" si="2"/>
      </c>
      <c r="L16" s="145">
        <f t="shared" si="3"/>
      </c>
      <c r="M16" s="146">
        <f t="shared" si="0"/>
      </c>
      <c r="N16" s="13">
        <v>4</v>
      </c>
      <c r="O16" s="111">
        <v>8</v>
      </c>
    </row>
    <row r="17" spans="1:15" ht="30.75" customHeight="1">
      <c r="A17" s="183">
        <v>5</v>
      </c>
      <c r="B17" s="514"/>
      <c r="C17" s="515"/>
      <c r="D17" s="515"/>
      <c r="E17" s="94"/>
      <c r="F17" s="72"/>
      <c r="G17" s="170"/>
      <c r="H17" s="163"/>
      <c r="I17" s="145">
        <f t="shared" si="1"/>
      </c>
      <c r="J17" s="147"/>
      <c r="K17" s="145">
        <f t="shared" si="2"/>
      </c>
      <c r="L17" s="145">
        <f t="shared" si="3"/>
      </c>
      <c r="M17" s="146">
        <f t="shared" si="0"/>
      </c>
      <c r="N17" s="12">
        <v>5</v>
      </c>
      <c r="O17" s="111">
        <v>8</v>
      </c>
    </row>
    <row r="18" spans="1:15" ht="30.75" customHeight="1">
      <c r="A18" s="183">
        <v>6</v>
      </c>
      <c r="B18" s="514"/>
      <c r="C18" s="515"/>
      <c r="D18" s="515"/>
      <c r="E18" s="94"/>
      <c r="F18" s="72"/>
      <c r="G18" s="170"/>
      <c r="H18" s="163"/>
      <c r="I18" s="145">
        <f t="shared" si="1"/>
      </c>
      <c r="J18" s="147"/>
      <c r="K18" s="145">
        <f t="shared" si="2"/>
      </c>
      <c r="L18" s="145">
        <f t="shared" si="3"/>
      </c>
      <c r="M18" s="146">
        <f t="shared" si="0"/>
      </c>
      <c r="N18" s="13">
        <v>6</v>
      </c>
      <c r="O18" s="111">
        <v>8</v>
      </c>
    </row>
    <row r="19" spans="1:15" ht="30.75" customHeight="1">
      <c r="A19" s="183">
        <v>7</v>
      </c>
      <c r="B19" s="514"/>
      <c r="C19" s="515"/>
      <c r="D19" s="515"/>
      <c r="E19" s="94"/>
      <c r="F19" s="95"/>
      <c r="G19" s="170"/>
      <c r="H19" s="163"/>
      <c r="I19" s="145">
        <f t="shared" si="1"/>
      </c>
      <c r="J19" s="147"/>
      <c r="K19" s="145">
        <f t="shared" si="2"/>
      </c>
      <c r="L19" s="145">
        <f t="shared" si="3"/>
      </c>
      <c r="M19" s="146">
        <f t="shared" si="0"/>
      </c>
      <c r="N19" s="12">
        <v>7</v>
      </c>
      <c r="O19" s="111">
        <v>8</v>
      </c>
    </row>
    <row r="20" spans="1:15" ht="30.75" customHeight="1">
      <c r="A20" s="183">
        <v>8</v>
      </c>
      <c r="B20" s="514"/>
      <c r="C20" s="515"/>
      <c r="D20" s="515"/>
      <c r="E20" s="94"/>
      <c r="F20" s="72"/>
      <c r="G20" s="170"/>
      <c r="H20" s="163"/>
      <c r="I20" s="145">
        <f t="shared" si="1"/>
      </c>
      <c r="J20" s="147"/>
      <c r="K20" s="145">
        <f t="shared" si="2"/>
      </c>
      <c r="L20" s="145">
        <f t="shared" si="3"/>
      </c>
      <c r="M20" s="146">
        <f t="shared" si="0"/>
      </c>
      <c r="N20" s="13">
        <v>8</v>
      </c>
      <c r="O20" s="111">
        <v>8</v>
      </c>
    </row>
    <row r="21" spans="1:15" ht="30.75" customHeight="1">
      <c r="A21" s="183">
        <v>9</v>
      </c>
      <c r="B21" s="514"/>
      <c r="C21" s="515"/>
      <c r="D21" s="515"/>
      <c r="E21" s="94"/>
      <c r="F21" s="72"/>
      <c r="G21" s="170"/>
      <c r="H21" s="163"/>
      <c r="I21" s="145">
        <f t="shared" si="1"/>
      </c>
      <c r="J21" s="147"/>
      <c r="K21" s="145">
        <f t="shared" si="2"/>
      </c>
      <c r="L21" s="145">
        <f t="shared" si="3"/>
      </c>
      <c r="M21" s="146">
        <f t="shared" si="0"/>
      </c>
      <c r="N21" s="12">
        <v>9</v>
      </c>
      <c r="O21" s="111">
        <v>8</v>
      </c>
    </row>
    <row r="22" spans="1:15" ht="30.75" customHeight="1">
      <c r="A22" s="183">
        <v>10</v>
      </c>
      <c r="B22" s="514"/>
      <c r="C22" s="515"/>
      <c r="D22" s="515"/>
      <c r="E22" s="94"/>
      <c r="F22" s="72"/>
      <c r="G22" s="170"/>
      <c r="H22" s="163"/>
      <c r="I22" s="145">
        <f t="shared" si="1"/>
      </c>
      <c r="J22" s="147"/>
      <c r="K22" s="145">
        <f t="shared" si="2"/>
      </c>
      <c r="L22" s="145">
        <f t="shared" si="3"/>
      </c>
      <c r="M22" s="146">
        <f t="shared" si="0"/>
      </c>
      <c r="N22" s="13">
        <v>10</v>
      </c>
      <c r="O22" s="111">
        <v>8</v>
      </c>
    </row>
    <row r="23" spans="1:15" ht="30.75" customHeight="1">
      <c r="A23" s="183">
        <v>11</v>
      </c>
      <c r="B23" s="514"/>
      <c r="C23" s="515"/>
      <c r="D23" s="515"/>
      <c r="E23" s="94"/>
      <c r="F23" s="72"/>
      <c r="G23" s="170"/>
      <c r="H23" s="163"/>
      <c r="I23" s="145">
        <f t="shared" si="1"/>
      </c>
      <c r="J23" s="147"/>
      <c r="K23" s="145">
        <f t="shared" si="2"/>
      </c>
      <c r="L23" s="145">
        <f t="shared" si="3"/>
      </c>
      <c r="M23" s="146">
        <f t="shared" si="0"/>
      </c>
      <c r="N23" s="12">
        <v>11</v>
      </c>
      <c r="O23" s="111">
        <v>8</v>
      </c>
    </row>
    <row r="24" spans="1:15" ht="30.75" customHeight="1">
      <c r="A24" s="183">
        <v>12</v>
      </c>
      <c r="B24" s="514"/>
      <c r="C24" s="515"/>
      <c r="D24" s="515"/>
      <c r="E24" s="94"/>
      <c r="F24" s="72"/>
      <c r="G24" s="170"/>
      <c r="H24" s="163"/>
      <c r="I24" s="145">
        <f t="shared" si="1"/>
      </c>
      <c r="J24" s="147"/>
      <c r="K24" s="145">
        <f t="shared" si="2"/>
      </c>
      <c r="L24" s="145">
        <f t="shared" si="3"/>
      </c>
      <c r="M24" s="146">
        <f t="shared" si="0"/>
      </c>
      <c r="N24" s="13">
        <v>12</v>
      </c>
      <c r="O24" s="111">
        <v>8</v>
      </c>
    </row>
    <row r="25" spans="1:15" ht="30.75" customHeight="1">
      <c r="A25" s="183">
        <v>13</v>
      </c>
      <c r="B25" s="514"/>
      <c r="C25" s="515"/>
      <c r="D25" s="515"/>
      <c r="E25" s="94"/>
      <c r="F25" s="72"/>
      <c r="G25" s="170"/>
      <c r="H25" s="163"/>
      <c r="I25" s="145">
        <f t="shared" si="1"/>
      </c>
      <c r="J25" s="147"/>
      <c r="K25" s="145">
        <f t="shared" si="2"/>
      </c>
      <c r="L25" s="145">
        <f t="shared" si="3"/>
      </c>
      <c r="M25" s="146">
        <f t="shared" si="0"/>
      </c>
      <c r="N25" s="12">
        <v>13</v>
      </c>
      <c r="O25" s="111">
        <v>8</v>
      </c>
    </row>
    <row r="26" spans="1:15" ht="30.75" customHeight="1">
      <c r="A26" s="183">
        <v>14</v>
      </c>
      <c r="B26" s="514"/>
      <c r="C26" s="515"/>
      <c r="D26" s="515"/>
      <c r="E26" s="96"/>
      <c r="F26" s="72"/>
      <c r="G26" s="170"/>
      <c r="H26" s="163"/>
      <c r="I26" s="145">
        <f t="shared" si="1"/>
      </c>
      <c r="J26" s="147"/>
      <c r="K26" s="145">
        <f t="shared" si="2"/>
      </c>
      <c r="L26" s="145">
        <f t="shared" si="3"/>
      </c>
      <c r="M26" s="146">
        <f t="shared" si="0"/>
      </c>
      <c r="N26" s="13">
        <v>14</v>
      </c>
      <c r="O26" s="111">
        <v>8</v>
      </c>
    </row>
    <row r="27" spans="1:15" ht="30.75" customHeight="1">
      <c r="A27" s="183">
        <v>15</v>
      </c>
      <c r="B27" s="514"/>
      <c r="C27" s="515"/>
      <c r="D27" s="515"/>
      <c r="E27" s="96"/>
      <c r="F27" s="72"/>
      <c r="G27" s="170"/>
      <c r="H27" s="163"/>
      <c r="I27" s="145">
        <f t="shared" si="1"/>
      </c>
      <c r="J27" s="147"/>
      <c r="K27" s="145">
        <f t="shared" si="2"/>
      </c>
      <c r="L27" s="145">
        <f t="shared" si="3"/>
      </c>
      <c r="M27" s="146">
        <f t="shared" si="0"/>
      </c>
      <c r="N27" s="12">
        <v>15</v>
      </c>
      <c r="O27" s="111">
        <v>8</v>
      </c>
    </row>
    <row r="28" spans="1:15" ht="30.75" customHeight="1">
      <c r="A28" s="183">
        <v>16</v>
      </c>
      <c r="B28" s="514"/>
      <c r="C28" s="515"/>
      <c r="D28" s="515"/>
      <c r="E28" s="94"/>
      <c r="F28" s="72"/>
      <c r="G28" s="170"/>
      <c r="H28" s="163"/>
      <c r="I28" s="145">
        <f t="shared" si="1"/>
      </c>
      <c r="J28" s="147"/>
      <c r="K28" s="145">
        <f t="shared" si="2"/>
      </c>
      <c r="L28" s="145">
        <f t="shared" si="3"/>
      </c>
      <c r="M28" s="146">
        <f t="shared" si="0"/>
      </c>
      <c r="N28" s="13">
        <v>16</v>
      </c>
      <c r="O28" s="111">
        <v>8</v>
      </c>
    </row>
    <row r="29" spans="1:15" ht="30.75" customHeight="1">
      <c r="A29" s="183">
        <v>17</v>
      </c>
      <c r="B29" s="514"/>
      <c r="C29" s="515"/>
      <c r="D29" s="515"/>
      <c r="E29" s="94"/>
      <c r="F29" s="72"/>
      <c r="G29" s="170"/>
      <c r="H29" s="163"/>
      <c r="I29" s="145">
        <f t="shared" si="1"/>
      </c>
      <c r="J29" s="147"/>
      <c r="K29" s="145">
        <f t="shared" si="2"/>
      </c>
      <c r="L29" s="145">
        <f t="shared" si="3"/>
      </c>
      <c r="M29" s="146">
        <f t="shared" si="0"/>
      </c>
      <c r="N29" s="12">
        <v>17</v>
      </c>
      <c r="O29" s="111">
        <v>8</v>
      </c>
    </row>
    <row r="30" spans="1:15" ht="30.75" customHeight="1">
      <c r="A30" s="183">
        <v>18</v>
      </c>
      <c r="B30" s="514"/>
      <c r="C30" s="515"/>
      <c r="D30" s="515"/>
      <c r="E30" s="94"/>
      <c r="F30" s="72"/>
      <c r="G30" s="170"/>
      <c r="H30" s="163"/>
      <c r="I30" s="145">
        <f t="shared" si="1"/>
      </c>
      <c r="J30" s="147"/>
      <c r="K30" s="145">
        <f t="shared" si="2"/>
      </c>
      <c r="L30" s="145">
        <f t="shared" si="3"/>
      </c>
      <c r="M30" s="146">
        <f t="shared" si="0"/>
      </c>
      <c r="N30" s="13">
        <v>18</v>
      </c>
      <c r="O30" s="111">
        <v>8</v>
      </c>
    </row>
    <row r="31" spans="1:15" ht="30.75" customHeight="1">
      <c r="A31" s="183">
        <v>19</v>
      </c>
      <c r="B31" s="514"/>
      <c r="C31" s="515"/>
      <c r="D31" s="515"/>
      <c r="E31" s="96"/>
      <c r="F31" s="72"/>
      <c r="G31" s="170"/>
      <c r="H31" s="163"/>
      <c r="I31" s="145">
        <f t="shared" si="1"/>
      </c>
      <c r="J31" s="147"/>
      <c r="K31" s="145">
        <f t="shared" si="2"/>
      </c>
      <c r="L31" s="145">
        <f t="shared" si="3"/>
      </c>
      <c r="M31" s="146">
        <f t="shared" si="0"/>
      </c>
      <c r="N31" s="12">
        <v>19</v>
      </c>
      <c r="O31" s="111">
        <v>8</v>
      </c>
    </row>
    <row r="32" spans="1:15" ht="30.75" customHeight="1" thickBot="1">
      <c r="A32" s="184">
        <v>20</v>
      </c>
      <c r="B32" s="521"/>
      <c r="C32" s="522"/>
      <c r="D32" s="522"/>
      <c r="E32" s="97"/>
      <c r="F32" s="76"/>
      <c r="G32" s="173"/>
      <c r="H32" s="165"/>
      <c r="I32" s="148">
        <f t="shared" si="1"/>
      </c>
      <c r="J32" s="149"/>
      <c r="K32" s="148">
        <f t="shared" si="2"/>
      </c>
      <c r="L32" s="148">
        <f t="shared" si="3"/>
      </c>
      <c r="M32" s="150">
        <f t="shared" si="0"/>
      </c>
      <c r="N32" s="25">
        <v>20</v>
      </c>
      <c r="O32" s="112">
        <v>8</v>
      </c>
    </row>
    <row r="33" spans="1:14" ht="21" customHeight="1" thickBot="1">
      <c r="A33" s="530" t="s">
        <v>16</v>
      </c>
      <c r="B33" s="531"/>
      <c r="C33" s="531"/>
      <c r="D33" s="531"/>
      <c r="E33" s="531"/>
      <c r="F33" s="531"/>
      <c r="G33" s="531"/>
      <c r="H33" s="531"/>
      <c r="I33" s="531"/>
      <c r="J33" s="79"/>
      <c r="K33" s="144">
        <f>SUM(K13:K32)</f>
        <v>0</v>
      </c>
      <c r="L33" s="144">
        <f>SUM(L13:L32)</f>
        <v>0</v>
      </c>
      <c r="M33" s="142">
        <f>SUM(M13:M32)</f>
        <v>0</v>
      </c>
      <c r="N33" s="14"/>
    </row>
    <row r="34" spans="1:14" ht="13.5" customHeight="1">
      <c r="A34" s="87"/>
      <c r="N34" s="11"/>
    </row>
    <row r="35" spans="1:14" ht="13.5" customHeight="1">
      <c r="A35" s="87"/>
      <c r="B35" s="1" t="s">
        <v>18</v>
      </c>
      <c r="D35" s="87"/>
      <c r="E35" s="77" t="s">
        <v>33</v>
      </c>
      <c r="N35" s="11"/>
    </row>
    <row r="36" ht="13.5" customHeight="1">
      <c r="E36" s="77" t="s">
        <v>34</v>
      </c>
    </row>
    <row r="37" spans="2:5" ht="13.5" customHeight="1">
      <c r="B37" s="1" t="s">
        <v>19</v>
      </c>
      <c r="E37" s="77" t="s">
        <v>35</v>
      </c>
    </row>
    <row r="38" spans="2:5" ht="13.5" customHeight="1">
      <c r="B38" s="1" t="s">
        <v>20</v>
      </c>
      <c r="E38" s="77" t="s">
        <v>36</v>
      </c>
    </row>
  </sheetData>
  <sheetProtection sheet="1" objects="1" scenarios="1"/>
  <mergeCells count="27">
    <mergeCell ref="A4:E4"/>
    <mergeCell ref="A11:A12"/>
    <mergeCell ref="B11:D11"/>
    <mergeCell ref="K11:L11"/>
    <mergeCell ref="N11:N12"/>
    <mergeCell ref="O11:O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31:D31"/>
    <mergeCell ref="B32:D32"/>
    <mergeCell ref="A33:I33"/>
    <mergeCell ref="B25:D25"/>
    <mergeCell ref="B26:D26"/>
    <mergeCell ref="B27:D27"/>
    <mergeCell ref="B28:D28"/>
    <mergeCell ref="B29:D29"/>
    <mergeCell ref="B30:D30"/>
  </mergeCells>
  <dataValidations count="1">
    <dataValidation allowBlank="1" showInputMessage="1" showErrorMessage="1" imeMode="halfAlpha" sqref="I13:M32"/>
  </dataValidations>
  <hyperlinks>
    <hyperlink ref="B2" location="経費明細表!A1" display="戻る"/>
  </hyperlinks>
  <printOptions/>
  <pageMargins left="0.8661417322834646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0">
    <tabColor rgb="FF92D050"/>
    <pageSetUpPr fitToPage="1"/>
  </sheetPr>
  <dimension ref="A1:R38"/>
  <sheetViews>
    <sheetView showGridLines="0" zoomScaleSheetLayoutView="80" zoomScalePageLayoutView="0" workbookViewId="0" topLeftCell="A1">
      <pane ySplit="3" topLeftCell="A4" activePane="bottomLeft" state="frozen"/>
      <selection pane="topLeft" activeCell="O8" sqref="O8"/>
      <selection pane="bottomLeft" activeCell="A1" sqref="A1"/>
    </sheetView>
  </sheetViews>
  <sheetFormatPr defaultColWidth="9.140625" defaultRowHeight="15"/>
  <cols>
    <col min="1" max="4" width="3.7109375" style="1" customWidth="1"/>
    <col min="5" max="5" width="16.421875" style="77" customWidth="1"/>
    <col min="6" max="6" width="16.140625" style="77" customWidth="1"/>
    <col min="7" max="7" width="9.140625" style="1" customWidth="1"/>
    <col min="8" max="8" width="6.421875" style="1" customWidth="1"/>
    <col min="9" max="10" width="11.57421875" style="1" customWidth="1"/>
    <col min="11" max="13" width="15.140625" style="1" customWidth="1"/>
    <col min="14" max="14" width="3.8515625" style="5" customWidth="1"/>
    <col min="15" max="15" width="5.28125" style="5" customWidth="1"/>
    <col min="16" max="16384" width="9.00390625" style="1" customWidth="1"/>
  </cols>
  <sheetData>
    <row r="1" spans="1:18" ht="13.5">
      <c r="A1" s="5"/>
      <c r="E1" s="82"/>
      <c r="H1" s="5"/>
      <c r="P1" s="5"/>
      <c r="Q1" s="83"/>
      <c r="R1" s="83"/>
    </row>
    <row r="2" spans="1:18" ht="13.5">
      <c r="A2" s="5"/>
      <c r="B2" s="248" t="s">
        <v>579</v>
      </c>
      <c r="E2" s="82"/>
      <c r="H2" s="5"/>
      <c r="P2" s="5"/>
      <c r="Q2" s="83"/>
      <c r="R2" s="83"/>
    </row>
    <row r="3" spans="1:18" ht="13.5">
      <c r="A3" s="5"/>
      <c r="E3" s="82"/>
      <c r="H3" s="5"/>
      <c r="P3" s="5"/>
      <c r="Q3" s="83"/>
      <c r="R3" s="83"/>
    </row>
    <row r="4" spans="1:6" ht="13.5" customHeight="1">
      <c r="A4" s="518" t="s">
        <v>712</v>
      </c>
      <c r="B4" s="518"/>
      <c r="C4" s="518"/>
      <c r="D4" s="518"/>
      <c r="E4" s="518"/>
      <c r="F4" s="5"/>
    </row>
    <row r="5" spans="1:14" ht="13.5" customHeight="1">
      <c r="A5" s="11"/>
      <c r="B5" s="11"/>
      <c r="C5" s="11"/>
      <c r="D5" s="11"/>
      <c r="E5" s="84"/>
      <c r="F5" s="5"/>
      <c r="N5" s="11"/>
    </row>
    <row r="6" spans="1:14" ht="13.5" customHeight="1">
      <c r="A6" s="11"/>
      <c r="B6" s="240" t="s">
        <v>648</v>
      </c>
      <c r="C6" s="241"/>
      <c r="D6" s="242"/>
      <c r="E6" s="243"/>
      <c r="F6" s="85" t="s">
        <v>17</v>
      </c>
      <c r="N6" s="11"/>
    </row>
    <row r="7" spans="1:14" ht="13.5" customHeight="1">
      <c r="A7" s="11"/>
      <c r="B7" s="11"/>
      <c r="C7" s="11"/>
      <c r="D7" s="11"/>
      <c r="E7" s="84"/>
      <c r="F7" s="131" t="s">
        <v>557</v>
      </c>
      <c r="N7" s="11"/>
    </row>
    <row r="8" spans="1:15" ht="13.5" customHeight="1">
      <c r="A8" s="11"/>
      <c r="B8" s="11"/>
      <c r="C8" s="11"/>
      <c r="D8" s="11"/>
      <c r="E8" s="84"/>
      <c r="F8" s="5"/>
      <c r="M8" s="1" t="s">
        <v>21</v>
      </c>
      <c r="N8" s="11"/>
      <c r="O8" s="86"/>
    </row>
    <row r="9" spans="1:14" ht="13.5" customHeight="1">
      <c r="A9" s="87"/>
      <c r="F9" s="5"/>
      <c r="K9" s="2" t="s">
        <v>527</v>
      </c>
      <c r="L9" s="81" t="str">
        <f>IF('基本情報入力（使い方）'!$C$11="","",'基本情報入力（使い方）'!$C$11)</f>
        <v>Ｂ金属株式会社</v>
      </c>
      <c r="M9" s="88"/>
      <c r="N9" s="11"/>
    </row>
    <row r="10" spans="1:14" ht="13.5" customHeight="1" thickBot="1">
      <c r="A10" s="87"/>
      <c r="F10" s="5"/>
      <c r="N10" s="11"/>
    </row>
    <row r="11" spans="1:15" ht="27" customHeight="1">
      <c r="A11" s="519" t="s">
        <v>2</v>
      </c>
      <c r="B11" s="508" t="s">
        <v>3</v>
      </c>
      <c r="C11" s="508"/>
      <c r="D11" s="509"/>
      <c r="E11" s="3" t="s">
        <v>4</v>
      </c>
      <c r="F11" s="3" t="s">
        <v>5</v>
      </c>
      <c r="G11" s="3" t="s">
        <v>6</v>
      </c>
      <c r="H11" s="3" t="s">
        <v>7</v>
      </c>
      <c r="I11" s="3" t="s">
        <v>1</v>
      </c>
      <c r="J11" s="3" t="s">
        <v>1</v>
      </c>
      <c r="K11" s="529" t="s">
        <v>8</v>
      </c>
      <c r="L11" s="509"/>
      <c r="M11" s="3" t="s">
        <v>9</v>
      </c>
      <c r="N11" s="510" t="s">
        <v>2</v>
      </c>
      <c r="O11" s="523" t="s">
        <v>40</v>
      </c>
    </row>
    <row r="12" spans="1:15" ht="42" customHeight="1" thickBot="1">
      <c r="A12" s="520"/>
      <c r="B12" s="89" t="s">
        <v>10</v>
      </c>
      <c r="C12" s="89" t="s">
        <v>11</v>
      </c>
      <c r="D12" s="90" t="s">
        <v>12</v>
      </c>
      <c r="E12" s="91"/>
      <c r="F12" s="92"/>
      <c r="G12" s="78"/>
      <c r="H12" s="78"/>
      <c r="I12" s="78" t="s">
        <v>13</v>
      </c>
      <c r="J12" s="78" t="s">
        <v>25</v>
      </c>
      <c r="K12" s="78" t="s">
        <v>14</v>
      </c>
      <c r="L12" s="4" t="s">
        <v>23</v>
      </c>
      <c r="M12" s="78" t="s">
        <v>15</v>
      </c>
      <c r="N12" s="511"/>
      <c r="O12" s="524"/>
    </row>
    <row r="13" spans="1:15" ht="30.75" customHeight="1">
      <c r="A13" s="182">
        <v>1</v>
      </c>
      <c r="B13" s="525">
        <v>42643</v>
      </c>
      <c r="C13" s="526"/>
      <c r="D13" s="526"/>
      <c r="E13" s="93" t="s">
        <v>600</v>
      </c>
      <c r="F13" s="71" t="s">
        <v>601</v>
      </c>
      <c r="G13" s="170">
        <v>1</v>
      </c>
      <c r="H13" s="163" t="s">
        <v>602</v>
      </c>
      <c r="I13" s="145">
        <f>IF(J13="","",ROUNDDOWN(J13*(1+O13/100),0))</f>
        <v>108000</v>
      </c>
      <c r="J13" s="147">
        <v>100000</v>
      </c>
      <c r="K13" s="145">
        <f>IF(L13="","",ROUNDDOWN(L13*(1+O13/100),0))</f>
        <v>108000</v>
      </c>
      <c r="L13" s="145">
        <f>IF(OR(J13="",G13=""),"",ROUNDDOWN(J13*G13,0))</f>
        <v>100000</v>
      </c>
      <c r="M13" s="146">
        <f aca="true" t="shared" si="0" ref="M13:M32">L13</f>
        <v>100000</v>
      </c>
      <c r="N13" s="12">
        <v>1</v>
      </c>
      <c r="O13" s="111">
        <v>8</v>
      </c>
    </row>
    <row r="14" spans="1:15" ht="30.75" customHeight="1">
      <c r="A14" s="183">
        <v>2</v>
      </c>
      <c r="B14" s="514">
        <v>42674</v>
      </c>
      <c r="C14" s="515"/>
      <c r="D14" s="515"/>
      <c r="E14" s="93" t="s">
        <v>600</v>
      </c>
      <c r="F14" s="72" t="s">
        <v>722</v>
      </c>
      <c r="G14" s="170">
        <v>1</v>
      </c>
      <c r="H14" s="163" t="s">
        <v>723</v>
      </c>
      <c r="I14" s="145">
        <f aca="true" t="shared" si="1" ref="I14:I32">IF(J14="","",ROUNDDOWN(J14*(1+O14/100),0))</f>
        <v>54000</v>
      </c>
      <c r="J14" s="147">
        <v>50000</v>
      </c>
      <c r="K14" s="145">
        <f aca="true" t="shared" si="2" ref="K14:K32">IF(L14="","",ROUNDDOWN(L14*(1+O14/100),0))</f>
        <v>54000</v>
      </c>
      <c r="L14" s="145">
        <f aca="true" t="shared" si="3" ref="L14:L32">IF(OR(J14="",G14=""),"",ROUNDDOWN(J14*G14,0))</f>
        <v>50000</v>
      </c>
      <c r="M14" s="146">
        <f t="shared" si="0"/>
        <v>50000</v>
      </c>
      <c r="N14" s="13">
        <v>2</v>
      </c>
      <c r="O14" s="111">
        <v>8</v>
      </c>
    </row>
    <row r="15" spans="1:15" ht="30.75" customHeight="1">
      <c r="A15" s="183">
        <v>3</v>
      </c>
      <c r="B15" s="514">
        <v>42674</v>
      </c>
      <c r="C15" s="515"/>
      <c r="D15" s="515"/>
      <c r="E15" s="93" t="s">
        <v>600</v>
      </c>
      <c r="F15" s="72" t="s">
        <v>724</v>
      </c>
      <c r="G15" s="170">
        <v>20</v>
      </c>
      <c r="H15" s="163" t="s">
        <v>725</v>
      </c>
      <c r="I15" s="145">
        <f t="shared" si="1"/>
        <v>5400</v>
      </c>
      <c r="J15" s="147">
        <v>5000</v>
      </c>
      <c r="K15" s="145">
        <f t="shared" si="2"/>
        <v>108000</v>
      </c>
      <c r="L15" s="145">
        <f t="shared" si="3"/>
        <v>100000</v>
      </c>
      <c r="M15" s="146">
        <f t="shared" si="0"/>
        <v>100000</v>
      </c>
      <c r="N15" s="12">
        <v>3</v>
      </c>
      <c r="O15" s="111">
        <v>8</v>
      </c>
    </row>
    <row r="16" spans="1:15" ht="30.75" customHeight="1">
      <c r="A16" s="183"/>
      <c r="B16" s="514"/>
      <c r="C16" s="515"/>
      <c r="D16" s="515"/>
      <c r="E16" s="94"/>
      <c r="F16" s="72"/>
      <c r="G16" s="170"/>
      <c r="H16" s="163"/>
      <c r="I16" s="145">
        <f t="shared" si="1"/>
      </c>
      <c r="J16" s="147"/>
      <c r="K16" s="145">
        <f t="shared" si="2"/>
      </c>
      <c r="L16" s="145">
        <f t="shared" si="3"/>
      </c>
      <c r="M16" s="146">
        <f t="shared" si="0"/>
      </c>
      <c r="N16" s="13">
        <v>4</v>
      </c>
      <c r="O16" s="111">
        <v>8</v>
      </c>
    </row>
    <row r="17" spans="1:15" ht="30.75" customHeight="1">
      <c r="A17" s="183"/>
      <c r="B17" s="514"/>
      <c r="C17" s="515"/>
      <c r="D17" s="515"/>
      <c r="E17" s="94"/>
      <c r="F17" s="72"/>
      <c r="G17" s="170"/>
      <c r="H17" s="163"/>
      <c r="I17" s="145">
        <f t="shared" si="1"/>
      </c>
      <c r="J17" s="147"/>
      <c r="K17" s="145">
        <f t="shared" si="2"/>
      </c>
      <c r="L17" s="145">
        <f t="shared" si="3"/>
      </c>
      <c r="M17" s="146">
        <f t="shared" si="0"/>
      </c>
      <c r="N17" s="12">
        <v>5</v>
      </c>
      <c r="O17" s="111">
        <v>8</v>
      </c>
    </row>
    <row r="18" spans="1:15" ht="30.75" customHeight="1">
      <c r="A18" s="183"/>
      <c r="B18" s="514"/>
      <c r="C18" s="515"/>
      <c r="D18" s="515"/>
      <c r="E18" s="94"/>
      <c r="F18" s="72"/>
      <c r="G18" s="170"/>
      <c r="H18" s="163"/>
      <c r="I18" s="145">
        <f t="shared" si="1"/>
      </c>
      <c r="J18" s="147"/>
      <c r="K18" s="145">
        <f t="shared" si="2"/>
      </c>
      <c r="L18" s="145">
        <f t="shared" si="3"/>
      </c>
      <c r="M18" s="146">
        <f t="shared" si="0"/>
      </c>
      <c r="N18" s="13">
        <v>6</v>
      </c>
      <c r="O18" s="111">
        <v>8</v>
      </c>
    </row>
    <row r="19" spans="1:15" ht="30.75" customHeight="1">
      <c r="A19" s="183"/>
      <c r="B19" s="514"/>
      <c r="C19" s="515"/>
      <c r="D19" s="515"/>
      <c r="E19" s="94"/>
      <c r="F19" s="95"/>
      <c r="G19" s="170"/>
      <c r="H19" s="163"/>
      <c r="I19" s="145">
        <f t="shared" si="1"/>
      </c>
      <c r="J19" s="147"/>
      <c r="K19" s="145">
        <f t="shared" si="2"/>
      </c>
      <c r="L19" s="145">
        <f t="shared" si="3"/>
      </c>
      <c r="M19" s="146">
        <f t="shared" si="0"/>
      </c>
      <c r="N19" s="12">
        <v>7</v>
      </c>
      <c r="O19" s="111">
        <v>8</v>
      </c>
    </row>
    <row r="20" spans="1:15" ht="30.75" customHeight="1">
      <c r="A20" s="183"/>
      <c r="B20" s="514"/>
      <c r="C20" s="515"/>
      <c r="D20" s="515"/>
      <c r="E20" s="94"/>
      <c r="F20" s="72"/>
      <c r="G20" s="170"/>
      <c r="H20" s="163"/>
      <c r="I20" s="145">
        <f t="shared" si="1"/>
      </c>
      <c r="J20" s="147"/>
      <c r="K20" s="145">
        <f t="shared" si="2"/>
      </c>
      <c r="L20" s="145">
        <f t="shared" si="3"/>
      </c>
      <c r="M20" s="146">
        <f t="shared" si="0"/>
      </c>
      <c r="N20" s="13">
        <v>8</v>
      </c>
      <c r="O20" s="111">
        <v>8</v>
      </c>
    </row>
    <row r="21" spans="1:15" ht="30.75" customHeight="1">
      <c r="A21" s="183"/>
      <c r="B21" s="514"/>
      <c r="C21" s="515"/>
      <c r="D21" s="515"/>
      <c r="E21" s="94"/>
      <c r="F21" s="72"/>
      <c r="G21" s="170"/>
      <c r="H21" s="163"/>
      <c r="I21" s="145">
        <f t="shared" si="1"/>
      </c>
      <c r="J21" s="147"/>
      <c r="K21" s="145">
        <f t="shared" si="2"/>
      </c>
      <c r="L21" s="145">
        <f t="shared" si="3"/>
      </c>
      <c r="M21" s="146">
        <f t="shared" si="0"/>
      </c>
      <c r="N21" s="12">
        <v>9</v>
      </c>
      <c r="O21" s="111">
        <v>8</v>
      </c>
    </row>
    <row r="22" spans="1:15" ht="30.75" customHeight="1">
      <c r="A22" s="183"/>
      <c r="B22" s="514"/>
      <c r="C22" s="515"/>
      <c r="D22" s="515"/>
      <c r="E22" s="94"/>
      <c r="F22" s="72"/>
      <c r="G22" s="170"/>
      <c r="H22" s="163"/>
      <c r="I22" s="145">
        <f t="shared" si="1"/>
      </c>
      <c r="J22" s="147"/>
      <c r="K22" s="145">
        <f t="shared" si="2"/>
      </c>
      <c r="L22" s="145">
        <f t="shared" si="3"/>
      </c>
      <c r="M22" s="146">
        <f t="shared" si="0"/>
      </c>
      <c r="N22" s="13">
        <v>10</v>
      </c>
      <c r="O22" s="111">
        <v>8</v>
      </c>
    </row>
    <row r="23" spans="1:15" ht="30.75" customHeight="1">
      <c r="A23" s="183"/>
      <c r="B23" s="514"/>
      <c r="C23" s="515"/>
      <c r="D23" s="515"/>
      <c r="E23" s="94"/>
      <c r="F23" s="72"/>
      <c r="G23" s="170"/>
      <c r="H23" s="163"/>
      <c r="I23" s="145">
        <f t="shared" si="1"/>
      </c>
      <c r="J23" s="147"/>
      <c r="K23" s="145">
        <f t="shared" si="2"/>
      </c>
      <c r="L23" s="145">
        <f t="shared" si="3"/>
      </c>
      <c r="M23" s="146">
        <f t="shared" si="0"/>
      </c>
      <c r="N23" s="12">
        <v>11</v>
      </c>
      <c r="O23" s="111">
        <v>8</v>
      </c>
    </row>
    <row r="24" spans="1:15" ht="30.75" customHeight="1">
      <c r="A24" s="183"/>
      <c r="B24" s="514"/>
      <c r="C24" s="515"/>
      <c r="D24" s="515"/>
      <c r="E24" s="94"/>
      <c r="F24" s="72"/>
      <c r="G24" s="170"/>
      <c r="H24" s="163"/>
      <c r="I24" s="145">
        <f t="shared" si="1"/>
      </c>
      <c r="J24" s="147"/>
      <c r="K24" s="145">
        <f t="shared" si="2"/>
      </c>
      <c r="L24" s="145">
        <f t="shared" si="3"/>
      </c>
      <c r="M24" s="146">
        <f t="shared" si="0"/>
      </c>
      <c r="N24" s="13">
        <v>12</v>
      </c>
      <c r="O24" s="111">
        <v>8</v>
      </c>
    </row>
    <row r="25" spans="1:15" ht="30.75" customHeight="1">
      <c r="A25" s="183"/>
      <c r="B25" s="514"/>
      <c r="C25" s="515"/>
      <c r="D25" s="515"/>
      <c r="E25" s="94"/>
      <c r="F25" s="72"/>
      <c r="G25" s="170"/>
      <c r="H25" s="163"/>
      <c r="I25" s="145">
        <f t="shared" si="1"/>
      </c>
      <c r="J25" s="147"/>
      <c r="K25" s="145">
        <f t="shared" si="2"/>
      </c>
      <c r="L25" s="145">
        <f t="shared" si="3"/>
      </c>
      <c r="M25" s="146">
        <f t="shared" si="0"/>
      </c>
      <c r="N25" s="12">
        <v>13</v>
      </c>
      <c r="O25" s="111">
        <v>8</v>
      </c>
    </row>
    <row r="26" spans="1:15" ht="30.75" customHeight="1">
      <c r="A26" s="183"/>
      <c r="B26" s="514"/>
      <c r="C26" s="515"/>
      <c r="D26" s="515"/>
      <c r="E26" s="96"/>
      <c r="F26" s="72"/>
      <c r="G26" s="170"/>
      <c r="H26" s="163"/>
      <c r="I26" s="145">
        <f t="shared" si="1"/>
      </c>
      <c r="J26" s="147"/>
      <c r="K26" s="145">
        <f t="shared" si="2"/>
      </c>
      <c r="L26" s="145">
        <f t="shared" si="3"/>
      </c>
      <c r="M26" s="146">
        <f t="shared" si="0"/>
      </c>
      <c r="N26" s="13">
        <v>14</v>
      </c>
      <c r="O26" s="111">
        <v>8</v>
      </c>
    </row>
    <row r="27" spans="1:15" ht="30.75" customHeight="1">
      <c r="A27" s="183"/>
      <c r="B27" s="514"/>
      <c r="C27" s="515"/>
      <c r="D27" s="515"/>
      <c r="E27" s="96"/>
      <c r="F27" s="72"/>
      <c r="G27" s="170"/>
      <c r="H27" s="163"/>
      <c r="I27" s="145">
        <f t="shared" si="1"/>
      </c>
      <c r="J27" s="147"/>
      <c r="K27" s="145">
        <f t="shared" si="2"/>
      </c>
      <c r="L27" s="145">
        <f t="shared" si="3"/>
      </c>
      <c r="M27" s="146">
        <f t="shared" si="0"/>
      </c>
      <c r="N27" s="12">
        <v>15</v>
      </c>
      <c r="O27" s="111">
        <v>8</v>
      </c>
    </row>
    <row r="28" spans="1:15" ht="30.75" customHeight="1">
      <c r="A28" s="183"/>
      <c r="B28" s="514"/>
      <c r="C28" s="515"/>
      <c r="D28" s="515"/>
      <c r="E28" s="94"/>
      <c r="F28" s="72"/>
      <c r="G28" s="170"/>
      <c r="H28" s="163"/>
      <c r="I28" s="145">
        <f t="shared" si="1"/>
      </c>
      <c r="J28" s="147"/>
      <c r="K28" s="145">
        <f t="shared" si="2"/>
      </c>
      <c r="L28" s="145">
        <f t="shared" si="3"/>
      </c>
      <c r="M28" s="146">
        <f t="shared" si="0"/>
      </c>
      <c r="N28" s="13">
        <v>16</v>
      </c>
      <c r="O28" s="111">
        <v>8</v>
      </c>
    </row>
    <row r="29" spans="1:15" ht="30.75" customHeight="1">
      <c r="A29" s="183"/>
      <c r="B29" s="514"/>
      <c r="C29" s="515"/>
      <c r="D29" s="515"/>
      <c r="E29" s="94"/>
      <c r="F29" s="72"/>
      <c r="G29" s="170"/>
      <c r="H29" s="163"/>
      <c r="I29" s="145">
        <f t="shared" si="1"/>
      </c>
      <c r="J29" s="147"/>
      <c r="K29" s="145">
        <f t="shared" si="2"/>
      </c>
      <c r="L29" s="145">
        <f t="shared" si="3"/>
      </c>
      <c r="M29" s="146">
        <f t="shared" si="0"/>
      </c>
      <c r="N29" s="12">
        <v>17</v>
      </c>
      <c r="O29" s="111">
        <v>8</v>
      </c>
    </row>
    <row r="30" spans="1:15" ht="30.75" customHeight="1">
      <c r="A30" s="183"/>
      <c r="B30" s="514"/>
      <c r="C30" s="515"/>
      <c r="D30" s="515"/>
      <c r="E30" s="94"/>
      <c r="F30" s="72"/>
      <c r="G30" s="170"/>
      <c r="H30" s="163"/>
      <c r="I30" s="145">
        <f t="shared" si="1"/>
      </c>
      <c r="J30" s="147"/>
      <c r="K30" s="145">
        <f t="shared" si="2"/>
      </c>
      <c r="L30" s="145">
        <f t="shared" si="3"/>
      </c>
      <c r="M30" s="146">
        <f t="shared" si="0"/>
      </c>
      <c r="N30" s="13">
        <v>18</v>
      </c>
      <c r="O30" s="111">
        <v>8</v>
      </c>
    </row>
    <row r="31" spans="1:15" ht="30.75" customHeight="1">
      <c r="A31" s="183"/>
      <c r="B31" s="514"/>
      <c r="C31" s="515"/>
      <c r="D31" s="515"/>
      <c r="E31" s="96"/>
      <c r="F31" s="72"/>
      <c r="G31" s="170"/>
      <c r="H31" s="163"/>
      <c r="I31" s="145">
        <f t="shared" si="1"/>
      </c>
      <c r="J31" s="147"/>
      <c r="K31" s="145">
        <f t="shared" si="2"/>
      </c>
      <c r="L31" s="145">
        <f t="shared" si="3"/>
      </c>
      <c r="M31" s="146">
        <f t="shared" si="0"/>
      </c>
      <c r="N31" s="12">
        <v>19</v>
      </c>
      <c r="O31" s="111">
        <v>8</v>
      </c>
    </row>
    <row r="32" spans="1:15" ht="30.75" customHeight="1" thickBot="1">
      <c r="A32" s="184"/>
      <c r="B32" s="521"/>
      <c r="C32" s="522"/>
      <c r="D32" s="522"/>
      <c r="E32" s="97"/>
      <c r="F32" s="76"/>
      <c r="G32" s="173"/>
      <c r="H32" s="165"/>
      <c r="I32" s="148">
        <f t="shared" si="1"/>
      </c>
      <c r="J32" s="149"/>
      <c r="K32" s="148">
        <f t="shared" si="2"/>
      </c>
      <c r="L32" s="148">
        <f t="shared" si="3"/>
      </c>
      <c r="M32" s="150">
        <f t="shared" si="0"/>
      </c>
      <c r="N32" s="25">
        <v>20</v>
      </c>
      <c r="O32" s="112">
        <v>8</v>
      </c>
    </row>
    <row r="33" spans="1:14" ht="21" customHeight="1" thickBot="1">
      <c r="A33" s="530" t="s">
        <v>16</v>
      </c>
      <c r="B33" s="531"/>
      <c r="C33" s="531"/>
      <c r="D33" s="531"/>
      <c r="E33" s="531"/>
      <c r="F33" s="531"/>
      <c r="G33" s="531"/>
      <c r="H33" s="531"/>
      <c r="I33" s="531"/>
      <c r="J33" s="79"/>
      <c r="K33" s="144">
        <f>SUM(K13:K32)</f>
        <v>270000</v>
      </c>
      <c r="L33" s="144">
        <f>SUM(L13:L32)</f>
        <v>250000</v>
      </c>
      <c r="M33" s="142">
        <f>SUM(M13:M32)</f>
        <v>250000</v>
      </c>
      <c r="N33" s="14"/>
    </row>
    <row r="34" spans="1:14" ht="13.5" customHeight="1">
      <c r="A34" s="87"/>
      <c r="N34" s="11"/>
    </row>
    <row r="35" spans="1:14" ht="13.5" customHeight="1">
      <c r="A35" s="87"/>
      <c r="B35" s="1" t="s">
        <v>18</v>
      </c>
      <c r="D35" s="87"/>
      <c r="E35" s="77" t="s">
        <v>33</v>
      </c>
      <c r="N35" s="11"/>
    </row>
    <row r="36" ht="13.5" customHeight="1">
      <c r="E36" s="77" t="s">
        <v>34</v>
      </c>
    </row>
    <row r="37" spans="2:5" ht="13.5" customHeight="1">
      <c r="B37" s="1" t="s">
        <v>19</v>
      </c>
      <c r="E37" s="77" t="s">
        <v>35</v>
      </c>
    </row>
    <row r="38" spans="2:5" ht="13.5" customHeight="1">
      <c r="B38" s="1" t="s">
        <v>20</v>
      </c>
      <c r="E38" s="77" t="s">
        <v>36</v>
      </c>
    </row>
  </sheetData>
  <sheetProtection sheet="1" objects="1" scenarios="1"/>
  <mergeCells count="27">
    <mergeCell ref="A4:E4"/>
    <mergeCell ref="A11:A12"/>
    <mergeCell ref="B11:D11"/>
    <mergeCell ref="K11:L11"/>
    <mergeCell ref="N11:N12"/>
    <mergeCell ref="O11:O12"/>
    <mergeCell ref="B13:D13"/>
    <mergeCell ref="B16:D16"/>
    <mergeCell ref="B17:D17"/>
    <mergeCell ref="B18:D18"/>
    <mergeCell ref="B19:D19"/>
    <mergeCell ref="B14:D14"/>
    <mergeCell ref="B15:D15"/>
    <mergeCell ref="B32:D32"/>
    <mergeCell ref="A33:I33"/>
    <mergeCell ref="B25:D25"/>
    <mergeCell ref="B26:D26"/>
    <mergeCell ref="B27:D27"/>
    <mergeCell ref="B28:D28"/>
    <mergeCell ref="B29:D29"/>
    <mergeCell ref="B30:D30"/>
    <mergeCell ref="B20:D20"/>
    <mergeCell ref="B21:D21"/>
    <mergeCell ref="B24:D24"/>
    <mergeCell ref="B31:D31"/>
    <mergeCell ref="B22:D22"/>
    <mergeCell ref="B23:D23"/>
  </mergeCells>
  <dataValidations count="1">
    <dataValidation allowBlank="1" showInputMessage="1" showErrorMessage="1" imeMode="halfAlpha" sqref="I13:M32"/>
  </dataValidations>
  <hyperlinks>
    <hyperlink ref="B2" location="経費明細表!A1" display="戻る"/>
  </hyperlinks>
  <printOptions/>
  <pageMargins left="0.8661417322834646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Q63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5"/>
  <cols>
    <col min="1" max="2" width="3.421875" style="20" customWidth="1"/>
    <col min="3" max="8" width="13.421875" style="20" customWidth="1"/>
    <col min="9" max="9" width="3.8515625" style="20" customWidth="1"/>
    <col min="10" max="10" width="14.421875" style="20" customWidth="1"/>
    <col min="11" max="11" width="13.7109375" style="20" customWidth="1"/>
    <col min="12" max="12" width="23.421875" style="20" customWidth="1"/>
    <col min="13" max="13" width="13.421875" style="20" customWidth="1"/>
    <col min="14" max="14" width="9.00390625" style="20" customWidth="1"/>
    <col min="15" max="15" width="17.8515625" style="20" customWidth="1"/>
    <col min="16" max="16" width="18.00390625" style="20" customWidth="1"/>
    <col min="17" max="17" width="9.421875" style="20" customWidth="1"/>
    <col min="18" max="16384" width="9.00390625" style="20" customWidth="1"/>
  </cols>
  <sheetData>
    <row r="1" spans="1:13" s="57" customFormat="1" ht="14.25">
      <c r="A1" s="57" t="s">
        <v>48</v>
      </c>
      <c r="M1" s="177"/>
    </row>
    <row r="2" s="57" customFormat="1" ht="14.25">
      <c r="M2" s="58"/>
    </row>
    <row r="3" spans="1:17" s="57" customFormat="1" ht="14.25">
      <c r="A3" s="59" t="s">
        <v>552</v>
      </c>
      <c r="N3" s="66"/>
      <c r="O3" s="66"/>
      <c r="P3" s="66"/>
      <c r="Q3" s="66"/>
    </row>
    <row r="4" spans="3:17" s="57" customFormat="1" ht="15" customHeight="1">
      <c r="C4" s="57" t="s">
        <v>687</v>
      </c>
      <c r="K4" s="67"/>
      <c r="N4" s="66"/>
      <c r="O4" s="66"/>
      <c r="P4" s="66"/>
      <c r="Q4" s="66"/>
    </row>
    <row r="5" spans="3:17" s="57" customFormat="1" ht="15" customHeight="1">
      <c r="C5" s="57" t="s">
        <v>688</v>
      </c>
      <c r="K5" s="67"/>
      <c r="N5" s="66"/>
      <c r="O5" s="66"/>
      <c r="P5" s="66"/>
      <c r="Q5" s="66"/>
    </row>
    <row r="6" spans="3:17" s="57" customFormat="1" ht="15" customHeight="1">
      <c r="C6" s="396"/>
      <c r="D6" s="57" t="s">
        <v>729</v>
      </c>
      <c r="N6" s="66"/>
      <c r="O6" s="66"/>
      <c r="P6" s="66"/>
      <c r="Q6" s="66"/>
    </row>
    <row r="7" spans="14:17" s="57" customFormat="1" ht="15" customHeight="1">
      <c r="N7" s="66"/>
      <c r="O7" s="66"/>
      <c r="P7" s="66"/>
      <c r="Q7" s="66"/>
    </row>
    <row r="8" spans="1:17" s="57" customFormat="1" ht="15" customHeight="1">
      <c r="A8" s="59" t="s">
        <v>563</v>
      </c>
      <c r="C8" s="59"/>
      <c r="N8" s="66"/>
      <c r="O8" s="66"/>
      <c r="P8" s="66"/>
      <c r="Q8" s="66"/>
    </row>
    <row r="9" spans="1:17" s="57" customFormat="1" ht="15" customHeight="1">
      <c r="A9" s="59"/>
      <c r="C9" s="59"/>
      <c r="N9" s="66"/>
      <c r="O9" s="66"/>
      <c r="P9" s="66"/>
      <c r="Q9" s="66"/>
    </row>
    <row r="10" spans="1:17" s="57" customFormat="1" ht="15" customHeight="1">
      <c r="A10" s="57">
        <v>1</v>
      </c>
      <c r="B10" s="57" t="s">
        <v>551</v>
      </c>
      <c r="N10" s="66"/>
      <c r="O10" s="66"/>
      <c r="P10" s="66"/>
      <c r="Q10" s="66"/>
    </row>
    <row r="11" spans="3:17" s="57" customFormat="1" ht="15" customHeight="1">
      <c r="C11" s="397" t="s">
        <v>681</v>
      </c>
      <c r="D11" s="398"/>
      <c r="E11" s="398"/>
      <c r="F11" s="398"/>
      <c r="G11" s="398"/>
      <c r="H11" s="399"/>
      <c r="J11" s="6"/>
      <c r="N11" s="66"/>
      <c r="O11" s="66"/>
      <c r="P11" s="66"/>
      <c r="Q11" s="66"/>
    </row>
    <row r="12" spans="6:17" s="57" customFormat="1" ht="15" customHeight="1">
      <c r="F12" s="60"/>
      <c r="G12" s="60"/>
      <c r="H12" s="60"/>
      <c r="I12" s="61"/>
      <c r="J12" s="62"/>
      <c r="N12" s="66"/>
      <c r="O12" s="66"/>
      <c r="P12" s="66"/>
      <c r="Q12" s="66"/>
    </row>
    <row r="13" spans="1:17" s="57" customFormat="1" ht="15" customHeight="1">
      <c r="A13" s="57">
        <v>2</v>
      </c>
      <c r="B13" s="21" t="s">
        <v>547</v>
      </c>
      <c r="D13" s="21"/>
      <c r="E13" s="21"/>
      <c r="F13" s="21"/>
      <c r="G13" s="21"/>
      <c r="H13" s="21"/>
      <c r="I13" s="21"/>
      <c r="N13" s="66"/>
      <c r="O13" s="66"/>
      <c r="P13" s="66"/>
      <c r="Q13" s="66"/>
    </row>
    <row r="14" spans="3:14" s="57" customFormat="1" ht="15" customHeight="1">
      <c r="C14" s="66"/>
      <c r="D14" s="66"/>
      <c r="F14" s="66"/>
      <c r="G14" s="66"/>
      <c r="I14" s="66"/>
      <c r="J14" s="66"/>
      <c r="N14" s="63"/>
    </row>
    <row r="15" spans="3:14" s="57" customFormat="1" ht="15" customHeight="1">
      <c r="C15" s="66"/>
      <c r="D15" s="66"/>
      <c r="F15" s="66"/>
      <c r="G15" s="66"/>
      <c r="I15" s="66"/>
      <c r="J15" s="66"/>
      <c r="N15" s="63"/>
    </row>
    <row r="16" spans="3:14" s="57" customFormat="1" ht="15" customHeight="1">
      <c r="C16" s="213">
        <v>1</v>
      </c>
      <c r="D16" s="194"/>
      <c r="E16" s="195"/>
      <c r="F16" s="195"/>
      <c r="G16" s="195"/>
      <c r="H16" s="196"/>
      <c r="I16" s="66"/>
      <c r="N16" s="63"/>
    </row>
    <row r="17" spans="3:14" s="57" customFormat="1" ht="15" customHeight="1">
      <c r="C17" s="197"/>
      <c r="D17" s="198"/>
      <c r="E17" s="199"/>
      <c r="F17" s="199"/>
      <c r="G17" s="199"/>
      <c r="H17" s="200"/>
      <c r="I17" s="66"/>
      <c r="N17" s="63"/>
    </row>
    <row r="18" spans="3:14" s="57" customFormat="1" ht="15" customHeight="1">
      <c r="C18" s="201"/>
      <c r="D18" s="202"/>
      <c r="E18" s="202"/>
      <c r="F18" s="202"/>
      <c r="G18" s="202"/>
      <c r="H18" s="203"/>
      <c r="N18" s="63"/>
    </row>
    <row r="19" spans="2:13" s="57" customFormat="1" ht="15" customHeight="1">
      <c r="B19" s="61"/>
      <c r="C19" s="206"/>
      <c r="D19" s="66"/>
      <c r="F19" s="66"/>
      <c r="G19" s="66"/>
      <c r="H19" s="66"/>
      <c r="I19" s="66"/>
      <c r="J19" s="66"/>
      <c r="M19" s="63"/>
    </row>
    <row r="20" spans="3:9" s="63" customFormat="1" ht="15" customHeight="1">
      <c r="C20" s="204"/>
      <c r="D20" s="204"/>
      <c r="E20" s="204"/>
      <c r="F20" s="204"/>
      <c r="G20" s="204"/>
      <c r="H20" s="204"/>
      <c r="I20" s="205"/>
    </row>
    <row r="21" spans="1:17" s="57" customFormat="1" ht="15" customHeight="1">
      <c r="A21" s="187"/>
      <c r="B21" s="187"/>
      <c r="C21" s="188"/>
      <c r="D21" s="188"/>
      <c r="E21" s="62"/>
      <c r="F21" s="62"/>
      <c r="G21" s="62"/>
      <c r="H21" s="62"/>
      <c r="I21" s="62"/>
      <c r="N21" s="66"/>
      <c r="O21" s="66"/>
      <c r="P21" s="66"/>
      <c r="Q21" s="66"/>
    </row>
    <row r="22" spans="1:17" s="57" customFormat="1" ht="15" customHeight="1">
      <c r="A22" s="187"/>
      <c r="B22" s="187"/>
      <c r="C22" s="407">
        <v>2</v>
      </c>
      <c r="D22" s="407"/>
      <c r="E22" s="406"/>
      <c r="F22" s="406"/>
      <c r="G22" s="406"/>
      <c r="H22" s="406"/>
      <c r="I22" s="62"/>
      <c r="N22" s="66"/>
      <c r="O22" s="66"/>
      <c r="P22" s="66"/>
      <c r="Q22" s="66"/>
    </row>
    <row r="23" spans="1:17" s="57" customFormat="1" ht="15" customHeight="1">
      <c r="A23" s="187"/>
      <c r="B23" s="187"/>
      <c r="C23" s="407"/>
      <c r="D23" s="407"/>
      <c r="E23" s="406"/>
      <c r="F23" s="406"/>
      <c r="G23" s="406"/>
      <c r="H23" s="406"/>
      <c r="I23" s="62"/>
      <c r="N23" s="66"/>
      <c r="O23" s="66"/>
      <c r="P23" s="66"/>
      <c r="Q23" s="66"/>
    </row>
    <row r="24" spans="1:17" s="57" customFormat="1" ht="15" customHeight="1">
      <c r="A24" s="187"/>
      <c r="B24" s="187"/>
      <c r="C24" s="407"/>
      <c r="D24" s="407"/>
      <c r="E24" s="406"/>
      <c r="F24" s="406"/>
      <c r="G24" s="406"/>
      <c r="H24" s="406"/>
      <c r="I24" s="62"/>
      <c r="N24" s="66"/>
      <c r="O24" s="66"/>
      <c r="P24" s="66"/>
      <c r="Q24" s="66"/>
    </row>
    <row r="25" spans="1:17" s="57" customFormat="1" ht="15" customHeight="1">
      <c r="A25" s="187"/>
      <c r="B25" s="187"/>
      <c r="C25" s="407">
        <v>1</v>
      </c>
      <c r="D25" s="407"/>
      <c r="E25" s="406"/>
      <c r="F25" s="406"/>
      <c r="G25" s="406"/>
      <c r="H25" s="406"/>
      <c r="I25" s="66"/>
      <c r="N25" s="66"/>
      <c r="O25" s="66"/>
      <c r="P25" s="66"/>
      <c r="Q25" s="66"/>
    </row>
    <row r="26" spans="1:17" s="57" customFormat="1" ht="15" customHeight="1">
      <c r="A26" s="187"/>
      <c r="B26" s="187"/>
      <c r="C26" s="407"/>
      <c r="D26" s="407"/>
      <c r="E26" s="406"/>
      <c r="F26" s="406"/>
      <c r="G26" s="406"/>
      <c r="H26" s="406"/>
      <c r="I26" s="66"/>
      <c r="N26" s="66"/>
      <c r="O26" s="66"/>
      <c r="P26" s="66"/>
      <c r="Q26" s="66"/>
    </row>
    <row r="27" spans="3:14" s="57" customFormat="1" ht="15" customHeight="1">
      <c r="C27" s="189"/>
      <c r="D27" s="66"/>
      <c r="F27" s="66"/>
      <c r="G27" s="66"/>
      <c r="H27" s="66"/>
      <c r="I27" s="66"/>
      <c r="N27" s="63"/>
    </row>
    <row r="28" spans="1:16" s="57" customFormat="1" ht="14.25">
      <c r="A28" s="57">
        <v>3</v>
      </c>
      <c r="B28" s="22" t="s">
        <v>608</v>
      </c>
      <c r="D28" s="22"/>
      <c r="E28" s="22"/>
      <c r="P28" s="64"/>
    </row>
    <row r="29" spans="2:16" s="57" customFormat="1" ht="14.25">
      <c r="B29" s="22"/>
      <c r="D29" s="22"/>
      <c r="E29" s="22"/>
      <c r="P29" s="64"/>
    </row>
    <row r="30" spans="3:10" s="57" customFormat="1" ht="14.25">
      <c r="C30" s="403" t="s">
        <v>605</v>
      </c>
      <c r="D30" s="404"/>
      <c r="E30" s="404"/>
      <c r="F30" s="404"/>
      <c r="G30" s="404"/>
      <c r="H30" s="405"/>
      <c r="I30" s="60"/>
      <c r="J30" s="6"/>
    </row>
    <row r="31" spans="3:10" s="57" customFormat="1" ht="14.25">
      <c r="C31" s="22"/>
      <c r="D31" s="22"/>
      <c r="E31" s="22"/>
      <c r="F31" s="22"/>
      <c r="G31" s="22"/>
      <c r="H31" s="60"/>
      <c r="I31" s="60"/>
      <c r="J31" s="62"/>
    </row>
    <row r="32" spans="1:7" s="57" customFormat="1" ht="14.25">
      <c r="A32" s="57">
        <v>4</v>
      </c>
      <c r="B32" s="22" t="s">
        <v>548</v>
      </c>
      <c r="D32" s="22"/>
      <c r="E32" s="22"/>
      <c r="F32" s="22"/>
      <c r="G32" s="22"/>
    </row>
    <row r="33" spans="2:7" s="57" customFormat="1" ht="14.25">
      <c r="B33" s="22"/>
      <c r="D33" s="22"/>
      <c r="E33" s="22"/>
      <c r="F33" s="22"/>
      <c r="G33" s="22"/>
    </row>
    <row r="34" spans="3:8" s="57" customFormat="1" ht="14.25">
      <c r="C34" s="400" t="s">
        <v>606</v>
      </c>
      <c r="D34" s="401"/>
      <c r="E34" s="401"/>
      <c r="F34" s="401"/>
      <c r="G34" s="401"/>
      <c r="H34" s="402"/>
    </row>
    <row r="35" spans="3:9" s="57" customFormat="1" ht="14.25">
      <c r="C35" s="400" t="s">
        <v>609</v>
      </c>
      <c r="D35" s="401"/>
      <c r="E35" s="401"/>
      <c r="F35" s="401"/>
      <c r="G35" s="401"/>
      <c r="H35" s="402"/>
      <c r="I35" s="60"/>
    </row>
    <row r="36" spans="4:9" s="57" customFormat="1" ht="14.25">
      <c r="D36" s="22"/>
      <c r="E36" s="22"/>
      <c r="F36" s="22"/>
      <c r="G36" s="22"/>
      <c r="H36" s="24"/>
      <c r="I36" s="60"/>
    </row>
    <row r="37" spans="3:9" s="57" customFormat="1" ht="14.25">
      <c r="C37" s="22" t="s">
        <v>45</v>
      </c>
      <c r="D37" s="22"/>
      <c r="E37" s="22"/>
      <c r="F37" s="22"/>
      <c r="G37" s="22"/>
      <c r="H37" s="24"/>
      <c r="I37" s="60"/>
    </row>
    <row r="38" spans="3:9" s="57" customFormat="1" ht="14.25">
      <c r="C38" s="22"/>
      <c r="D38" s="22"/>
      <c r="E38" s="22"/>
      <c r="F38" s="22"/>
      <c r="G38" s="22"/>
      <c r="H38" s="24"/>
      <c r="I38" s="60"/>
    </row>
    <row r="39" spans="1:2" s="57" customFormat="1" ht="14.25">
      <c r="A39" s="57">
        <v>5</v>
      </c>
      <c r="B39" s="57" t="s">
        <v>701</v>
      </c>
    </row>
    <row r="40" s="57" customFormat="1" ht="15" customHeight="1">
      <c r="B40" s="57" t="s">
        <v>553</v>
      </c>
    </row>
    <row r="41" spans="2:5" s="57" customFormat="1" ht="14.25">
      <c r="B41" s="63" t="s">
        <v>702</v>
      </c>
      <c r="C41" s="63"/>
      <c r="D41" s="63"/>
      <c r="E41" s="63"/>
    </row>
    <row r="42" spans="2:5" s="57" customFormat="1" ht="14.25">
      <c r="B42" s="68"/>
      <c r="C42" s="69" t="s">
        <v>558</v>
      </c>
      <c r="D42" s="68"/>
      <c r="E42" s="68"/>
    </row>
    <row r="43" spans="2:5" s="57" customFormat="1" ht="14.25">
      <c r="B43" s="68"/>
      <c r="C43" s="69" t="s">
        <v>559</v>
      </c>
      <c r="D43" s="68"/>
      <c r="E43" s="68"/>
    </row>
    <row r="44" spans="2:5" s="57" customFormat="1" ht="14.25">
      <c r="B44" s="68"/>
      <c r="C44" s="69" t="s">
        <v>636</v>
      </c>
      <c r="D44" s="68"/>
      <c r="E44" s="68"/>
    </row>
    <row r="45" spans="2:5" s="57" customFormat="1" ht="14.25">
      <c r="B45" s="68"/>
      <c r="C45" s="69" t="s">
        <v>672</v>
      </c>
      <c r="D45" s="68"/>
      <c r="E45" s="68"/>
    </row>
    <row r="46" spans="2:5" s="57" customFormat="1" ht="14.25">
      <c r="B46" s="68"/>
      <c r="C46" s="69" t="s">
        <v>630</v>
      </c>
      <c r="D46" s="68"/>
      <c r="E46" s="68"/>
    </row>
    <row r="47" spans="2:5" s="57" customFormat="1" ht="14.25">
      <c r="B47" s="68"/>
      <c r="C47" s="69" t="s">
        <v>638</v>
      </c>
      <c r="D47" s="69"/>
      <c r="E47" s="68"/>
    </row>
    <row r="48" spans="2:5" s="57" customFormat="1" ht="14.25">
      <c r="B48" s="68"/>
      <c r="C48" s="69" t="s">
        <v>639</v>
      </c>
      <c r="D48" s="69"/>
      <c r="E48" s="68"/>
    </row>
    <row r="49" spans="2:5" s="57" customFormat="1" ht="14.25">
      <c r="B49" s="68"/>
      <c r="C49" s="69" t="s">
        <v>673</v>
      </c>
      <c r="D49" s="69"/>
      <c r="E49" s="68"/>
    </row>
    <row r="50" spans="2:5" s="57" customFormat="1" ht="14.25">
      <c r="B50" s="68"/>
      <c r="C50" s="69" t="s">
        <v>674</v>
      </c>
      <c r="D50" s="69"/>
      <c r="E50" s="68"/>
    </row>
    <row r="51" spans="2:5" s="57" customFormat="1" ht="14.25">
      <c r="B51" s="68"/>
      <c r="C51" s="69" t="s">
        <v>640</v>
      </c>
      <c r="D51" s="69"/>
      <c r="E51" s="68"/>
    </row>
    <row r="52" s="57" customFormat="1" ht="14.25"/>
    <row r="53" spans="3:8" s="57" customFormat="1" ht="14.25">
      <c r="C53" s="57" t="s">
        <v>46</v>
      </c>
      <c r="H53" s="65"/>
    </row>
    <row r="54" s="57" customFormat="1" ht="14.25">
      <c r="C54" s="57" t="s">
        <v>549</v>
      </c>
    </row>
    <row r="55" s="57" customFormat="1" ht="14.25">
      <c r="C55" s="57" t="s">
        <v>689</v>
      </c>
    </row>
    <row r="56" s="57" customFormat="1" ht="14.25">
      <c r="C56" s="57" t="s">
        <v>47</v>
      </c>
    </row>
    <row r="57" s="57" customFormat="1" ht="14.25">
      <c r="C57" s="57" t="s">
        <v>550</v>
      </c>
    </row>
    <row r="58" s="57" customFormat="1" ht="14.25"/>
    <row r="59" spans="3:11" s="19" customFormat="1" ht="18" customHeight="1">
      <c r="C59" s="23" t="s">
        <v>690</v>
      </c>
      <c r="D59" s="52"/>
      <c r="E59" s="40"/>
      <c r="F59" s="40"/>
      <c r="G59" s="40"/>
      <c r="H59" s="52"/>
      <c r="I59" s="39"/>
      <c r="K59" s="41"/>
    </row>
    <row r="60" spans="3:11" s="19" customFormat="1" ht="18" customHeight="1">
      <c r="C60" s="208" t="s">
        <v>727</v>
      </c>
      <c r="D60" s="52"/>
      <c r="E60" s="40"/>
      <c r="F60" s="40"/>
      <c r="G60" s="40"/>
      <c r="H60" s="52"/>
      <c r="I60" s="39"/>
      <c r="K60" s="41"/>
    </row>
    <row r="61" spans="3:11" s="19" customFormat="1" ht="18" customHeight="1">
      <c r="C61" s="208" t="s">
        <v>581</v>
      </c>
      <c r="D61" s="52"/>
      <c r="E61" s="40"/>
      <c r="F61" s="40"/>
      <c r="G61" s="40"/>
      <c r="H61" s="52"/>
      <c r="I61" s="39"/>
      <c r="K61" s="41"/>
    </row>
    <row r="62" spans="3:11" s="19" customFormat="1" ht="18" customHeight="1">
      <c r="C62" s="208" t="s">
        <v>728</v>
      </c>
      <c r="D62" s="52"/>
      <c r="E62" s="40"/>
      <c r="F62" s="40"/>
      <c r="G62" s="40"/>
      <c r="H62" s="52"/>
      <c r="I62" s="39"/>
      <c r="K62" s="41"/>
    </row>
    <row r="63" ht="18" customHeight="1">
      <c r="C63" s="208" t="s">
        <v>730</v>
      </c>
    </row>
    <row r="65" s="19" customFormat="1" ht="18" customHeight="1"/>
    <row r="66" s="19" customFormat="1" ht="18" customHeight="1"/>
    <row r="67" s="19" customFormat="1" ht="18" customHeight="1"/>
    <row r="68" s="19" customFormat="1" ht="18" customHeight="1"/>
    <row r="69" s="19" customFormat="1" ht="18" customHeight="1"/>
    <row r="70" s="19" customFormat="1" ht="18" customHeight="1"/>
    <row r="71" s="19" customFormat="1" ht="18" customHeight="1"/>
    <row r="72" s="19" customFormat="1" ht="18" customHeight="1"/>
    <row r="73" s="19" customFormat="1" ht="13.5"/>
    <row r="74" s="19" customFormat="1" ht="18" customHeight="1"/>
    <row r="75" s="19" customFormat="1" ht="18" customHeight="1"/>
    <row r="76" s="19" customFormat="1" ht="18" customHeight="1"/>
    <row r="77" s="19" customFormat="1" ht="18" customHeight="1"/>
    <row r="78" s="19" customFormat="1" ht="18" customHeight="1"/>
    <row r="79" s="19" customFormat="1" ht="18" customHeight="1"/>
    <row r="80" s="19" customFormat="1" ht="18" customHeight="1"/>
    <row r="81" s="19" customFormat="1" ht="18" customHeight="1"/>
    <row r="82" s="19" customFormat="1" ht="18" customHeight="1"/>
    <row r="83" s="19" customFormat="1" ht="18" customHeight="1"/>
    <row r="84" ht="18" customHeight="1"/>
  </sheetData>
  <sheetProtection sheet="1" objects="1" scenarios="1"/>
  <mergeCells count="7">
    <mergeCell ref="C11:H11"/>
    <mergeCell ref="C35:H35"/>
    <mergeCell ref="C34:H34"/>
    <mergeCell ref="C30:H30"/>
    <mergeCell ref="G22:H26"/>
    <mergeCell ref="E22:F26"/>
    <mergeCell ref="C22:D26"/>
  </mergeCells>
  <hyperlinks>
    <hyperlink ref="C44" location="原材料費!A1" display="　　原材料費"/>
    <hyperlink ref="C45" location="技術導入費!A1" display="　　技術導入費"/>
    <hyperlink ref="C46" location="外注加工費!A1" display="　　外注加工費"/>
    <hyperlink ref="C47" location="委託費!A1" display="　　委託費"/>
    <hyperlink ref="C48" location="知的財産権等関連経費!A1" display="知的財産関連経費"/>
    <hyperlink ref="C49" location="運搬費!A1" display="運搬費"/>
    <hyperlink ref="C50" location="専門家経費!A1" display="専門家経費"/>
    <hyperlink ref="C51" location="クラウド利用費!A1" display="クラウド利用費"/>
    <hyperlink ref="C42" location="'機械装置費（50万円以上）'!A1" display="機械装置費（50万円以上）"/>
    <hyperlink ref="C43" location="'機械装置費（50万円未満）'!A1" display="機械装置費（50万円未満）"/>
  </hyperlinks>
  <printOptions horizontalCentered="1"/>
  <pageMargins left="0.7086614173228347" right="0.7086614173228347" top="0.7480314960629921" bottom="0.1968503937007874" header="0.31496062992125984" footer="0.31496062992125984"/>
  <pageSetup fitToHeight="5" horizontalDpi="600" verticalDpi="600" orientation="portrait" paperSize="9" scale="48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B2:M14"/>
  <sheetViews>
    <sheetView zoomScalePageLayoutView="0" workbookViewId="0" topLeftCell="A4">
      <selection activeCell="C1" sqref="C1"/>
    </sheetView>
  </sheetViews>
  <sheetFormatPr defaultColWidth="9.140625" defaultRowHeight="15"/>
  <cols>
    <col min="2" max="2" width="3.140625" style="207" bestFit="1" customWidth="1"/>
    <col min="3" max="3" width="25.140625" style="0" customWidth="1"/>
    <col min="5" max="5" width="3.140625" style="207" bestFit="1" customWidth="1"/>
    <col min="6" max="6" width="27.8515625" style="208" customWidth="1"/>
    <col min="7" max="7" width="25.140625" style="0" customWidth="1"/>
    <col min="8" max="8" width="12.421875" style="210" bestFit="1" customWidth="1"/>
    <col min="9" max="9" width="12.421875" style="212" bestFit="1" customWidth="1"/>
    <col min="11" max="11" width="3.140625" style="0" bestFit="1" customWidth="1"/>
    <col min="12" max="12" width="40.8515625" style="0" bestFit="1" customWidth="1"/>
    <col min="13" max="13" width="22.00390625" style="0" bestFit="1" customWidth="1"/>
  </cols>
  <sheetData>
    <row r="2" spans="2:13" ht="13.5">
      <c r="B2" s="193" t="s">
        <v>617</v>
      </c>
      <c r="C2" s="193" t="s">
        <v>616</v>
      </c>
      <c r="E2" s="193" t="s">
        <v>617</v>
      </c>
      <c r="F2" s="408" t="s">
        <v>616</v>
      </c>
      <c r="G2" s="409"/>
      <c r="H2" s="190" t="s">
        <v>615</v>
      </c>
      <c r="I2" s="190" t="s">
        <v>631</v>
      </c>
      <c r="K2" s="139" t="s">
        <v>617</v>
      </c>
      <c r="L2" s="139" t="s">
        <v>618</v>
      </c>
      <c r="M2" s="139" t="s">
        <v>627</v>
      </c>
    </row>
    <row r="3" spans="2:13" ht="13.5">
      <c r="B3" s="193">
        <v>1</v>
      </c>
      <c r="C3" s="191" t="s">
        <v>628</v>
      </c>
      <c r="E3" s="193">
        <v>1</v>
      </c>
      <c r="F3" s="191" t="s">
        <v>612</v>
      </c>
      <c r="G3" s="191"/>
      <c r="H3" s="192">
        <v>10000000</v>
      </c>
      <c r="I3" s="192">
        <v>1000000</v>
      </c>
      <c r="K3" s="191">
        <v>1</v>
      </c>
      <c r="L3" s="191" t="s">
        <v>614</v>
      </c>
      <c r="M3" s="191" t="s">
        <v>626</v>
      </c>
    </row>
    <row r="4" spans="2:13" ht="13.5">
      <c r="B4" s="193">
        <v>2</v>
      </c>
      <c r="C4" s="191" t="s">
        <v>629</v>
      </c>
      <c r="E4" s="209">
        <v>2</v>
      </c>
      <c r="F4" s="191" t="s">
        <v>610</v>
      </c>
      <c r="G4" s="191" t="s">
        <v>632</v>
      </c>
      <c r="H4" s="192">
        <v>5000000</v>
      </c>
      <c r="I4" s="192">
        <v>1000000</v>
      </c>
      <c r="K4" s="191">
        <v>2</v>
      </c>
      <c r="L4" s="191" t="s">
        <v>613</v>
      </c>
      <c r="M4" s="191" t="s">
        <v>613</v>
      </c>
    </row>
    <row r="5" spans="5:9" ht="13.5">
      <c r="E5" s="209">
        <v>3</v>
      </c>
      <c r="F5" s="191" t="s">
        <v>610</v>
      </c>
      <c r="G5" s="191" t="s">
        <v>633</v>
      </c>
      <c r="H5" s="192">
        <v>5000000</v>
      </c>
      <c r="I5" s="192">
        <v>1000000</v>
      </c>
    </row>
    <row r="6" spans="5:9" ht="13.5">
      <c r="E6" s="209">
        <v>4</v>
      </c>
      <c r="F6" s="191" t="s">
        <v>611</v>
      </c>
      <c r="G6" s="191" t="s">
        <v>634</v>
      </c>
      <c r="H6" s="192">
        <v>30000000</v>
      </c>
      <c r="I6" s="192">
        <v>1000000</v>
      </c>
    </row>
    <row r="7" spans="5:9" ht="13.5">
      <c r="E7" s="209">
        <v>5</v>
      </c>
      <c r="F7" s="191" t="s">
        <v>611</v>
      </c>
      <c r="G7" s="191" t="s">
        <v>635</v>
      </c>
      <c r="H7" s="192">
        <v>30000000</v>
      </c>
      <c r="I7" s="192">
        <v>1000000</v>
      </c>
    </row>
    <row r="8" spans="5:7" ht="13.5">
      <c r="E8" s="211"/>
      <c r="G8" s="208"/>
    </row>
    <row r="9" spans="5:7" ht="13.5">
      <c r="E9" s="211"/>
      <c r="G9" s="208"/>
    </row>
    <row r="10" spans="5:7" ht="13.5">
      <c r="E10" s="211"/>
      <c r="G10" s="208"/>
    </row>
    <row r="11" spans="5:7" ht="13.5">
      <c r="E11" s="211"/>
      <c r="G11" s="208"/>
    </row>
    <row r="12" spans="5:7" ht="13.5">
      <c r="E12" s="211"/>
      <c r="G12" s="208"/>
    </row>
    <row r="13" spans="5:7" ht="13.5">
      <c r="E13" s="211"/>
      <c r="G13" s="208"/>
    </row>
    <row r="14" spans="5:7" ht="13.5">
      <c r="E14" s="211"/>
      <c r="G14" s="208"/>
    </row>
  </sheetData>
  <sheetProtection/>
  <mergeCells count="1">
    <mergeCell ref="F2:G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7">
    <tabColor rgb="FFFFC000"/>
    <pageSetUpPr fitToPage="1"/>
  </sheetPr>
  <dimension ref="A1:BA121"/>
  <sheetViews>
    <sheetView showGridLines="0" zoomScale="85" zoomScaleNormal="85" zoomScaleSheetLayoutView="70" zoomScalePageLayoutView="0" workbookViewId="0" topLeftCell="A1">
      <selection activeCell="A1" sqref="A1"/>
    </sheetView>
  </sheetViews>
  <sheetFormatPr defaultColWidth="9.140625" defaultRowHeight="15"/>
  <cols>
    <col min="1" max="1" width="3.57421875" style="257" customWidth="1"/>
    <col min="2" max="2" width="11.57421875" style="257" customWidth="1"/>
    <col min="3" max="3" width="20.8515625" style="257" customWidth="1"/>
    <col min="4" max="8" width="18.8515625" style="257" customWidth="1"/>
    <col min="9" max="10" width="13.57421875" style="257" customWidth="1"/>
    <col min="11" max="11" width="5.28125" style="257" customWidth="1"/>
    <col min="12" max="12" width="47.140625" style="257" bestFit="1" customWidth="1"/>
    <col min="13" max="13" width="25.421875" style="259" customWidth="1"/>
    <col min="14" max="14" width="18.57421875" style="259" customWidth="1"/>
    <col min="15" max="15" width="25.421875" style="259" customWidth="1"/>
    <col min="16" max="16" width="32.421875" style="259" customWidth="1"/>
    <col min="17" max="17" width="26.28125" style="257" customWidth="1"/>
    <col min="18" max="18" width="18.28125" style="257" customWidth="1"/>
    <col min="19" max="20" width="19.7109375" style="351" customWidth="1"/>
    <col min="21" max="22" width="20.421875" style="257" customWidth="1"/>
    <col min="23" max="24" width="16.8515625" style="257" customWidth="1"/>
    <col min="25" max="26" width="21.8515625" style="257" customWidth="1"/>
    <col min="27" max="27" width="35.28125" style="257" customWidth="1"/>
    <col min="28" max="28" width="19.28125" style="257" customWidth="1"/>
    <col min="29" max="29" width="5.7109375" style="257" customWidth="1"/>
    <col min="30" max="30" width="35.28125" style="257" customWidth="1"/>
    <col min="31" max="31" width="19.28125" style="257" customWidth="1"/>
    <col min="32" max="32" width="5.7109375" style="257" customWidth="1"/>
    <col min="33" max="33" width="35.28125" style="257" customWidth="1"/>
    <col min="34" max="34" width="19.28125" style="257" customWidth="1"/>
    <col min="35" max="35" width="5.7109375" style="257" customWidth="1"/>
    <col min="36" max="36" width="35.28125" style="257" customWidth="1"/>
    <col min="37" max="37" width="19.28125" style="257" customWidth="1"/>
    <col min="38" max="38" width="5.7109375" style="257" customWidth="1"/>
    <col min="39" max="40" width="11.140625" style="257" bestFit="1" customWidth="1"/>
    <col min="41" max="41" width="6.7109375" style="257" bestFit="1" customWidth="1"/>
    <col min="42" max="42" width="45.57421875" style="257" bestFit="1" customWidth="1"/>
    <col min="43" max="43" width="10.28125" style="257" bestFit="1" customWidth="1"/>
    <col min="44" max="44" width="9.421875" style="257" bestFit="1" customWidth="1"/>
    <col min="45" max="45" width="4.57421875" style="257" bestFit="1" customWidth="1"/>
    <col min="46" max="46" width="8.421875" style="257" bestFit="1" customWidth="1"/>
    <col min="47" max="47" width="4.57421875" style="257" bestFit="1" customWidth="1"/>
    <col min="48" max="48" width="15.421875" style="257" bestFit="1" customWidth="1"/>
    <col min="49" max="49" width="4.57421875" style="257" bestFit="1" customWidth="1"/>
    <col min="50" max="50" width="18.28125" style="257" bestFit="1" customWidth="1"/>
    <col min="51" max="51" width="6.8515625" style="257" bestFit="1" customWidth="1"/>
    <col min="52" max="52" width="14.00390625" style="257" customWidth="1"/>
    <col min="53" max="53" width="13.8515625" style="257" customWidth="1"/>
    <col min="54" max="54" width="17.28125" style="257" customWidth="1"/>
    <col min="55" max="16384" width="9.00390625" style="257" customWidth="1"/>
  </cols>
  <sheetData>
    <row r="1" spans="1:14" s="253" customFormat="1" ht="13.5">
      <c r="A1" s="252"/>
      <c r="D1" s="254"/>
      <c r="E1" s="254"/>
      <c r="J1" s="252"/>
      <c r="K1" s="252"/>
      <c r="L1" s="252"/>
      <c r="N1" s="255"/>
    </row>
    <row r="2" spans="1:14" s="253" customFormat="1" ht="13.5">
      <c r="A2" s="252"/>
      <c r="B2" s="248"/>
      <c r="D2" s="254"/>
      <c r="E2" s="254"/>
      <c r="J2" s="252"/>
      <c r="K2" s="252"/>
      <c r="L2" s="252"/>
      <c r="N2" s="255"/>
    </row>
    <row r="3" spans="1:24" s="253" customFormat="1" ht="24">
      <c r="A3" s="252"/>
      <c r="B3" s="368" t="s">
        <v>682</v>
      </c>
      <c r="D3" s="254"/>
      <c r="E3" s="254"/>
      <c r="J3" s="252"/>
      <c r="K3" s="252"/>
      <c r="L3" s="252"/>
      <c r="N3" s="255"/>
      <c r="R3" s="369"/>
      <c r="S3" s="369"/>
      <c r="T3" s="369"/>
      <c r="U3" s="369"/>
      <c r="V3" s="369"/>
      <c r="X3" s="256"/>
    </row>
    <row r="4" spans="3:32" ht="24">
      <c r="C4" s="258"/>
      <c r="D4" s="258"/>
      <c r="E4" s="258"/>
      <c r="F4" s="259"/>
      <c r="G4" s="259"/>
      <c r="H4" s="259"/>
      <c r="I4" s="259"/>
      <c r="J4" s="259"/>
      <c r="R4" s="410" t="str">
        <f>"（事業者名　：　"&amp;'基本情報入力（使い方）'!C11&amp;")"</f>
        <v>（事業者名　：　Ｂ金属株式会社)</v>
      </c>
      <c r="S4" s="410"/>
      <c r="T4" s="410"/>
      <c r="U4" s="410"/>
      <c r="V4" s="410"/>
      <c r="W4" s="256"/>
      <c r="AF4" s="260"/>
    </row>
    <row r="5" spans="2:23" ht="24">
      <c r="B5" s="437" t="str">
        <f>"（事業者名　：　"&amp;'基本情報入力（使い方）'!C11&amp;" ）"</f>
        <v>（事業者名　：　Ｂ金属株式会社 ）</v>
      </c>
      <c r="C5" s="437"/>
      <c r="D5" s="437"/>
      <c r="E5" s="437"/>
      <c r="F5" s="437"/>
      <c r="G5" s="437"/>
      <c r="H5" s="437"/>
      <c r="I5" s="380"/>
      <c r="J5" s="268" t="s">
        <v>0</v>
      </c>
      <c r="M5" s="261" t="s">
        <v>528</v>
      </c>
      <c r="N5" s="262"/>
      <c r="O5" s="262"/>
      <c r="P5" s="257"/>
      <c r="R5" s="263" t="s">
        <v>568</v>
      </c>
      <c r="S5" s="257"/>
      <c r="T5" s="264" t="s">
        <v>569</v>
      </c>
      <c r="U5" s="265"/>
      <c r="V5" s="265"/>
      <c r="W5" s="256"/>
    </row>
    <row r="6" spans="2:52" s="253" customFormat="1" ht="30" customHeight="1">
      <c r="B6" s="432" t="s">
        <v>691</v>
      </c>
      <c r="C6" s="433"/>
      <c r="D6" s="434"/>
      <c r="E6" s="382" t="str">
        <f>事業類型&amp;"　"&amp;M50</f>
        <v>革新的サービス　小規模型（試作開発等）</v>
      </c>
      <c r="F6" s="383"/>
      <c r="G6" s="383"/>
      <c r="H6" s="384"/>
      <c r="I6" s="384"/>
      <c r="J6" s="385"/>
      <c r="K6" s="257"/>
      <c r="L6" s="257"/>
      <c r="M6" s="493" t="s">
        <v>38</v>
      </c>
      <c r="N6" s="269" t="s">
        <v>567</v>
      </c>
      <c r="O6" s="270"/>
      <c r="P6" s="271"/>
      <c r="Q6" s="257"/>
      <c r="R6" s="466" t="s">
        <v>38</v>
      </c>
      <c r="S6" s="417" t="s">
        <v>625</v>
      </c>
      <c r="T6" s="418"/>
      <c r="U6" s="418"/>
      <c r="V6" s="419"/>
      <c r="W6" s="256"/>
      <c r="X6" s="257"/>
      <c r="Y6" s="257"/>
      <c r="Z6" s="257"/>
      <c r="AA6" s="257"/>
      <c r="AB6" s="257"/>
      <c r="AC6" s="257"/>
      <c r="AD6" s="257"/>
      <c r="AE6" s="257"/>
      <c r="AF6" s="257"/>
      <c r="AG6" s="257"/>
      <c r="AH6" s="257"/>
      <c r="AI6" s="257"/>
      <c r="AJ6" s="257"/>
      <c r="AK6" s="257"/>
      <c r="AL6" s="257"/>
      <c r="AM6" s="257"/>
      <c r="AN6" s="257"/>
      <c r="AO6" s="257"/>
      <c r="AP6" s="257"/>
      <c r="AQ6" s="257"/>
      <c r="AR6" s="257"/>
      <c r="AS6" s="257"/>
      <c r="AT6" s="257"/>
      <c r="AU6" s="257"/>
      <c r="AV6" s="257"/>
      <c r="AW6" s="257"/>
      <c r="AX6" s="257"/>
      <c r="AY6" s="257"/>
      <c r="AZ6" s="257"/>
    </row>
    <row r="7" spans="1:52" s="253" customFormat="1" ht="33" customHeight="1">
      <c r="A7" s="259"/>
      <c r="B7" s="374" t="s">
        <v>17</v>
      </c>
      <c r="C7" s="375"/>
      <c r="D7" s="452" t="s">
        <v>692</v>
      </c>
      <c r="E7" s="423" t="s">
        <v>693</v>
      </c>
      <c r="F7" s="424"/>
      <c r="G7" s="386" t="s">
        <v>694</v>
      </c>
      <c r="H7" s="386" t="s">
        <v>695</v>
      </c>
      <c r="I7" s="438" t="s">
        <v>696</v>
      </c>
      <c r="J7" s="439"/>
      <c r="K7" s="252"/>
      <c r="L7" s="257"/>
      <c r="M7" s="494"/>
      <c r="N7" s="425" t="str">
        <f>事業類型&amp;":"&amp;$M$50</f>
        <v>革新的サービス:小規模型（試作開発等）</v>
      </c>
      <c r="O7" s="426"/>
      <c r="P7" s="427"/>
      <c r="Q7" s="257"/>
      <c r="R7" s="467"/>
      <c r="S7" s="420"/>
      <c r="T7" s="421"/>
      <c r="U7" s="421"/>
      <c r="V7" s="422"/>
      <c r="W7" s="256"/>
      <c r="X7" s="257"/>
      <c r="Y7" s="257"/>
      <c r="Z7" s="257"/>
      <c r="AA7" s="257"/>
      <c r="AB7" s="257"/>
      <c r="AC7" s="257"/>
      <c r="AD7" s="257"/>
      <c r="AE7" s="257"/>
      <c r="AF7" s="257"/>
      <c r="AG7" s="257"/>
      <c r="AH7" s="257"/>
      <c r="AI7" s="257"/>
      <c r="AJ7" s="257"/>
      <c r="AK7" s="257"/>
      <c r="AL7" s="257"/>
      <c r="AM7" s="257"/>
      <c r="AN7" s="257"/>
      <c r="AO7" s="257"/>
      <c r="AP7" s="257"/>
      <c r="AQ7" s="257"/>
      <c r="AR7" s="257"/>
      <c r="AS7" s="257"/>
      <c r="AT7" s="257"/>
      <c r="AU7" s="257"/>
      <c r="AV7" s="257"/>
      <c r="AW7" s="257"/>
      <c r="AX7" s="257"/>
      <c r="AY7" s="257"/>
      <c r="AZ7" s="257"/>
    </row>
    <row r="8" spans="1:22" ht="30" customHeight="1">
      <c r="A8" s="259"/>
      <c r="B8" s="378"/>
      <c r="C8" s="379"/>
      <c r="D8" s="453"/>
      <c r="E8" s="435" t="s">
        <v>697</v>
      </c>
      <c r="F8" s="436"/>
      <c r="G8" s="388" t="s">
        <v>564</v>
      </c>
      <c r="H8" s="387" t="s">
        <v>686</v>
      </c>
      <c r="I8" s="440"/>
      <c r="J8" s="441"/>
      <c r="M8" s="272"/>
      <c r="N8" s="269" t="s">
        <v>41</v>
      </c>
      <c r="O8" s="273"/>
      <c r="P8" s="274"/>
      <c r="R8" s="275" t="s">
        <v>666</v>
      </c>
      <c r="S8" s="411" t="s">
        <v>669</v>
      </c>
      <c r="T8" s="412"/>
      <c r="U8" s="412"/>
      <c r="V8" s="413"/>
    </row>
    <row r="9" spans="2:22" ht="30" customHeight="1">
      <c r="B9" s="376"/>
      <c r="C9" s="377"/>
      <c r="D9" s="454"/>
      <c r="E9" s="389" t="s">
        <v>698</v>
      </c>
      <c r="F9" s="389" t="s">
        <v>699</v>
      </c>
      <c r="G9" s="389" t="s">
        <v>699</v>
      </c>
      <c r="H9" s="389" t="s">
        <v>699</v>
      </c>
      <c r="I9" s="442"/>
      <c r="J9" s="443"/>
      <c r="M9" s="217" t="str">
        <f>AL27</f>
        <v>○</v>
      </c>
      <c r="N9" s="279"/>
      <c r="O9" s="280"/>
      <c r="P9" s="244">
        <f>補助上限額</f>
        <v>5000000</v>
      </c>
      <c r="R9" s="218" t="str">
        <f>IF(OR(S28="×",S29="×",S30="×",S31="×",S32="×",S33="×",S34="×",S35="×",S36="×",S37="×"),"×","○")</f>
        <v>○</v>
      </c>
      <c r="S9" s="414"/>
      <c r="T9" s="415"/>
      <c r="U9" s="415"/>
      <c r="V9" s="416"/>
    </row>
    <row r="10" spans="1:23" ht="30" customHeight="1">
      <c r="A10" s="267"/>
      <c r="B10" s="455" t="s">
        <v>661</v>
      </c>
      <c r="C10" s="456"/>
      <c r="D10" s="393">
        <v>1333333</v>
      </c>
      <c r="E10" s="277">
        <f>'機械装置費（50万円以上）'!K33</f>
        <v>2159136</v>
      </c>
      <c r="F10" s="278">
        <f>'機械装置費（50万円以上）'!L33</f>
        <v>1999200</v>
      </c>
      <c r="G10" s="278">
        <f>'機械装置費（50万円以上）'!M33</f>
        <v>1999200</v>
      </c>
      <c r="H10" s="278">
        <f aca="true" t="shared" si="0" ref="H10:H19">P28</f>
        <v>1332800</v>
      </c>
      <c r="I10" s="450" t="s">
        <v>700</v>
      </c>
      <c r="J10" s="451"/>
      <c r="M10" s="272"/>
      <c r="N10" s="269" t="s">
        <v>631</v>
      </c>
      <c r="O10" s="273"/>
      <c r="P10" s="274"/>
      <c r="R10" s="285" t="s">
        <v>667</v>
      </c>
      <c r="S10" s="457" t="s">
        <v>665</v>
      </c>
      <c r="T10" s="458"/>
      <c r="U10" s="458"/>
      <c r="V10" s="459"/>
      <c r="W10" s="286"/>
    </row>
    <row r="11" spans="2:23" ht="30" customHeight="1">
      <c r="B11" s="430" t="s">
        <v>662</v>
      </c>
      <c r="C11" s="431"/>
      <c r="D11" s="394">
        <v>2133328</v>
      </c>
      <c r="E11" s="282">
        <f>'機械装置費（50万円未満）'!K33</f>
        <v>2592000</v>
      </c>
      <c r="F11" s="283">
        <f>'機械装置費（50万円未満）'!L33</f>
        <v>2400000</v>
      </c>
      <c r="G11" s="283">
        <f>'機械装置費（50万円未満）'!M33</f>
        <v>2400000</v>
      </c>
      <c r="H11" s="283">
        <f t="shared" si="0"/>
        <v>1599996</v>
      </c>
      <c r="I11" s="381"/>
      <c r="J11" s="284"/>
      <c r="M11" s="219" t="str">
        <f>AL28</f>
        <v>○</v>
      </c>
      <c r="N11" s="279"/>
      <c r="O11" s="280"/>
      <c r="P11" s="244">
        <f>補助下限額</f>
        <v>1000000</v>
      </c>
      <c r="R11" s="218" t="str">
        <f>IF(OR(T28="×",T29="×",T30="×",T31="×",T32="×",T33="×",T34="×",T35="×",T36="×",T37="×"),"×","○")</f>
        <v>○</v>
      </c>
      <c r="S11" s="460"/>
      <c r="T11" s="461"/>
      <c r="U11" s="461"/>
      <c r="V11" s="462"/>
      <c r="W11" s="220"/>
    </row>
    <row r="12" spans="2:24" ht="30" customHeight="1">
      <c r="B12" s="430" t="s">
        <v>641</v>
      </c>
      <c r="C12" s="431"/>
      <c r="D12" s="394">
        <v>77349</v>
      </c>
      <c r="E12" s="282">
        <f>'原材料費'!K33</f>
        <v>286686</v>
      </c>
      <c r="F12" s="283">
        <f>'原材料費'!L33</f>
        <v>265450</v>
      </c>
      <c r="G12" s="283">
        <f>'原材料費'!M33</f>
        <v>265450</v>
      </c>
      <c r="H12" s="283">
        <f t="shared" si="0"/>
        <v>176966</v>
      </c>
      <c r="I12" s="381"/>
      <c r="J12" s="284"/>
      <c r="R12" s="287" t="s">
        <v>668</v>
      </c>
      <c r="S12" s="269" t="s">
        <v>677</v>
      </c>
      <c r="T12" s="273"/>
      <c r="U12" s="273"/>
      <c r="V12" s="288"/>
      <c r="X12" s="220"/>
    </row>
    <row r="13" spans="2:26" ht="30" customHeight="1">
      <c r="B13" s="430" t="s">
        <v>27</v>
      </c>
      <c r="C13" s="431"/>
      <c r="D13" s="394">
        <v>813490</v>
      </c>
      <c r="E13" s="282">
        <f>'技術導入費'!K33</f>
        <v>0</v>
      </c>
      <c r="F13" s="283">
        <f>'技術導入費'!L33</f>
        <v>0</v>
      </c>
      <c r="G13" s="283">
        <f>'技術導入費'!M33</f>
        <v>0</v>
      </c>
      <c r="H13" s="283">
        <f t="shared" si="0"/>
        <v>0</v>
      </c>
      <c r="I13" s="381"/>
      <c r="J13" s="284"/>
      <c r="Q13" s="259"/>
      <c r="R13" s="217" t="str">
        <f>AL29</f>
        <v> </v>
      </c>
      <c r="S13" s="463" t="str">
        <f>"("&amp;AJ29&amp;")"</f>
        <v>(判定対象外)</v>
      </c>
      <c r="T13" s="464"/>
      <c r="U13" s="464"/>
      <c r="V13" s="465"/>
      <c r="X13" s="220"/>
      <c r="Y13" s="259"/>
      <c r="Z13" s="259"/>
    </row>
    <row r="14" spans="2:24" ht="30" customHeight="1">
      <c r="B14" s="430" t="s">
        <v>642</v>
      </c>
      <c r="C14" s="431"/>
      <c r="D14" s="394">
        <v>75322</v>
      </c>
      <c r="E14" s="282">
        <f>'外注加工費'!K33</f>
        <v>0</v>
      </c>
      <c r="F14" s="283">
        <f>'外注加工費'!L33</f>
        <v>0</v>
      </c>
      <c r="G14" s="283">
        <f>'外注加工費'!M33</f>
        <v>0</v>
      </c>
      <c r="H14" s="283">
        <f t="shared" si="0"/>
        <v>0</v>
      </c>
      <c r="I14" s="381"/>
      <c r="J14" s="289"/>
      <c r="M14" s="290"/>
      <c r="N14" s="257"/>
      <c r="O14" s="291"/>
      <c r="P14" s="257"/>
      <c r="Q14" s="259"/>
      <c r="R14" s="285" t="s">
        <v>671</v>
      </c>
      <c r="S14" s="457" t="s">
        <v>670</v>
      </c>
      <c r="T14" s="458"/>
      <c r="U14" s="458"/>
      <c r="V14" s="459"/>
      <c r="W14" s="220"/>
      <c r="X14" s="259"/>
    </row>
    <row r="15" spans="2:24" ht="30" customHeight="1">
      <c r="B15" s="430" t="s">
        <v>643</v>
      </c>
      <c r="C15" s="431"/>
      <c r="D15" s="394">
        <v>162697</v>
      </c>
      <c r="E15" s="282">
        <f>'委託費'!K33</f>
        <v>1166400</v>
      </c>
      <c r="F15" s="283">
        <f>'委託費'!L33</f>
        <v>1080000</v>
      </c>
      <c r="G15" s="283">
        <f>'委託費'!M33</f>
        <v>1080000</v>
      </c>
      <c r="H15" s="283">
        <f t="shared" si="0"/>
        <v>720000</v>
      </c>
      <c r="I15" s="381"/>
      <c r="J15" s="289"/>
      <c r="M15" s="290"/>
      <c r="N15" s="257"/>
      <c r="O15" s="291"/>
      <c r="P15" s="257"/>
      <c r="Q15" s="259"/>
      <c r="R15" s="218" t="str">
        <f>IF(OR(V28="×",V29="×",V30="×",V31="×",V32="×",V33="×",V34="×",V35="×",V36="×",V37="×"),"×",AL30)</f>
        <v> </v>
      </c>
      <c r="S15" s="463" t="str">
        <f>"("&amp;AJ30&amp;")"</f>
        <v>(判定対象外)</v>
      </c>
      <c r="T15" s="464"/>
      <c r="U15" s="464"/>
      <c r="V15" s="465"/>
      <c r="W15" s="220"/>
      <c r="X15" s="259"/>
    </row>
    <row r="16" spans="1:53" s="259" customFormat="1" ht="30" customHeight="1">
      <c r="A16" s="257"/>
      <c r="B16" s="430" t="s">
        <v>644</v>
      </c>
      <c r="C16" s="431"/>
      <c r="D16" s="394">
        <v>82854</v>
      </c>
      <c r="E16" s="282">
        <f>'知的財産権等関連経費'!K33</f>
        <v>594000</v>
      </c>
      <c r="F16" s="283">
        <f>'知的財産権等関連経費'!L33</f>
        <v>550000</v>
      </c>
      <c r="G16" s="283">
        <f>'知的財産権等関連経費'!M33</f>
        <v>550000</v>
      </c>
      <c r="H16" s="283">
        <f t="shared" si="0"/>
        <v>366666</v>
      </c>
      <c r="I16" s="381"/>
      <c r="J16" s="292"/>
      <c r="K16" s="257"/>
      <c r="R16" s="285" t="s">
        <v>675</v>
      </c>
      <c r="S16" s="411" t="s">
        <v>655</v>
      </c>
      <c r="T16" s="412"/>
      <c r="U16" s="412"/>
      <c r="V16" s="413"/>
      <c r="W16" s="220"/>
      <c r="Y16" s="257"/>
      <c r="Z16" s="257"/>
      <c r="AA16" s="257"/>
      <c r="AB16" s="257"/>
      <c r="AC16" s="257"/>
      <c r="AD16" s="257"/>
      <c r="AE16" s="257"/>
      <c r="AF16" s="257"/>
      <c r="AG16" s="257"/>
      <c r="AH16" s="257"/>
      <c r="AI16" s="257"/>
      <c r="AJ16" s="257"/>
      <c r="AK16" s="257"/>
      <c r="BA16" s="293"/>
    </row>
    <row r="17" spans="1:45" s="259" customFormat="1" ht="30" customHeight="1">
      <c r="A17" s="257"/>
      <c r="B17" s="430" t="s">
        <v>30</v>
      </c>
      <c r="C17" s="431"/>
      <c r="D17" s="394">
        <v>133321</v>
      </c>
      <c r="E17" s="282">
        <f>'運搬費'!K33</f>
        <v>955800</v>
      </c>
      <c r="F17" s="283">
        <f>'運搬費'!L33</f>
        <v>885000</v>
      </c>
      <c r="G17" s="283">
        <f>'運搬費'!M33</f>
        <v>885000</v>
      </c>
      <c r="H17" s="283">
        <f t="shared" si="0"/>
        <v>590000</v>
      </c>
      <c r="I17" s="381"/>
      <c r="J17" s="292"/>
      <c r="M17" s="290"/>
      <c r="N17" s="257"/>
      <c r="O17" s="291"/>
      <c r="P17" s="257"/>
      <c r="R17" s="218" t="str">
        <f>IF(OR(W28="×",W29="×",W30="×",W31="×",W32="×",W33="×",W34="×",W35="×",W36="×",W37="×"),"×","○")</f>
        <v>○</v>
      </c>
      <c r="S17" s="414"/>
      <c r="T17" s="415"/>
      <c r="U17" s="415"/>
      <c r="V17" s="416"/>
      <c r="W17" s="257"/>
      <c r="Y17" s="257"/>
      <c r="Z17" s="257"/>
      <c r="AA17" s="257"/>
      <c r="AB17" s="257"/>
      <c r="AC17" s="257"/>
      <c r="AD17" s="257"/>
      <c r="AE17" s="257"/>
      <c r="AF17" s="257"/>
      <c r="AG17" s="257"/>
      <c r="AH17" s="257"/>
      <c r="AI17" s="257"/>
      <c r="AJ17" s="257"/>
      <c r="AK17" s="257"/>
      <c r="AS17" s="293"/>
    </row>
    <row r="18" spans="1:45" s="259" customFormat="1" ht="30" customHeight="1">
      <c r="A18" s="257"/>
      <c r="B18" s="430" t="s">
        <v>556</v>
      </c>
      <c r="C18" s="431"/>
      <c r="D18" s="394">
        <v>150645</v>
      </c>
      <c r="E18" s="282">
        <f>'専門家経費'!K33</f>
        <v>0</v>
      </c>
      <c r="F18" s="283">
        <f>'専門家経費'!L33</f>
        <v>0</v>
      </c>
      <c r="G18" s="283">
        <f>'専門家経費'!M33</f>
        <v>0</v>
      </c>
      <c r="H18" s="283">
        <f t="shared" si="0"/>
        <v>0</v>
      </c>
      <c r="I18" s="381"/>
      <c r="J18" s="292"/>
      <c r="L18" s="257"/>
      <c r="M18" s="290"/>
      <c r="N18" s="257"/>
      <c r="O18" s="291"/>
      <c r="P18" s="257"/>
      <c r="R18" s="257"/>
      <c r="T18" s="257"/>
      <c r="U18" s="257"/>
      <c r="V18" s="257"/>
      <c r="W18" s="220"/>
      <c r="Y18" s="257"/>
      <c r="Z18" s="257"/>
      <c r="AA18" s="257"/>
      <c r="AB18" s="257"/>
      <c r="AC18" s="257"/>
      <c r="AD18" s="257"/>
      <c r="AE18" s="257"/>
      <c r="AF18" s="257"/>
      <c r="AG18" s="257"/>
      <c r="AH18" s="257"/>
      <c r="AI18" s="257"/>
      <c r="AJ18" s="257"/>
      <c r="AK18" s="257"/>
      <c r="AS18" s="293"/>
    </row>
    <row r="19" spans="1:44" s="259" customFormat="1" ht="30" customHeight="1">
      <c r="A19" s="257"/>
      <c r="B19" s="428" t="s">
        <v>645</v>
      </c>
      <c r="C19" s="429"/>
      <c r="D19" s="395">
        <v>37661</v>
      </c>
      <c r="E19" s="295">
        <f>'クラウド利用費'!K33</f>
        <v>270000</v>
      </c>
      <c r="F19" s="296">
        <f>'クラウド利用費'!L33</f>
        <v>250000</v>
      </c>
      <c r="G19" s="296">
        <f>'クラウド利用費'!M33</f>
        <v>250000</v>
      </c>
      <c r="H19" s="296">
        <f t="shared" si="0"/>
        <v>166666</v>
      </c>
      <c r="I19" s="299"/>
      <c r="J19" s="297"/>
      <c r="K19" s="257"/>
      <c r="L19" s="257"/>
      <c r="M19" s="290"/>
      <c r="N19" s="257"/>
      <c r="O19" s="291"/>
      <c r="P19" s="257"/>
      <c r="R19" s="257"/>
      <c r="T19" s="257"/>
      <c r="U19" s="257"/>
      <c r="V19" s="257"/>
      <c r="W19" s="220"/>
      <c r="Y19" s="257"/>
      <c r="Z19" s="257"/>
      <c r="AA19" s="257"/>
      <c r="AB19" s="257"/>
      <c r="AC19" s="257"/>
      <c r="AD19" s="257"/>
      <c r="AE19" s="257"/>
      <c r="AF19" s="257"/>
      <c r="AG19" s="257"/>
      <c r="AH19" s="257"/>
      <c r="AI19" s="257"/>
      <c r="AJ19" s="257"/>
      <c r="AK19" s="257"/>
      <c r="AR19" s="293"/>
    </row>
    <row r="20" spans="1:44" s="259" customFormat="1" ht="30" customHeight="1">
      <c r="A20" s="257"/>
      <c r="B20" s="476" t="s">
        <v>539</v>
      </c>
      <c r="C20" s="477"/>
      <c r="D20" s="298">
        <f>SUM(D10:D19)</f>
        <v>5000000</v>
      </c>
      <c r="E20" s="298">
        <f>SUM(E10:E19)</f>
        <v>8024022</v>
      </c>
      <c r="F20" s="298">
        <f>SUM(F10:F19)</f>
        <v>7429650</v>
      </c>
      <c r="G20" s="298">
        <f>SUM(G10:G19)</f>
        <v>7429650</v>
      </c>
      <c r="H20" s="298">
        <f>SUM(H10:H19)</f>
        <v>4953094</v>
      </c>
      <c r="I20" s="299"/>
      <c r="J20" s="300"/>
      <c r="K20" s="257"/>
      <c r="L20" s="257"/>
      <c r="Q20" s="257"/>
      <c r="R20" s="257"/>
      <c r="S20" s="257"/>
      <c r="T20" s="257"/>
      <c r="U20" s="257"/>
      <c r="V20" s="257"/>
      <c r="W20" s="257"/>
      <c r="X20" s="257"/>
      <c r="Y20" s="257"/>
      <c r="Z20" s="257"/>
      <c r="AA20" s="257"/>
      <c r="AB20" s="257"/>
      <c r="AC20" s="257"/>
      <c r="AD20" s="257"/>
      <c r="AE20" s="257"/>
      <c r="AF20" s="257"/>
      <c r="AG20" s="257"/>
      <c r="AH20" s="257"/>
      <c r="AI20" s="257"/>
      <c r="AJ20" s="257"/>
      <c r="AK20" s="257"/>
      <c r="AR20" s="293"/>
    </row>
    <row r="21" spans="1:45" s="259" customFormat="1" ht="20.25" customHeight="1">
      <c r="A21" s="257"/>
      <c r="B21" s="266"/>
      <c r="C21" s="367"/>
      <c r="D21" s="367"/>
      <c r="E21" s="367"/>
      <c r="F21" s="367"/>
      <c r="G21" s="367"/>
      <c r="H21" s="367"/>
      <c r="I21" s="367"/>
      <c r="J21" s="367"/>
      <c r="K21" s="257"/>
      <c r="L21" s="257"/>
      <c r="Q21" s="257"/>
      <c r="R21" s="257"/>
      <c r="S21" s="257"/>
      <c r="T21" s="257"/>
      <c r="U21" s="257"/>
      <c r="V21" s="257"/>
      <c r="W21" s="257"/>
      <c r="X21" s="257"/>
      <c r="Y21" s="257"/>
      <c r="Z21" s="257"/>
      <c r="AA21" s="257"/>
      <c r="AB21" s="257"/>
      <c r="AC21" s="257"/>
      <c r="AD21" s="257"/>
      <c r="AE21" s="257"/>
      <c r="AF21" s="257"/>
      <c r="AG21" s="257"/>
      <c r="AH21" s="257"/>
      <c r="AI21" s="257"/>
      <c r="AJ21" s="257"/>
      <c r="AK21" s="257"/>
      <c r="AL21" s="257"/>
      <c r="AS21" s="293"/>
    </row>
    <row r="22" spans="1:45" s="259" customFormat="1" ht="20.25" customHeight="1">
      <c r="A22" s="257"/>
      <c r="B22" s="266" t="s">
        <v>711</v>
      </c>
      <c r="C22" s="257"/>
      <c r="D22" s="257"/>
      <c r="E22" s="257"/>
      <c r="F22" s="257"/>
      <c r="G22" s="257"/>
      <c r="H22" s="257"/>
      <c r="I22" s="367"/>
      <c r="J22" s="367"/>
      <c r="K22" s="257"/>
      <c r="L22" s="257"/>
      <c r="Q22" s="257"/>
      <c r="R22" s="257"/>
      <c r="S22" s="257"/>
      <c r="T22" s="257"/>
      <c r="U22" s="257"/>
      <c r="V22" s="257"/>
      <c r="W22" s="257"/>
      <c r="X22" s="257"/>
      <c r="Y22" s="257"/>
      <c r="Z22" s="257"/>
      <c r="AA22" s="257"/>
      <c r="AB22" s="257"/>
      <c r="AC22" s="257"/>
      <c r="AD22" s="257"/>
      <c r="AE22" s="257"/>
      <c r="AF22" s="257"/>
      <c r="AG22" s="257"/>
      <c r="AH22" s="257"/>
      <c r="AI22" s="257"/>
      <c r="AJ22" s="257"/>
      <c r="AK22" s="257"/>
      <c r="AL22" s="257"/>
      <c r="AS22" s="293"/>
    </row>
    <row r="23" spans="1:45" s="259" customFormat="1" ht="30" customHeight="1">
      <c r="A23" s="257"/>
      <c r="B23" s="257"/>
      <c r="C23" s="257"/>
      <c r="D23" s="257"/>
      <c r="E23" s="257"/>
      <c r="F23" s="257"/>
      <c r="G23" s="257"/>
      <c r="H23" s="257"/>
      <c r="I23" s="257"/>
      <c r="J23" s="257"/>
      <c r="K23" s="257"/>
      <c r="L23" s="257"/>
      <c r="Q23" s="257"/>
      <c r="R23" s="257"/>
      <c r="S23" s="257"/>
      <c r="T23" s="257"/>
      <c r="U23" s="257"/>
      <c r="V23" s="257"/>
      <c r="W23" s="257"/>
      <c r="X23" s="257"/>
      <c r="Y23" s="257"/>
      <c r="Z23" s="257"/>
      <c r="AA23" s="257"/>
      <c r="AB23" s="257"/>
      <c r="AC23" s="257"/>
      <c r="AD23" s="257"/>
      <c r="AE23" s="257"/>
      <c r="AF23" s="257"/>
      <c r="AG23" s="257"/>
      <c r="AH23" s="257"/>
      <c r="AI23" s="257"/>
      <c r="AJ23" s="257"/>
      <c r="AK23" s="257"/>
      <c r="AL23" s="257"/>
      <c r="AS23" s="293"/>
    </row>
    <row r="24" spans="12:25" ht="30" customHeight="1">
      <c r="L24" s="301"/>
      <c r="M24" s="303" t="s">
        <v>683</v>
      </c>
      <c r="N24" s="304"/>
      <c r="O24" s="304"/>
      <c r="P24" s="305"/>
      <c r="Q24" s="306"/>
      <c r="R24" s="307"/>
      <c r="S24" s="308"/>
      <c r="T24" s="307"/>
      <c r="U24" s="307"/>
      <c r="V24" s="307"/>
      <c r="W24" s="307"/>
      <c r="X24" s="309"/>
      <c r="Y24" s="309"/>
    </row>
    <row r="25" spans="1:38" s="267" customFormat="1" ht="30" customHeight="1">
      <c r="A25" s="257"/>
      <c r="B25" s="257"/>
      <c r="C25" s="257"/>
      <c r="D25" s="257"/>
      <c r="E25" s="257"/>
      <c r="F25" s="257"/>
      <c r="G25" s="257"/>
      <c r="H25" s="257"/>
      <c r="I25" s="257"/>
      <c r="J25" s="257"/>
      <c r="K25" s="302"/>
      <c r="L25" s="253"/>
      <c r="M25" s="370" t="s">
        <v>22</v>
      </c>
      <c r="N25" s="445" t="s">
        <v>37</v>
      </c>
      <c r="O25" s="370" t="s">
        <v>22</v>
      </c>
      <c r="P25" s="370" t="s">
        <v>22</v>
      </c>
      <c r="Q25" s="483" t="s">
        <v>529</v>
      </c>
      <c r="R25" s="486" t="s">
        <v>38</v>
      </c>
      <c r="S25" s="310" t="s">
        <v>573</v>
      </c>
      <c r="T25" s="310" t="s">
        <v>574</v>
      </c>
      <c r="U25" s="311" t="s">
        <v>575</v>
      </c>
      <c r="V25" s="311" t="s">
        <v>671</v>
      </c>
      <c r="W25" s="311" t="s">
        <v>675</v>
      </c>
      <c r="X25" s="444" t="s">
        <v>532</v>
      </c>
      <c r="Y25" s="312"/>
      <c r="Z25" s="474" t="s">
        <v>656</v>
      </c>
      <c r="AA25" s="481" t="s">
        <v>612</v>
      </c>
      <c r="AB25" s="472"/>
      <c r="AC25" s="478"/>
      <c r="AD25" s="471" t="s">
        <v>610</v>
      </c>
      <c r="AE25" s="472"/>
      <c r="AF25" s="478"/>
      <c r="AG25" s="471" t="s">
        <v>611</v>
      </c>
      <c r="AH25" s="472"/>
      <c r="AI25" s="473"/>
      <c r="AJ25" s="468" t="s">
        <v>622</v>
      </c>
      <c r="AK25" s="469"/>
      <c r="AL25" s="470"/>
    </row>
    <row r="26" spans="11:38" ht="36.75" customHeight="1" thickBot="1">
      <c r="K26" s="302"/>
      <c r="L26" s="253"/>
      <c r="M26" s="371" t="s">
        <v>684</v>
      </c>
      <c r="N26" s="446"/>
      <c r="O26" s="371" t="s">
        <v>685</v>
      </c>
      <c r="P26" s="371" t="s">
        <v>686</v>
      </c>
      <c r="Q26" s="484"/>
      <c r="R26" s="487"/>
      <c r="S26" s="479" t="s">
        <v>534</v>
      </c>
      <c r="T26" s="489" t="s">
        <v>660</v>
      </c>
      <c r="U26" s="479" t="s">
        <v>676</v>
      </c>
      <c r="V26" s="479" t="s">
        <v>663</v>
      </c>
      <c r="W26" s="448" t="s">
        <v>655</v>
      </c>
      <c r="X26" s="444"/>
      <c r="Y26" s="312"/>
      <c r="Z26" s="475"/>
      <c r="AA26" s="313" t="s">
        <v>619</v>
      </c>
      <c r="AB26" s="314" t="s">
        <v>620</v>
      </c>
      <c r="AC26" s="314" t="s">
        <v>621</v>
      </c>
      <c r="AD26" s="314" t="s">
        <v>619</v>
      </c>
      <c r="AE26" s="314" t="s">
        <v>620</v>
      </c>
      <c r="AF26" s="314" t="s">
        <v>621</v>
      </c>
      <c r="AG26" s="314" t="s">
        <v>619</v>
      </c>
      <c r="AH26" s="314" t="s">
        <v>620</v>
      </c>
      <c r="AI26" s="315" t="s">
        <v>621</v>
      </c>
      <c r="AJ26" s="316" t="s">
        <v>619</v>
      </c>
      <c r="AK26" s="314" t="s">
        <v>620</v>
      </c>
      <c r="AL26" s="314" t="s">
        <v>621</v>
      </c>
    </row>
    <row r="27" spans="11:38" ht="30" customHeight="1" thickTop="1">
      <c r="K27" s="302"/>
      <c r="L27" s="253"/>
      <c r="M27" s="373" t="s">
        <v>23</v>
      </c>
      <c r="N27" s="447"/>
      <c r="O27" s="372" t="s">
        <v>23</v>
      </c>
      <c r="P27" s="372" t="s">
        <v>23</v>
      </c>
      <c r="Q27" s="485"/>
      <c r="R27" s="488"/>
      <c r="S27" s="480"/>
      <c r="T27" s="490"/>
      <c r="U27" s="480"/>
      <c r="V27" s="480"/>
      <c r="W27" s="449"/>
      <c r="X27" s="444"/>
      <c r="Y27" s="312"/>
      <c r="Z27" s="317" t="s">
        <v>41</v>
      </c>
      <c r="AA27" s="318">
        <v>10000000</v>
      </c>
      <c r="AB27" s="221">
        <f>$H$20</f>
        <v>4953094</v>
      </c>
      <c r="AC27" s="319" t="str">
        <f>IF(AA27-AB27&gt;=0,"○","×")</f>
        <v>○</v>
      </c>
      <c r="AD27" s="221">
        <v>5000000</v>
      </c>
      <c r="AE27" s="221">
        <f>$H$20</f>
        <v>4953094</v>
      </c>
      <c r="AF27" s="319" t="str">
        <f>IF(AD27-AE27&gt;=0,"○","×")</f>
        <v>○</v>
      </c>
      <c r="AG27" s="221">
        <v>30000000</v>
      </c>
      <c r="AH27" s="221">
        <f>$H$20</f>
        <v>4953094</v>
      </c>
      <c r="AI27" s="320" t="str">
        <f>IF(AG27-AH27&gt;=0,"○","×")</f>
        <v>○</v>
      </c>
      <c r="AJ27" s="321">
        <f>IF('基本情報入力（使い方）'!$C$22=1,AA27,IF(OR('基本情報入力（使い方）'!$C$22=2,'基本情報入力（使い方）'!$C$22=3),AD27,AG27))</f>
        <v>5000000</v>
      </c>
      <c r="AK27" s="322">
        <f>IF('基本情報入力（使い方）'!$C$22=1,AB27,IF(OR('基本情報入力（使い方）'!$C$22=2,'基本情報入力（使い方）'!$C$22=3),AE27,AH27))</f>
        <v>4953094</v>
      </c>
      <c r="AL27" s="323" t="str">
        <f>IF('基本情報入力（使い方）'!$C$22=1,AC27,IF(OR('基本情報入力（使い方）'!$C$22=2,'基本情報入力（使い方）'!$C$22=3),AF27,AI27))</f>
        <v>○</v>
      </c>
    </row>
    <row r="28" spans="11:38" ht="30" customHeight="1">
      <c r="K28" s="302"/>
      <c r="L28" s="276" t="s">
        <v>554</v>
      </c>
      <c r="M28" s="214">
        <f>'機械装置費（50万円以上）'!Q33</f>
        <v>1332800</v>
      </c>
      <c r="N28" s="215">
        <f>IF($O$28&gt;0,1,"")</f>
        <v>1</v>
      </c>
      <c r="O28" s="42">
        <f>IF(事業類型="革新的サービス（コンパクト型）",0,MIN(M28,M40))</f>
        <v>1332800</v>
      </c>
      <c r="P28" s="42">
        <f>IF(O28=0,0,MIN(O28,M40))</f>
        <v>1332800</v>
      </c>
      <c r="Q28" s="43">
        <f aca="true" t="shared" si="1" ref="Q28:Q37">H10-M28</f>
        <v>0</v>
      </c>
      <c r="R28" s="222" t="str">
        <f>IF(AND(S28&lt;&gt;"×",T28&lt;&gt;"×",U28&lt;&gt;"×",V28&lt;&gt;"×",W28&lt;&gt;"×"),"○","×")</f>
        <v>○</v>
      </c>
      <c r="S28" s="222"/>
      <c r="T28" s="222">
        <f aca="true" t="shared" si="2" ref="T28:T37">IF(AND(E10&gt;=F10,F10&gt;=G10),"","×")</f>
      </c>
      <c r="U28" s="245" t="str">
        <f>AL29</f>
        <v> </v>
      </c>
      <c r="V28" s="245"/>
      <c r="W28" s="245"/>
      <c r="X28" s="482" t="str">
        <f>IF(OR(R28="×",R29="×",R30="×",R31="×",R32="×",R33="×",R34="×",R35="×",R36="×",R37="×",M9="×",M11="×",R13="×",M15="×",R9="×",R11="×",R15="×",R17="×",R19="×"),"×","○")</f>
        <v>○</v>
      </c>
      <c r="Y28" s="325"/>
      <c r="Z28" s="326" t="s">
        <v>631</v>
      </c>
      <c r="AA28" s="327">
        <v>1000000</v>
      </c>
      <c r="AB28" s="223">
        <f>$H$20</f>
        <v>4953094</v>
      </c>
      <c r="AC28" s="328" t="str">
        <f>IF(AB28-AA28&gt;=0,"○","×")</f>
        <v>○</v>
      </c>
      <c r="AD28" s="223">
        <v>1000000</v>
      </c>
      <c r="AE28" s="223">
        <f>$H$20</f>
        <v>4953094</v>
      </c>
      <c r="AF28" s="328" t="str">
        <f>IF(AE28-AD28&gt;=0,"○","×")</f>
        <v>○</v>
      </c>
      <c r="AG28" s="223">
        <v>1000000</v>
      </c>
      <c r="AH28" s="223">
        <f>$H$20</f>
        <v>4953094</v>
      </c>
      <c r="AI28" s="329" t="str">
        <f>IF(AH28-AG28&gt;=0,"○","×")</f>
        <v>○</v>
      </c>
      <c r="AJ28" s="321">
        <f>IF('基本情報入力（使い方）'!$C$22=1,AA28,IF(OR('基本情報入力（使い方）'!$C$22=2,'基本情報入力（使い方）'!$C$22=3),AD28,AG28))</f>
        <v>1000000</v>
      </c>
      <c r="AK28" s="322">
        <f>IF('基本情報入力（使い方）'!$C$22=1,AB28,IF(OR('基本情報入力（使い方）'!$C$22=2,'基本情報入力（使い方）'!$C$22=3),AE28,AH28))</f>
        <v>4953094</v>
      </c>
      <c r="AL28" s="323" t="str">
        <f>IF('基本情報入力（使い方）'!$C$22=1,AC28,IF(OR('基本情報入力（使い方）'!$C$22=2,'基本情報入力（使い方）'!$C$22=3),AF28,AI28))</f>
        <v>○</v>
      </c>
    </row>
    <row r="29" spans="11:38" ht="30" customHeight="1">
      <c r="K29" s="324"/>
      <c r="L29" s="281" t="s">
        <v>555</v>
      </c>
      <c r="M29" s="179">
        <f>'機械装置費（50万円未満）'!Q33</f>
        <v>1599996</v>
      </c>
      <c r="N29" s="122">
        <f>IF($O$29&gt;0,1,"")</f>
        <v>1</v>
      </c>
      <c r="O29" s="45">
        <f>IF(AND(事業類型="革新的サービス（コンパクト型）",M29&gt;=500000*2/3),499999,MIN(M29,M40))</f>
        <v>1599996</v>
      </c>
      <c r="P29" s="45">
        <f>IF(O29=0,0,MIN(O29,(M40-O28)))</f>
        <v>1599996</v>
      </c>
      <c r="Q29" s="46">
        <f t="shared" si="1"/>
        <v>0</v>
      </c>
      <c r="R29" s="224" t="str">
        <f aca="true" t="shared" si="3" ref="R29:R37">IF(AND(S29&lt;&gt;"×",T29&lt;&gt;"×",U29&lt;&gt;"×",V29&lt;&gt;"×",W29&lt;&gt;"×"),"○","×")</f>
        <v>○</v>
      </c>
      <c r="S29" s="224"/>
      <c r="T29" s="224">
        <f t="shared" si="2"/>
      </c>
      <c r="U29" s="246"/>
      <c r="V29" s="246"/>
      <c r="W29" s="246"/>
      <c r="X29" s="482"/>
      <c r="Y29" s="325"/>
      <c r="Z29" s="330" t="s">
        <v>42</v>
      </c>
      <c r="AA29" s="331" t="s">
        <v>647</v>
      </c>
      <c r="AB29" s="332">
        <f>$G$10</f>
        <v>1999200</v>
      </c>
      <c r="AC29" s="328" t="str">
        <f>IF(AB29&gt;=500000,"○","×")</f>
        <v>○</v>
      </c>
      <c r="AD29" s="333" t="s">
        <v>624</v>
      </c>
      <c r="AE29" s="334" t="s">
        <v>664</v>
      </c>
      <c r="AF29" s="334" t="s">
        <v>664</v>
      </c>
      <c r="AG29" s="335" t="s">
        <v>530</v>
      </c>
      <c r="AH29" s="332">
        <f>$G$10</f>
        <v>1999200</v>
      </c>
      <c r="AI29" s="329" t="str">
        <f>IF(AH29&gt;=500000,"○","×")</f>
        <v>○</v>
      </c>
      <c r="AJ29" s="321" t="str">
        <f>IF('基本情報入力（使い方）'!$C$22=1,AA29,IF(OR('基本情報入力（使い方）'!$C$22=2,'基本情報入力（使い方）'!$C$22=3),AD29,AG29))</f>
        <v>判定対象外</v>
      </c>
      <c r="AK29" s="322" t="str">
        <f>IF('基本情報入力（使い方）'!$C$22=1,AB29,IF(OR('基本情報入力（使い方）'!$C$22=2,'基本情報入力（使い方）'!$C$22=3),AE29,AH29))</f>
        <v> </v>
      </c>
      <c r="AL29" s="323" t="str">
        <f>IF('基本情報入力（使い方）'!$C$22=1,AC29,IF(OR('基本情報入力（使い方）'!$C$22=2,'基本情報入力（使い方）'!$C$22=3),AF29,AI29))</f>
        <v> </v>
      </c>
    </row>
    <row r="30" spans="11:38" ht="30" customHeight="1">
      <c r="K30" s="324"/>
      <c r="L30" s="281" t="s">
        <v>641</v>
      </c>
      <c r="M30" s="44">
        <f aca="true" t="shared" si="4" ref="M30:M37">IF(G12="",0,ROUNDDOWN(G12*2/3,0))</f>
        <v>176966</v>
      </c>
      <c r="N30" s="122">
        <f aca="true" t="shared" si="5" ref="N30:N37">IF(M30=0,"",IF(SUM($M$28:$M$29)&gt;0,RANK(O30,$O$30:$O$37)+1,RANK(O30,$O$30:$O$37)))</f>
        <v>5</v>
      </c>
      <c r="O30" s="45">
        <f aca="true" t="shared" si="6" ref="O30:O37">IF(SUM($O$28:$O$29)-$M$40&gt;=0,0,ROUNDDOWN(M30/$M$39*$M$43,0))</f>
        <v>176966</v>
      </c>
      <c r="P30" s="45">
        <f aca="true" t="shared" si="7" ref="P30:P37">IF($O$39-O30=0,O30+$O$43,O30)</f>
        <v>176966</v>
      </c>
      <c r="Q30" s="46">
        <f t="shared" si="1"/>
        <v>0</v>
      </c>
      <c r="R30" s="224" t="str">
        <f t="shared" si="3"/>
        <v>○</v>
      </c>
      <c r="S30" s="224"/>
      <c r="T30" s="224">
        <f t="shared" si="2"/>
      </c>
      <c r="U30" s="246"/>
      <c r="V30" s="246" t="str">
        <f>AL30</f>
        <v> </v>
      </c>
      <c r="W30" s="246" t="str">
        <f>IF(OR(G12=0,G12=""),"○",$AL$35)</f>
        <v>○</v>
      </c>
      <c r="X30" s="482"/>
      <c r="Y30" s="325"/>
      <c r="Z30" s="330" t="s">
        <v>43</v>
      </c>
      <c r="AA30" s="331" t="s">
        <v>531</v>
      </c>
      <c r="AB30" s="332">
        <f>$H$20-SUM($H$10:$H$11)</f>
        <v>2020298</v>
      </c>
      <c r="AC30" s="328" t="str">
        <f>IF(AB30&lt;=5000000,"○","×")</f>
        <v>○</v>
      </c>
      <c r="AD30" s="333" t="s">
        <v>624</v>
      </c>
      <c r="AE30" s="334" t="s">
        <v>664</v>
      </c>
      <c r="AF30" s="334" t="s">
        <v>664</v>
      </c>
      <c r="AG30" s="335" t="s">
        <v>531</v>
      </c>
      <c r="AH30" s="332">
        <f>$H$20-SUM($H$10:$H$11)</f>
        <v>2020298</v>
      </c>
      <c r="AI30" s="329" t="str">
        <f>IF(AH30&lt;=5000000,"○","×")</f>
        <v>○</v>
      </c>
      <c r="AJ30" s="321" t="str">
        <f>IF('基本情報入力（使い方）'!$C$22=1,AA30,IF(OR('基本情報入力（使い方）'!$C$22=2,'基本情報入力（使い方）'!$C$22=3),AD30,AG30))</f>
        <v>判定対象外</v>
      </c>
      <c r="AK30" s="322" t="str">
        <f>IF('基本情報入力（使い方）'!$C$22=1,AB30,IF(OR('基本情報入力（使い方）'!$C$22=2,'基本情報入力（使い方）'!$C$22=3),AE30,AH30))</f>
        <v> </v>
      </c>
      <c r="AL30" s="323" t="str">
        <f>IF('基本情報入力（使い方）'!$C$22=1,AC30,IF(OR('基本情報入力（使い方）'!$C$22=2,'基本情報入力（使い方）'!$C$22=3),AF30,AI30))</f>
        <v> </v>
      </c>
    </row>
    <row r="31" spans="11:38" ht="30" customHeight="1">
      <c r="K31" s="324"/>
      <c r="L31" s="281" t="s">
        <v>27</v>
      </c>
      <c r="M31" s="44">
        <f t="shared" si="4"/>
        <v>0</v>
      </c>
      <c r="N31" s="122">
        <f t="shared" si="5"/>
      </c>
      <c r="O31" s="45">
        <f t="shared" si="6"/>
        <v>0</v>
      </c>
      <c r="P31" s="45">
        <f t="shared" si="7"/>
        <v>0</v>
      </c>
      <c r="Q31" s="46">
        <f t="shared" si="1"/>
        <v>0</v>
      </c>
      <c r="R31" s="224" t="str">
        <f t="shared" si="3"/>
        <v>○</v>
      </c>
      <c r="S31" s="250"/>
      <c r="T31" s="224">
        <f t="shared" si="2"/>
      </c>
      <c r="U31" s="246"/>
      <c r="V31" s="246" t="str">
        <f>AL30</f>
        <v> </v>
      </c>
      <c r="W31" s="246"/>
      <c r="X31" s="482"/>
      <c r="Y31" s="325"/>
      <c r="Z31" s="336" t="s">
        <v>29</v>
      </c>
      <c r="AA31" s="337" t="s">
        <v>624</v>
      </c>
      <c r="AB31" s="334" t="s">
        <v>664</v>
      </c>
      <c r="AC31" s="334" t="s">
        <v>664</v>
      </c>
      <c r="AD31" s="335" t="s">
        <v>651</v>
      </c>
      <c r="AE31" s="332">
        <f>$G$14</f>
        <v>0</v>
      </c>
      <c r="AF31" s="328" t="str">
        <f>IF('基本情報入力（使い方）'!C22=2,IF($G$20/2-$G$14&gt;=0,"○","×"),IF(AE31=0,"○","×"))</f>
        <v>○</v>
      </c>
      <c r="AG31" s="333" t="s">
        <v>624</v>
      </c>
      <c r="AH31" s="334" t="s">
        <v>664</v>
      </c>
      <c r="AI31" s="338" t="s">
        <v>664</v>
      </c>
      <c r="AJ31" s="321" t="str">
        <f>IF('基本情報入力（使い方）'!$C$22=1,AA31,IF(OR('基本情報入力（使い方）'!$C$22=2,'基本情報入力（使い方）'!$C$22=3),AD31,AG31))</f>
        <v>外注加工費は補助対象経費の1/2を超えていないか※１</v>
      </c>
      <c r="AK31" s="322">
        <f>IF('基本情報入力（使い方）'!$C$22=1,AB31,IF(OR('基本情報入力（使い方）'!$C$22=2,'基本情報入力（使い方）'!$C$22=3),AE31,AH31))</f>
        <v>0</v>
      </c>
      <c r="AL31" s="323" t="str">
        <f>IF('基本情報入力（使い方）'!$C$22=1,AC31,IF(OR('基本情報入力（使い方）'!$C$22=2,'基本情報入力（使い方）'!$C$22=3),AF31,AI31))</f>
        <v>○</v>
      </c>
    </row>
    <row r="32" spans="11:38" ht="30" customHeight="1">
      <c r="K32" s="324"/>
      <c r="L32" s="281" t="s">
        <v>642</v>
      </c>
      <c r="M32" s="44">
        <f t="shared" si="4"/>
        <v>0</v>
      </c>
      <c r="N32" s="122">
        <f t="shared" si="5"/>
      </c>
      <c r="O32" s="45">
        <f t="shared" si="6"/>
        <v>0</v>
      </c>
      <c r="P32" s="45">
        <f t="shared" si="7"/>
        <v>0</v>
      </c>
      <c r="Q32" s="46">
        <f t="shared" si="1"/>
        <v>0</v>
      </c>
      <c r="R32" s="224" t="str">
        <f t="shared" si="3"/>
        <v>○</v>
      </c>
      <c r="S32" s="251" t="str">
        <f>IF(OR(AK31=0,AK31=""),"○",AL33)</f>
        <v>○</v>
      </c>
      <c r="T32" s="224">
        <f t="shared" si="2"/>
      </c>
      <c r="U32" s="246"/>
      <c r="V32" s="246" t="str">
        <f>AL30</f>
        <v> </v>
      </c>
      <c r="W32" s="246" t="str">
        <f>IF(OR(G14=0,G14=""),"○",$AL$35)</f>
        <v>○</v>
      </c>
      <c r="X32" s="482"/>
      <c r="Y32" s="325"/>
      <c r="Z32" s="336" t="s">
        <v>623</v>
      </c>
      <c r="AA32" s="337" t="s">
        <v>624</v>
      </c>
      <c r="AB32" s="334" t="s">
        <v>664</v>
      </c>
      <c r="AC32" s="334" t="s">
        <v>664</v>
      </c>
      <c r="AD32" s="335" t="s">
        <v>652</v>
      </c>
      <c r="AE32" s="332">
        <f>$G$15</f>
        <v>1080000</v>
      </c>
      <c r="AF32" s="328" t="str">
        <f>IF('基本情報入力（使い方）'!C22=2,IF($G$20/2-$G$15&gt;=0,"○","×"),IF(AE32=0,"○","×"))</f>
        <v>○</v>
      </c>
      <c r="AG32" s="333" t="s">
        <v>624</v>
      </c>
      <c r="AH32" s="334" t="s">
        <v>664</v>
      </c>
      <c r="AI32" s="338" t="s">
        <v>664</v>
      </c>
      <c r="AJ32" s="339" t="str">
        <f>IF('基本情報入力（使い方）'!$C$22=1,AA32,IF(OR('基本情報入力（使い方）'!$C$22=2,'基本情報入力（使い方）'!$C$22=3),AD32,AG32))</f>
        <v>委託費は補助対象経費の1/2を超えていないか※１</v>
      </c>
      <c r="AK32" s="322">
        <f>IF('基本情報入力（使い方）'!$C$22=1,AB32,IF(OR('基本情報入力（使い方）'!$C$22=2,'基本情報入力（使い方）'!$C$22=3),AE32,AH32))</f>
        <v>1080000</v>
      </c>
      <c r="AL32" s="323" t="str">
        <f>IF('基本情報入力（使い方）'!$C$22=1,AC32,IF(OR('基本情報入力（使い方）'!$C$22=2,'基本情報入力（使い方）'!$C$22=3),AF32,AI32))</f>
        <v>○</v>
      </c>
    </row>
    <row r="33" spans="11:38" ht="30" customHeight="1">
      <c r="K33" s="324"/>
      <c r="L33" s="281" t="s">
        <v>643</v>
      </c>
      <c r="M33" s="44">
        <f t="shared" si="4"/>
        <v>720000</v>
      </c>
      <c r="N33" s="122">
        <f t="shared" si="5"/>
        <v>2</v>
      </c>
      <c r="O33" s="45">
        <f t="shared" si="6"/>
        <v>720000</v>
      </c>
      <c r="P33" s="45">
        <f t="shared" si="7"/>
        <v>720000</v>
      </c>
      <c r="Q33" s="46">
        <f t="shared" si="1"/>
        <v>0</v>
      </c>
      <c r="R33" s="224" t="str">
        <f t="shared" si="3"/>
        <v>○</v>
      </c>
      <c r="S33" s="251" t="str">
        <f>IF(OR(AK32=0,AK32=""),"○",AL33)</f>
        <v>○</v>
      </c>
      <c r="T33" s="224">
        <f t="shared" si="2"/>
      </c>
      <c r="U33" s="246"/>
      <c r="V33" s="246" t="str">
        <f>AL30</f>
        <v> </v>
      </c>
      <c r="W33" s="246" t="str">
        <f>IF(OR(G15=0,G15=""),"○",$AL$35)</f>
        <v>○</v>
      </c>
      <c r="X33" s="482"/>
      <c r="Y33" s="325"/>
      <c r="Z33" s="336" t="s">
        <v>44</v>
      </c>
      <c r="AA33" s="337" t="s">
        <v>624</v>
      </c>
      <c r="AB33" s="334" t="s">
        <v>664</v>
      </c>
      <c r="AC33" s="334" t="s">
        <v>664</v>
      </c>
      <c r="AD33" s="335" t="s">
        <v>653</v>
      </c>
      <c r="AE33" s="332">
        <f>$G$14+$G$15</f>
        <v>1080000</v>
      </c>
      <c r="AF33" s="328" t="str">
        <f>IF('基本情報入力（使い方）'!C22=2,IF($G$20/2-($G$14+$G$15)&gt;=0,"○","×"),IF(AE33=0,"○","×"))</f>
        <v>○</v>
      </c>
      <c r="AG33" s="333" t="s">
        <v>624</v>
      </c>
      <c r="AH33" s="334" t="s">
        <v>664</v>
      </c>
      <c r="AI33" s="338" t="s">
        <v>664</v>
      </c>
      <c r="AJ33" s="339" t="str">
        <f>IF('基本情報入力（使い方）'!$C$22=1,AA33,IF(OR('基本情報入力（使い方）'!$C$22=2,'基本情報入力（使い方）'!$C$22=3),AD33,AG33))</f>
        <v>上記の合計額が補助対象経費の1/2を超えていないか。※１</v>
      </c>
      <c r="AK33" s="322">
        <f>IF('基本情報入力（使い方）'!$C$22=1,AB33,IF(OR('基本情報入力（使い方）'!$C$22=2,'基本情報入力（使い方）'!$C$22=3),AE33,AH33))</f>
        <v>1080000</v>
      </c>
      <c r="AL33" s="323" t="str">
        <f>IF('基本情報入力（使い方）'!$C$22=1,AC33,IF(OR('基本情報入力（使い方）'!$C$22=2,'基本情報入力（使い方）'!$C$22=3),AF33,AI33))</f>
        <v>○</v>
      </c>
    </row>
    <row r="34" spans="11:38" ht="30" customHeight="1">
      <c r="K34" s="324"/>
      <c r="L34" s="281" t="s">
        <v>644</v>
      </c>
      <c r="M34" s="44">
        <f t="shared" si="4"/>
        <v>366666</v>
      </c>
      <c r="N34" s="122">
        <f t="shared" si="5"/>
        <v>4</v>
      </c>
      <c r="O34" s="45">
        <f t="shared" si="6"/>
        <v>366666</v>
      </c>
      <c r="P34" s="45">
        <f t="shared" si="7"/>
        <v>366666</v>
      </c>
      <c r="Q34" s="46">
        <f t="shared" si="1"/>
        <v>0</v>
      </c>
      <c r="R34" s="224" t="str">
        <f t="shared" si="3"/>
        <v>○</v>
      </c>
      <c r="S34" s="251" t="str">
        <f>AL34</f>
        <v>○</v>
      </c>
      <c r="T34" s="224">
        <f t="shared" si="2"/>
      </c>
      <c r="U34" s="246"/>
      <c r="V34" s="246" t="str">
        <f>AL30</f>
        <v> </v>
      </c>
      <c r="W34" s="246" t="str">
        <f>IF(OR(G16=0,G16=""),"○",$AL$35)</f>
        <v>○</v>
      </c>
      <c r="X34" s="482"/>
      <c r="Y34" s="325"/>
      <c r="Z34" s="336" t="s">
        <v>650</v>
      </c>
      <c r="AA34" s="337" t="s">
        <v>624</v>
      </c>
      <c r="AB34" s="334" t="s">
        <v>664</v>
      </c>
      <c r="AC34" s="334" t="s">
        <v>664</v>
      </c>
      <c r="AD34" s="335" t="s">
        <v>654</v>
      </c>
      <c r="AE34" s="332">
        <f>$G$16</f>
        <v>550000</v>
      </c>
      <c r="AF34" s="328" t="str">
        <f>IF($G$20/3-$G$16&gt;=0,"○","×")</f>
        <v>○</v>
      </c>
      <c r="AG34" s="333" t="s">
        <v>624</v>
      </c>
      <c r="AH34" s="334" t="s">
        <v>664</v>
      </c>
      <c r="AI34" s="338" t="s">
        <v>664</v>
      </c>
      <c r="AJ34" s="339" t="str">
        <f>IF('基本情報入力（使い方）'!$C$22=1,AA34,IF(OR('基本情報入力（使い方）'!$C$22=2,'基本情報入力（使い方）'!$C$22=3),AD34,AG34))</f>
        <v>知的財産権関連経費が補助対象経費の1/3を超えていないか</v>
      </c>
      <c r="AK34" s="322">
        <f>IF('基本情報入力（使い方）'!$C$22=1,AB34,IF(OR('基本情報入力（使い方）'!$C$22=2,'基本情報入力（使い方）'!$C$22=3),AE34,AH34))</f>
        <v>550000</v>
      </c>
      <c r="AL34" s="323" t="str">
        <f>IF('基本情報入力（使い方）'!$C$22=1,AC34,IF(OR('基本情報入力（使い方）'!$C$22=2,'基本情報入力（使い方）'!$C$22=3),AF34,AI34))</f>
        <v>○</v>
      </c>
    </row>
    <row r="35" spans="11:38" ht="30" customHeight="1">
      <c r="K35" s="340"/>
      <c r="L35" s="281" t="s">
        <v>30</v>
      </c>
      <c r="M35" s="44">
        <f t="shared" si="4"/>
        <v>590000</v>
      </c>
      <c r="N35" s="122">
        <f t="shared" si="5"/>
        <v>3</v>
      </c>
      <c r="O35" s="45">
        <f t="shared" si="6"/>
        <v>590000</v>
      </c>
      <c r="P35" s="45">
        <f t="shared" si="7"/>
        <v>590000</v>
      </c>
      <c r="Q35" s="46">
        <f t="shared" si="1"/>
        <v>0</v>
      </c>
      <c r="R35" s="224" t="str">
        <f t="shared" si="3"/>
        <v>○</v>
      </c>
      <c r="S35" s="224"/>
      <c r="T35" s="224">
        <f t="shared" si="2"/>
      </c>
      <c r="U35" s="246"/>
      <c r="V35" s="246" t="str">
        <f>AL30</f>
        <v> </v>
      </c>
      <c r="W35" s="246"/>
      <c r="X35" s="482"/>
      <c r="Y35" s="325"/>
      <c r="Z35" s="336" t="s">
        <v>649</v>
      </c>
      <c r="AA35" s="331" t="s">
        <v>655</v>
      </c>
      <c r="AB35" s="332">
        <f>SUM(G12,G14,G15,G16,G19)</f>
        <v>2145450</v>
      </c>
      <c r="AC35" s="328" t="str">
        <f>IF(AB35=0,"○","×")</f>
        <v>×</v>
      </c>
      <c r="AD35" s="335" t="s">
        <v>658</v>
      </c>
      <c r="AE35" s="332">
        <f>SUM(G12,G14,G15,G16,G19)</f>
        <v>2145450</v>
      </c>
      <c r="AF35" s="328" t="str">
        <f>IF('基本情報入力（使い方）'!C22=2,"○",IF(AE35=0,"○","×"))</f>
        <v>○</v>
      </c>
      <c r="AG35" s="335" t="s">
        <v>655</v>
      </c>
      <c r="AH35" s="332">
        <f>SUM(G12,G14,G15,G16,G19)</f>
        <v>2145450</v>
      </c>
      <c r="AI35" s="341" t="str">
        <f>IF(AH35=0,"○","×")</f>
        <v>×</v>
      </c>
      <c r="AJ35" s="339" t="str">
        <f>IF('基本情報入力（使い方）'!$C$22=1,AA35,IF(OR('基本情報入力（使い方）'!$C$22=2,'基本情報入力（使い方）'!$C$22=3),AD35,AG35))</f>
        <v>事業対象外の経費を使用していないか※２</v>
      </c>
      <c r="AK35" s="322">
        <f>IF('基本情報入力（使い方）'!$C$22=1,AB35,IF(OR('基本情報入力（使い方）'!$C$22=2,'基本情報入力（使い方）'!$C$22=3),AE35,AH35))</f>
        <v>2145450</v>
      </c>
      <c r="AL35" s="323" t="str">
        <f>IF('基本情報入力（使い方）'!$C$22=1,AC35,IF(OR('基本情報入力（使い方）'!$C$22=2,'基本情報入力（使い方）'!$C$22=3),AF35,AI35))</f>
        <v>○</v>
      </c>
    </row>
    <row r="36" spans="11:38" ht="30" customHeight="1">
      <c r="K36" s="324"/>
      <c r="L36" s="281" t="s">
        <v>556</v>
      </c>
      <c r="M36" s="44">
        <f t="shared" si="4"/>
        <v>0</v>
      </c>
      <c r="N36" s="122">
        <f t="shared" si="5"/>
      </c>
      <c r="O36" s="45">
        <f t="shared" si="6"/>
        <v>0</v>
      </c>
      <c r="P36" s="45">
        <f t="shared" si="7"/>
        <v>0</v>
      </c>
      <c r="Q36" s="48">
        <f t="shared" si="1"/>
        <v>0</v>
      </c>
      <c r="R36" s="224" t="str">
        <f t="shared" si="3"/>
        <v>○</v>
      </c>
      <c r="S36" s="224"/>
      <c r="T36" s="224">
        <f t="shared" si="2"/>
      </c>
      <c r="U36" s="246"/>
      <c r="V36" s="246" t="str">
        <f>AL30</f>
        <v> </v>
      </c>
      <c r="W36" s="246"/>
      <c r="X36" s="482"/>
      <c r="Y36" s="325"/>
      <c r="Z36" s="259"/>
      <c r="AA36" s="259"/>
      <c r="AB36" s="259"/>
      <c r="AC36" s="259"/>
      <c r="AD36" s="259" t="s">
        <v>657</v>
      </c>
      <c r="AE36" s="259"/>
      <c r="AF36" s="259"/>
      <c r="AG36" s="259"/>
      <c r="AH36" s="259"/>
      <c r="AI36" s="259"/>
      <c r="AJ36" s="259"/>
      <c r="AK36" s="259"/>
      <c r="AL36" s="259"/>
    </row>
    <row r="37" spans="11:38" ht="30" customHeight="1">
      <c r="K37" s="324"/>
      <c r="L37" s="294" t="s">
        <v>645</v>
      </c>
      <c r="M37" s="49">
        <f t="shared" si="4"/>
        <v>166666</v>
      </c>
      <c r="N37" s="216">
        <f t="shared" si="5"/>
        <v>6</v>
      </c>
      <c r="O37" s="50">
        <f t="shared" si="6"/>
        <v>166666</v>
      </c>
      <c r="P37" s="50">
        <f t="shared" si="7"/>
        <v>166666</v>
      </c>
      <c r="Q37" s="123">
        <f t="shared" si="1"/>
        <v>0</v>
      </c>
      <c r="R37" s="225" t="str">
        <f t="shared" si="3"/>
        <v>○</v>
      </c>
      <c r="S37" s="225"/>
      <c r="T37" s="225">
        <f t="shared" si="2"/>
      </c>
      <c r="U37" s="247"/>
      <c r="V37" s="247" t="str">
        <f>AL30</f>
        <v> </v>
      </c>
      <c r="W37" s="247" t="str">
        <f>IF(OR(G19=0,G19=""),"○",$AL$35)</f>
        <v>○</v>
      </c>
      <c r="X37" s="482"/>
      <c r="Y37" s="325"/>
      <c r="Z37" s="259"/>
      <c r="AA37" s="259"/>
      <c r="AB37" s="259"/>
      <c r="AC37" s="259"/>
      <c r="AD37" s="259" t="s">
        <v>659</v>
      </c>
      <c r="AE37" s="259"/>
      <c r="AF37" s="259"/>
      <c r="AG37" s="259"/>
      <c r="AH37" s="259"/>
      <c r="AI37" s="259"/>
      <c r="AJ37" s="259"/>
      <c r="AK37" s="259"/>
      <c r="AL37" s="259"/>
    </row>
    <row r="38" spans="11:38" ht="30" customHeight="1">
      <c r="K38" s="324"/>
      <c r="L38" s="342" t="s">
        <v>26</v>
      </c>
      <c r="M38" s="47">
        <f>SUM(M28:M37)</f>
        <v>4953094</v>
      </c>
      <c r="N38" s="343"/>
      <c r="O38" s="51">
        <f>SUM(O28:O37)</f>
        <v>4953094</v>
      </c>
      <c r="P38" s="47">
        <f>SUM(P28:P37)</f>
        <v>4953094</v>
      </c>
      <c r="Q38" s="344"/>
      <c r="R38" s="345" t="s">
        <v>540</v>
      </c>
      <c r="S38" s="226"/>
      <c r="T38" s="227"/>
      <c r="U38" s="227"/>
      <c r="V38" s="228"/>
      <c r="X38" s="267"/>
      <c r="Y38" s="267"/>
      <c r="Z38" s="259"/>
      <c r="AA38" s="259"/>
      <c r="AB38" s="259"/>
      <c r="AC38" s="259"/>
      <c r="AD38" s="259"/>
      <c r="AE38" s="259"/>
      <c r="AF38" s="259"/>
      <c r="AG38" s="259"/>
      <c r="AH38" s="259"/>
      <c r="AI38" s="259"/>
      <c r="AJ38" s="259"/>
      <c r="AK38" s="259"/>
      <c r="AL38" s="259"/>
    </row>
    <row r="39" spans="11:39" ht="30" customHeight="1">
      <c r="K39" s="302"/>
      <c r="L39" s="347" t="s">
        <v>541</v>
      </c>
      <c r="M39" s="348">
        <f>M38-SUM(M28:M29)</f>
        <v>2020298</v>
      </c>
      <c r="N39" s="347" t="s">
        <v>542</v>
      </c>
      <c r="O39" s="132">
        <f>IF(ISERROR(VLOOKUP(2,$N$28:$O$37,2,FALSE)),0,VLOOKUP(2,$N$28:$O$37,2,FALSE))</f>
        <v>720000</v>
      </c>
      <c r="P39" s="349" t="s">
        <v>678</v>
      </c>
      <c r="Q39" s="266"/>
      <c r="R39" s="350" t="s">
        <v>679</v>
      </c>
      <c r="T39" s="257"/>
      <c r="W39" s="307"/>
      <c r="AA39" s="259"/>
      <c r="AB39" s="259"/>
      <c r="AC39" s="259"/>
      <c r="AD39" s="259"/>
      <c r="AE39" s="259"/>
      <c r="AF39" s="259"/>
      <c r="AG39" s="259"/>
      <c r="AH39" s="259"/>
      <c r="AI39" s="259"/>
      <c r="AJ39" s="259"/>
      <c r="AK39" s="259"/>
      <c r="AL39" s="259"/>
      <c r="AM39" s="259"/>
    </row>
    <row r="40" spans="11:39" ht="30" customHeight="1">
      <c r="K40" s="346"/>
      <c r="L40" s="347" t="s">
        <v>543</v>
      </c>
      <c r="M40" s="348">
        <f>MIN(M38,補助上限額)</f>
        <v>4953094</v>
      </c>
      <c r="N40" s="347" t="s">
        <v>544</v>
      </c>
      <c r="O40" s="132">
        <f>SUMIF(N28:N37,2,O28:O37)</f>
        <v>720000</v>
      </c>
      <c r="P40" s="349" t="s">
        <v>545</v>
      </c>
      <c r="Q40" s="266"/>
      <c r="S40" s="257"/>
      <c r="T40" s="257"/>
      <c r="AA40" s="259"/>
      <c r="AB40" s="259"/>
      <c r="AC40" s="259"/>
      <c r="AD40" s="259"/>
      <c r="AE40" s="259"/>
      <c r="AF40" s="259"/>
      <c r="AG40" s="259"/>
      <c r="AH40" s="259"/>
      <c r="AI40" s="259"/>
      <c r="AJ40" s="259"/>
      <c r="AK40" s="259"/>
      <c r="AL40" s="259"/>
      <c r="AM40" s="259"/>
    </row>
    <row r="41" spans="11:38" ht="30" customHeight="1">
      <c r="K41" s="346"/>
      <c r="L41" s="347" t="s">
        <v>565</v>
      </c>
      <c r="M41" s="348">
        <f>MAX(M40-SUM(M28:M29),0)</f>
        <v>2020298</v>
      </c>
      <c r="N41" s="347" t="s">
        <v>603</v>
      </c>
      <c r="O41" s="54">
        <f>MIN(M42-(O38-SUM(O28:O29)),M40-O38)</f>
        <v>0</v>
      </c>
      <c r="P41" s="352"/>
      <c r="Q41" s="266"/>
      <c r="S41" s="257"/>
      <c r="T41" s="257"/>
      <c r="Y41" s="259"/>
      <c r="Z41" s="259"/>
      <c r="AA41" s="259"/>
      <c r="AB41" s="259"/>
      <c r="AC41" s="259"/>
      <c r="AD41" s="259"/>
      <c r="AE41" s="259"/>
      <c r="AF41" s="259"/>
      <c r="AG41" s="259"/>
      <c r="AH41" s="259"/>
      <c r="AI41" s="259"/>
      <c r="AJ41" s="259"/>
      <c r="AK41" s="259"/>
      <c r="AL41" s="259"/>
    </row>
    <row r="42" spans="11:30" ht="30" customHeight="1">
      <c r="K42" s="346"/>
      <c r="L42" s="347" t="s">
        <v>566</v>
      </c>
      <c r="M42" s="348">
        <f>IF(VLOOKUP('基本情報入力（使い方）'!C22,'設定'!E:H,2)&lt;&gt;"小規模型",5000000,M40)</f>
        <v>4953094</v>
      </c>
      <c r="N42" s="347" t="s">
        <v>604</v>
      </c>
      <c r="O42" s="55">
        <f>IF(O39=0,0,O40/O39)</f>
        <v>1</v>
      </c>
      <c r="P42" s="353"/>
      <c r="Q42" s="354"/>
      <c r="S42" s="257"/>
      <c r="T42" s="257"/>
      <c r="Y42" s="259"/>
      <c r="Z42" s="259"/>
      <c r="AA42" s="259"/>
      <c r="AB42" s="259"/>
      <c r="AC42" s="259"/>
      <c r="AD42" s="259"/>
    </row>
    <row r="43" spans="11:38" ht="30" customHeight="1">
      <c r="K43" s="346"/>
      <c r="L43" s="356" t="s">
        <v>546</v>
      </c>
      <c r="M43" s="348">
        <f>IF(SUM(M28:M29)=0,M42,MIN(M40,M41,M42))</f>
        <v>2020298</v>
      </c>
      <c r="N43" s="357" t="s">
        <v>39</v>
      </c>
      <c r="O43" s="54">
        <f>IF(O42=0,0,ROUNDDOWN(O41/O42,0))</f>
        <v>0</v>
      </c>
      <c r="P43" s="353"/>
      <c r="Q43" s="354"/>
      <c r="S43" s="257"/>
      <c r="T43" s="257"/>
      <c r="AE43" s="267"/>
      <c r="AF43" s="267"/>
      <c r="AG43" s="267"/>
      <c r="AH43" s="267"/>
      <c r="AI43" s="267"/>
      <c r="AJ43" s="267"/>
      <c r="AK43" s="267"/>
      <c r="AL43" s="267"/>
    </row>
    <row r="44" spans="11:37" ht="30" customHeight="1">
      <c r="K44" s="355"/>
      <c r="L44" s="301" t="s">
        <v>646</v>
      </c>
      <c r="S44" s="257"/>
      <c r="T44" s="257"/>
      <c r="Y44" s="267"/>
      <c r="Z44" s="267"/>
      <c r="AA44" s="267"/>
      <c r="AB44" s="267"/>
      <c r="AC44" s="267"/>
      <c r="AD44" s="267"/>
      <c r="AE44" s="267"/>
      <c r="AF44" s="267"/>
      <c r="AG44" s="267"/>
      <c r="AH44" s="267"/>
      <c r="AI44" s="267"/>
      <c r="AJ44" s="267"/>
      <c r="AK44" s="267"/>
    </row>
    <row r="45" spans="12:20" ht="30" customHeight="1">
      <c r="L45" s="249"/>
      <c r="S45" s="257"/>
      <c r="T45" s="257"/>
    </row>
    <row r="46" spans="12:20" ht="30" customHeight="1" thickBot="1">
      <c r="L46" s="229" t="s">
        <v>533</v>
      </c>
      <c r="M46" s="230"/>
      <c r="N46" s="230"/>
      <c r="O46" s="358"/>
      <c r="P46" s="359"/>
      <c r="S46" s="257"/>
      <c r="T46" s="257"/>
    </row>
    <row r="47" spans="12:20" ht="30" customHeight="1" thickTop="1">
      <c r="L47" s="236" t="s">
        <v>535</v>
      </c>
      <c r="M47" s="498" t="s">
        <v>51</v>
      </c>
      <c r="N47" s="499"/>
      <c r="O47" s="500"/>
      <c r="P47" s="359"/>
      <c r="S47" s="257"/>
      <c r="T47" s="257"/>
    </row>
    <row r="48" spans="12:20" ht="30" customHeight="1">
      <c r="L48" s="237" t="s">
        <v>536</v>
      </c>
      <c r="M48" s="505">
        <v>0.08</v>
      </c>
      <c r="N48" s="506"/>
      <c r="O48" s="507"/>
      <c r="P48" s="359"/>
      <c r="S48" s="257"/>
      <c r="T48" s="257"/>
    </row>
    <row r="49" spans="12:20" ht="30" customHeight="1">
      <c r="L49" s="238" t="s">
        <v>537</v>
      </c>
      <c r="M49" s="495" t="str">
        <f>VLOOKUP('基本情報入力（使い方）'!C16,'設定'!B:C,2)</f>
        <v>革新的サービス</v>
      </c>
      <c r="N49" s="496"/>
      <c r="O49" s="497"/>
      <c r="P49" s="359"/>
      <c r="S49" s="257"/>
      <c r="T49" s="257"/>
    </row>
    <row r="50" spans="12:20" ht="30" customHeight="1">
      <c r="L50" s="238"/>
      <c r="M50" s="495" t="str">
        <f>VLOOKUP('基本情報入力（使い方）'!C22,'設定'!E:H,2)&amp;VLOOKUP('基本情報入力（使い方）'!C22,'設定'!E:H,3)</f>
        <v>小規模型（試作開発等）</v>
      </c>
      <c r="N50" s="496"/>
      <c r="O50" s="497"/>
      <c r="P50" s="359"/>
      <c r="S50" s="257"/>
      <c r="T50" s="257"/>
    </row>
    <row r="51" spans="12:20" ht="30" customHeight="1">
      <c r="L51" s="238" t="s">
        <v>538</v>
      </c>
      <c r="M51" s="503">
        <f>D20</f>
        <v>5000000</v>
      </c>
      <c r="N51" s="504"/>
      <c r="O51" s="392" t="s">
        <v>680</v>
      </c>
      <c r="P51" s="358"/>
      <c r="Q51" s="231"/>
      <c r="S51" s="257"/>
      <c r="T51" s="257"/>
    </row>
    <row r="52" spans="12:20" ht="30" customHeight="1" thickBot="1">
      <c r="L52" s="239" t="s">
        <v>631</v>
      </c>
      <c r="M52" s="501">
        <f>VLOOKUP('基本情報入力（使い方）'!C22,'設定'!E:I,5)</f>
        <v>1000000</v>
      </c>
      <c r="N52" s="502"/>
      <c r="O52" s="366" t="s">
        <v>680</v>
      </c>
      <c r="S52" s="491"/>
      <c r="T52" s="257"/>
    </row>
    <row r="53" spans="13:20" ht="30" customHeight="1" thickTop="1">
      <c r="M53" s="358"/>
      <c r="N53" s="358"/>
      <c r="O53" s="232"/>
      <c r="S53" s="491"/>
      <c r="T53" s="257"/>
    </row>
    <row r="54" spans="13:20" ht="30" customHeight="1">
      <c r="M54" s="358"/>
      <c r="N54" s="358"/>
      <c r="O54" s="358"/>
      <c r="S54" s="491"/>
      <c r="T54" s="257"/>
    </row>
    <row r="55" spans="19:20" ht="30" customHeight="1">
      <c r="S55" s="491"/>
      <c r="T55" s="257"/>
    </row>
    <row r="56" spans="19:20" ht="30" customHeight="1">
      <c r="S56" s="491"/>
      <c r="T56" s="257"/>
    </row>
    <row r="57" spans="19:20" ht="30" customHeight="1">
      <c r="S57" s="491"/>
      <c r="T57" s="257"/>
    </row>
    <row r="58" spans="19:20" ht="30" customHeight="1">
      <c r="S58" s="491"/>
      <c r="T58" s="253"/>
    </row>
    <row r="59" spans="19:20" ht="30" customHeight="1">
      <c r="S59" s="491"/>
      <c r="T59" s="253"/>
    </row>
    <row r="60" spans="19:46" ht="31.5" customHeight="1">
      <c r="S60" s="491"/>
      <c r="T60" s="253"/>
      <c r="AP60" s="253"/>
      <c r="AQ60" s="253"/>
      <c r="AR60" s="253"/>
      <c r="AS60" s="253"/>
      <c r="AT60" s="253"/>
    </row>
    <row r="61" spans="19:46" ht="38.25" customHeight="1">
      <c r="S61" s="491"/>
      <c r="T61" s="253"/>
      <c r="AP61" s="253"/>
      <c r="AQ61" s="253"/>
      <c r="AR61" s="253"/>
      <c r="AS61" s="253"/>
      <c r="AT61" s="253"/>
    </row>
    <row r="62" spans="19:24" ht="38.25" customHeight="1">
      <c r="S62" s="491"/>
      <c r="T62" s="253"/>
      <c r="U62" s="253"/>
      <c r="V62" s="253"/>
      <c r="W62" s="253"/>
      <c r="X62" s="253"/>
    </row>
    <row r="63" spans="19:24" ht="38.25" customHeight="1">
      <c r="S63" s="491"/>
      <c r="T63" s="253"/>
      <c r="U63" s="253"/>
      <c r="V63" s="253"/>
      <c r="W63" s="253"/>
      <c r="X63" s="253"/>
    </row>
    <row r="64" spans="14:24" ht="38.25" customHeight="1">
      <c r="N64" s="358"/>
      <c r="O64" s="358"/>
      <c r="S64" s="491"/>
      <c r="T64" s="253"/>
      <c r="U64" s="253"/>
      <c r="V64" s="253"/>
      <c r="W64" s="253"/>
      <c r="X64" s="253"/>
    </row>
    <row r="65" spans="14:24" ht="30" customHeight="1">
      <c r="N65" s="358"/>
      <c r="O65" s="358"/>
      <c r="S65" s="491"/>
      <c r="T65" s="253"/>
      <c r="U65" s="253"/>
      <c r="V65" s="253"/>
      <c r="W65" s="253"/>
      <c r="X65" s="253"/>
    </row>
    <row r="66" spans="13:24" ht="30" customHeight="1">
      <c r="M66" s="293"/>
      <c r="N66" s="358"/>
      <c r="O66" s="358"/>
      <c r="S66" s="491"/>
      <c r="T66" s="492"/>
      <c r="U66" s="492"/>
      <c r="V66" s="492"/>
      <c r="W66" s="255"/>
      <c r="X66" s="255"/>
    </row>
    <row r="67" spans="19:24" ht="30" customHeight="1">
      <c r="S67" s="491"/>
      <c r="T67" s="492"/>
      <c r="U67" s="492"/>
      <c r="V67" s="492"/>
      <c r="W67" s="255"/>
      <c r="X67" s="255"/>
    </row>
    <row r="68" spans="19:20" ht="30" customHeight="1">
      <c r="S68" s="257"/>
      <c r="T68" s="257"/>
    </row>
    <row r="69" spans="19:20" ht="20.25" customHeight="1">
      <c r="S69" s="257"/>
      <c r="T69" s="257"/>
    </row>
    <row r="70" spans="19:51" ht="30" customHeight="1">
      <c r="S70" s="257"/>
      <c r="T70" s="257"/>
      <c r="AM70" s="360"/>
      <c r="AN70" s="360"/>
      <c r="AO70" s="234"/>
      <c r="AP70" s="234"/>
      <c r="AQ70" s="234"/>
      <c r="AR70" s="234"/>
      <c r="AS70" s="234"/>
      <c r="AT70" s="234"/>
      <c r="AU70" s="234"/>
      <c r="AV70" s="234"/>
      <c r="AW70" s="234"/>
      <c r="AX70" s="234"/>
      <c r="AY70" s="234"/>
    </row>
    <row r="71" spans="19:51" ht="30" customHeight="1">
      <c r="S71" s="257"/>
      <c r="T71" s="257"/>
      <c r="AM71" s="361"/>
      <c r="AN71" s="233"/>
      <c r="AO71" s="233"/>
      <c r="AP71" s="234"/>
      <c r="AQ71" s="233"/>
      <c r="AR71" s="234"/>
      <c r="AS71" s="233"/>
      <c r="AT71" s="234"/>
      <c r="AU71" s="233"/>
      <c r="AV71" s="234"/>
      <c r="AW71" s="233"/>
      <c r="AX71" s="233"/>
      <c r="AY71" s="233"/>
    </row>
    <row r="72" spans="19:51" ht="30" customHeight="1">
      <c r="S72" s="257"/>
      <c r="T72" s="257"/>
      <c r="AM72" s="361"/>
      <c r="AN72" s="233"/>
      <c r="AO72" s="233"/>
      <c r="AP72" s="234"/>
      <c r="AQ72" s="233"/>
      <c r="AR72" s="234"/>
      <c r="AS72" s="233"/>
      <c r="AT72" s="234"/>
      <c r="AU72" s="233"/>
      <c r="AV72" s="234"/>
      <c r="AW72" s="233"/>
      <c r="AX72" s="233"/>
      <c r="AY72" s="233"/>
    </row>
    <row r="73" spans="19:51" ht="30" customHeight="1">
      <c r="S73" s="257"/>
      <c r="T73" s="257"/>
      <c r="AM73" s="361"/>
      <c r="AN73" s="233"/>
      <c r="AO73" s="233"/>
      <c r="AP73" s="234"/>
      <c r="AQ73" s="233"/>
      <c r="AR73" s="234"/>
      <c r="AS73" s="233"/>
      <c r="AT73" s="234"/>
      <c r="AU73" s="233"/>
      <c r="AV73" s="234"/>
      <c r="AW73" s="233"/>
      <c r="AX73" s="233"/>
      <c r="AY73" s="233"/>
    </row>
    <row r="74" spans="19:51" ht="30" customHeight="1">
      <c r="S74" s="257"/>
      <c r="T74" s="257"/>
      <c r="AM74" s="361"/>
      <c r="AN74" s="234"/>
      <c r="AO74" s="233"/>
      <c r="AP74" s="234"/>
      <c r="AQ74" s="233"/>
      <c r="AR74" s="234"/>
      <c r="AS74" s="233"/>
      <c r="AT74" s="234"/>
      <c r="AU74" s="233"/>
      <c r="AV74" s="234"/>
      <c r="AW74" s="233"/>
      <c r="AX74" s="233"/>
      <c r="AY74" s="233"/>
    </row>
    <row r="75" spans="19:51" ht="30" customHeight="1">
      <c r="S75" s="257"/>
      <c r="T75" s="257"/>
      <c r="AM75" s="293"/>
      <c r="AN75" s="293"/>
      <c r="AO75" s="293"/>
      <c r="AP75" s="293"/>
      <c r="AQ75" s="293"/>
      <c r="AR75" s="293"/>
      <c r="AS75" s="293"/>
      <c r="AT75" s="293"/>
      <c r="AU75" s="293"/>
      <c r="AV75" s="293"/>
      <c r="AW75" s="293"/>
      <c r="AX75" s="293"/>
      <c r="AY75" s="293"/>
    </row>
    <row r="76" spans="19:51" ht="26.25" customHeight="1">
      <c r="S76" s="257"/>
      <c r="T76" s="257"/>
      <c r="AM76" s="360"/>
      <c r="AN76" s="234"/>
      <c r="AO76" s="360"/>
      <c r="AP76" s="234"/>
      <c r="AQ76" s="360"/>
      <c r="AR76" s="234"/>
      <c r="AS76" s="360"/>
      <c r="AT76" s="234"/>
      <c r="AU76" s="360"/>
      <c r="AV76" s="234"/>
      <c r="AW76" s="360"/>
      <c r="AX76" s="360"/>
      <c r="AY76" s="360"/>
    </row>
    <row r="77" spans="19:44" ht="13.5">
      <c r="S77" s="257"/>
      <c r="T77" s="257"/>
      <c r="AM77" s="253"/>
      <c r="AN77" s="253"/>
      <c r="AO77" s="253"/>
      <c r="AP77" s="253"/>
      <c r="AQ77" s="253"/>
      <c r="AR77" s="253"/>
    </row>
    <row r="78" spans="19:20" ht="11.25">
      <c r="S78" s="257"/>
      <c r="T78" s="257"/>
    </row>
    <row r="79" spans="19:20" ht="11.25">
      <c r="S79" s="257"/>
      <c r="T79" s="257"/>
    </row>
    <row r="80" spans="19:20" ht="11.25">
      <c r="S80" s="257"/>
      <c r="T80" s="257"/>
    </row>
    <row r="81" spans="19:51" ht="13.5">
      <c r="S81" s="257"/>
      <c r="T81" s="257"/>
      <c r="AM81" s="253"/>
      <c r="AN81" s="253"/>
      <c r="AO81" s="253"/>
      <c r="AP81" s="253"/>
      <c r="AQ81" s="253"/>
      <c r="AR81" s="253"/>
      <c r="AS81" s="253"/>
      <c r="AT81" s="253"/>
      <c r="AU81" s="253"/>
      <c r="AV81" s="253"/>
      <c r="AW81" s="267"/>
      <c r="AX81" s="267"/>
      <c r="AY81" s="267"/>
    </row>
    <row r="82" spans="19:51" ht="13.5">
      <c r="S82" s="257"/>
      <c r="T82" s="257"/>
      <c r="AM82" s="253"/>
      <c r="AN82" s="253"/>
      <c r="AO82" s="253"/>
      <c r="AP82" s="253"/>
      <c r="AQ82" s="253"/>
      <c r="AR82" s="253"/>
      <c r="AS82" s="253"/>
      <c r="AT82" s="253"/>
      <c r="AU82" s="253"/>
      <c r="AV82" s="253"/>
      <c r="AW82" s="267"/>
      <c r="AX82" s="267"/>
      <c r="AY82" s="267"/>
    </row>
    <row r="83" spans="17:51" ht="13.5">
      <c r="Q83" s="267"/>
      <c r="R83" s="267"/>
      <c r="S83" s="257"/>
      <c r="T83" s="257"/>
      <c r="AM83" s="253"/>
      <c r="AN83" s="253"/>
      <c r="AO83" s="253"/>
      <c r="AP83" s="253"/>
      <c r="AQ83" s="253"/>
      <c r="AR83" s="253"/>
      <c r="AS83" s="253"/>
      <c r="AT83" s="253"/>
      <c r="AU83" s="253"/>
      <c r="AV83" s="253"/>
      <c r="AW83" s="267"/>
      <c r="AX83" s="267"/>
      <c r="AY83" s="267"/>
    </row>
    <row r="84" spans="12:48" ht="24">
      <c r="L84" s="262"/>
      <c r="M84" s="362"/>
      <c r="N84" s="362"/>
      <c r="O84" s="362"/>
      <c r="P84" s="232"/>
      <c r="S84" s="257"/>
      <c r="T84" s="257"/>
      <c r="AM84" s="253"/>
      <c r="AN84" s="253"/>
      <c r="AO84" s="253"/>
      <c r="AP84" s="253"/>
      <c r="AQ84" s="253"/>
      <c r="AR84" s="253"/>
      <c r="AS84" s="253"/>
      <c r="AT84" s="253"/>
      <c r="AU84" s="253"/>
      <c r="AV84" s="253"/>
    </row>
    <row r="85" spans="11:46" ht="13.5">
      <c r="K85" s="302"/>
      <c r="S85" s="257"/>
      <c r="T85" s="257"/>
      <c r="AM85" s="253"/>
      <c r="AN85" s="253"/>
      <c r="AO85" s="253"/>
      <c r="AP85" s="253"/>
      <c r="AQ85" s="253"/>
      <c r="AR85" s="253"/>
      <c r="AS85" s="253"/>
      <c r="AT85" s="253"/>
    </row>
    <row r="86" spans="19:46" ht="13.5">
      <c r="S86" s="257"/>
      <c r="T86" s="257"/>
      <c r="AM86" s="253"/>
      <c r="AN86" s="253"/>
      <c r="AO86" s="253"/>
      <c r="AP86" s="253"/>
      <c r="AQ86" s="253"/>
      <c r="AR86" s="253"/>
      <c r="AS86" s="253"/>
      <c r="AT86" s="253"/>
    </row>
    <row r="87" spans="19:46" ht="13.5">
      <c r="S87" s="257"/>
      <c r="T87" s="257"/>
      <c r="AM87" s="253"/>
      <c r="AN87" s="253"/>
      <c r="AO87" s="253"/>
      <c r="AP87" s="253"/>
      <c r="AQ87" s="253"/>
      <c r="AR87" s="253"/>
      <c r="AS87" s="253"/>
      <c r="AT87" s="253"/>
    </row>
    <row r="88" spans="19:46" ht="13.5">
      <c r="S88" s="257"/>
      <c r="T88" s="257"/>
      <c r="AL88" s="360"/>
      <c r="AM88" s="253"/>
      <c r="AN88" s="253"/>
      <c r="AO88" s="253"/>
      <c r="AP88" s="253"/>
      <c r="AQ88" s="253"/>
      <c r="AR88" s="253"/>
      <c r="AS88" s="253"/>
      <c r="AT88" s="253"/>
    </row>
    <row r="89" spans="19:46" ht="13.5">
      <c r="S89" s="257"/>
      <c r="T89" s="257"/>
      <c r="AG89" s="360"/>
      <c r="AH89" s="360"/>
      <c r="AI89" s="360"/>
      <c r="AJ89" s="360"/>
      <c r="AK89" s="360"/>
      <c r="AL89" s="234"/>
      <c r="AM89" s="253"/>
      <c r="AN89" s="253"/>
      <c r="AO89" s="253"/>
      <c r="AP89" s="253"/>
      <c r="AQ89" s="253"/>
      <c r="AR89" s="253"/>
      <c r="AS89" s="253"/>
      <c r="AT89" s="253"/>
    </row>
    <row r="90" spans="19:47" ht="13.5">
      <c r="S90" s="363"/>
      <c r="T90" s="253"/>
      <c r="U90" s="253"/>
      <c r="AG90" s="233"/>
      <c r="AH90" s="233"/>
      <c r="AI90" s="233"/>
      <c r="AJ90" s="233"/>
      <c r="AK90" s="233"/>
      <c r="AL90" s="234"/>
      <c r="AM90" s="253"/>
      <c r="AN90" s="253"/>
      <c r="AO90" s="253"/>
      <c r="AP90" s="253"/>
      <c r="AQ90" s="253"/>
      <c r="AR90" s="253"/>
      <c r="AS90" s="253"/>
      <c r="AT90" s="253"/>
      <c r="AU90" s="253"/>
    </row>
    <row r="91" spans="19:47" ht="13.5">
      <c r="S91" s="364"/>
      <c r="T91" s="253"/>
      <c r="U91" s="253"/>
      <c r="V91" s="365"/>
      <c r="W91" s="253"/>
      <c r="X91" s="253"/>
      <c r="AG91" s="233"/>
      <c r="AH91" s="233"/>
      <c r="AI91" s="233"/>
      <c r="AJ91" s="233"/>
      <c r="AK91" s="233"/>
      <c r="AL91" s="234"/>
      <c r="AM91" s="253"/>
      <c r="AN91" s="253"/>
      <c r="AO91" s="253"/>
      <c r="AP91" s="253"/>
      <c r="AQ91" s="253"/>
      <c r="AR91" s="253"/>
      <c r="AS91" s="253"/>
      <c r="AT91" s="253"/>
      <c r="AU91" s="253"/>
    </row>
    <row r="92" spans="19:47" ht="13.5">
      <c r="S92" s="363"/>
      <c r="T92" s="253"/>
      <c r="U92" s="253"/>
      <c r="V92" s="235"/>
      <c r="W92" s="253"/>
      <c r="X92" s="253"/>
      <c r="AG92" s="233"/>
      <c r="AH92" s="233"/>
      <c r="AI92" s="233"/>
      <c r="AJ92" s="233"/>
      <c r="AK92" s="233"/>
      <c r="AL92" s="234"/>
      <c r="AM92" s="253"/>
      <c r="AN92" s="253"/>
      <c r="AO92" s="253"/>
      <c r="AP92" s="253"/>
      <c r="AQ92" s="253"/>
      <c r="AR92" s="253"/>
      <c r="AS92" s="253"/>
      <c r="AT92" s="253"/>
      <c r="AU92" s="253"/>
    </row>
    <row r="93" spans="19:47" ht="13.5">
      <c r="S93" s="257"/>
      <c r="T93" s="253"/>
      <c r="U93" s="253"/>
      <c r="V93" s="235"/>
      <c r="W93" s="253"/>
      <c r="X93" s="253"/>
      <c r="AG93" s="233"/>
      <c r="AH93" s="233"/>
      <c r="AI93" s="233"/>
      <c r="AJ93" s="233"/>
      <c r="AK93" s="233"/>
      <c r="AL93" s="293"/>
      <c r="AM93" s="253"/>
      <c r="AN93" s="253"/>
      <c r="AO93" s="253"/>
      <c r="AP93" s="253"/>
      <c r="AQ93" s="253"/>
      <c r="AR93" s="253"/>
      <c r="AS93" s="253"/>
      <c r="AT93" s="253"/>
      <c r="AU93" s="253"/>
    </row>
    <row r="94" spans="21:50" ht="17.25">
      <c r="U94" s="325"/>
      <c r="W94" s="253"/>
      <c r="X94" s="253"/>
      <c r="AG94" s="293"/>
      <c r="AH94" s="293"/>
      <c r="AI94" s="293"/>
      <c r="AJ94" s="293"/>
      <c r="AK94" s="293"/>
      <c r="AL94" s="234"/>
      <c r="AM94" s="253"/>
      <c r="AN94" s="253"/>
      <c r="AO94" s="253"/>
      <c r="AP94" s="253"/>
      <c r="AQ94" s="253"/>
      <c r="AR94" s="253"/>
      <c r="AS94" s="253"/>
      <c r="AT94" s="253"/>
      <c r="AU94" s="253"/>
      <c r="AV94" s="253"/>
      <c r="AW94" s="253"/>
      <c r="AX94" s="253"/>
    </row>
    <row r="95" spans="21:50" ht="17.25">
      <c r="U95" s="325"/>
      <c r="W95" s="253"/>
      <c r="X95" s="253"/>
      <c r="AG95" s="234"/>
      <c r="AH95" s="234"/>
      <c r="AI95" s="360"/>
      <c r="AJ95" s="234"/>
      <c r="AK95" s="234"/>
      <c r="AL95" s="253"/>
      <c r="AM95" s="253"/>
      <c r="AN95" s="253"/>
      <c r="AO95" s="253"/>
      <c r="AP95" s="253"/>
      <c r="AQ95" s="253"/>
      <c r="AR95" s="253"/>
      <c r="AS95" s="253"/>
      <c r="AT95" s="253"/>
      <c r="AU95" s="253"/>
      <c r="AV95" s="253"/>
      <c r="AW95" s="253"/>
      <c r="AX95" s="253"/>
    </row>
    <row r="96" spans="21:50" ht="17.25">
      <c r="U96" s="325"/>
      <c r="AG96" s="253"/>
      <c r="AH96" s="253"/>
      <c r="AI96" s="253"/>
      <c r="AJ96" s="253"/>
      <c r="AK96" s="253"/>
      <c r="AM96" s="253"/>
      <c r="AN96" s="253"/>
      <c r="AO96" s="253"/>
      <c r="AP96" s="253"/>
      <c r="AQ96" s="253"/>
      <c r="AR96" s="253"/>
      <c r="AS96" s="253"/>
      <c r="AT96" s="253"/>
      <c r="AU96" s="253"/>
      <c r="AV96" s="253"/>
      <c r="AW96" s="253"/>
      <c r="AX96" s="253"/>
    </row>
    <row r="97" spans="21:53" ht="17.25">
      <c r="U97" s="325"/>
      <c r="AM97" s="253"/>
      <c r="AN97" s="253"/>
      <c r="AO97" s="253"/>
      <c r="AP97" s="253"/>
      <c r="AQ97" s="253"/>
      <c r="AR97" s="253"/>
      <c r="AS97" s="253"/>
      <c r="AT97" s="253"/>
      <c r="AU97" s="253"/>
      <c r="AV97" s="253"/>
      <c r="AW97" s="253"/>
      <c r="AX97" s="253"/>
      <c r="AY97" s="253"/>
      <c r="AZ97" s="253"/>
      <c r="BA97" s="253"/>
    </row>
    <row r="98" spans="21:49" ht="17.25">
      <c r="U98" s="325"/>
      <c r="AM98" s="253"/>
      <c r="AN98" s="253"/>
      <c r="AO98" s="253"/>
      <c r="AP98" s="253"/>
      <c r="AQ98" s="253"/>
      <c r="AR98" s="253"/>
      <c r="AS98" s="253"/>
      <c r="AT98" s="253"/>
      <c r="AU98" s="253"/>
      <c r="AV98" s="253"/>
      <c r="AW98" s="253"/>
    </row>
    <row r="99" spans="21:42" ht="17.25">
      <c r="U99" s="325"/>
      <c r="W99" s="253"/>
      <c r="X99" s="253"/>
      <c r="AL99" s="253"/>
      <c r="AM99" s="253"/>
      <c r="AN99" s="253"/>
      <c r="AO99" s="253"/>
      <c r="AP99" s="253"/>
    </row>
    <row r="100" spans="21:38" ht="13.5">
      <c r="U100" s="253"/>
      <c r="V100" s="253"/>
      <c r="AG100" s="253"/>
      <c r="AH100" s="253"/>
      <c r="AI100" s="253"/>
      <c r="AJ100" s="253"/>
      <c r="AK100" s="253"/>
      <c r="AL100" s="253"/>
    </row>
    <row r="101" spans="21:38" ht="13.5">
      <c r="U101" s="351"/>
      <c r="V101" s="351"/>
      <c r="AG101" s="253"/>
      <c r="AH101" s="253"/>
      <c r="AI101" s="253"/>
      <c r="AJ101" s="253"/>
      <c r="AK101" s="253"/>
      <c r="AL101" s="253"/>
    </row>
    <row r="102" spans="33:44" ht="13.5">
      <c r="AG102" s="253"/>
      <c r="AH102" s="253"/>
      <c r="AI102" s="253"/>
      <c r="AJ102" s="253"/>
      <c r="AK102" s="253"/>
      <c r="AL102" s="253"/>
      <c r="AM102" s="253"/>
      <c r="AN102" s="253"/>
      <c r="AO102" s="253"/>
      <c r="AP102" s="253"/>
      <c r="AQ102" s="253"/>
      <c r="AR102" s="253"/>
    </row>
    <row r="103" spans="21:38" ht="13.5">
      <c r="U103" s="253"/>
      <c r="V103" s="253"/>
      <c r="W103" s="253"/>
      <c r="X103" s="253"/>
      <c r="AG103" s="253"/>
      <c r="AH103" s="253"/>
      <c r="AI103" s="253"/>
      <c r="AJ103" s="253"/>
      <c r="AK103" s="253"/>
      <c r="AL103" s="253"/>
    </row>
    <row r="104" spans="21:38" ht="13.5">
      <c r="U104" s="253"/>
      <c r="V104" s="253"/>
      <c r="W104" s="253"/>
      <c r="X104" s="253"/>
      <c r="AG104" s="253"/>
      <c r="AH104" s="253"/>
      <c r="AI104" s="253"/>
      <c r="AJ104" s="253"/>
      <c r="AK104" s="253"/>
      <c r="AL104" s="253"/>
    </row>
    <row r="105" spans="21:38" ht="13.5">
      <c r="U105" s="253"/>
      <c r="V105" s="253"/>
      <c r="W105" s="253"/>
      <c r="X105" s="253"/>
      <c r="AG105" s="253"/>
      <c r="AH105" s="253"/>
      <c r="AI105" s="253"/>
      <c r="AJ105" s="253"/>
      <c r="AK105" s="253"/>
      <c r="AL105" s="253"/>
    </row>
    <row r="106" spans="21:38" ht="13.5">
      <c r="U106" s="253"/>
      <c r="V106" s="253"/>
      <c r="W106" s="253"/>
      <c r="X106" s="253"/>
      <c r="AG106" s="253"/>
      <c r="AH106" s="253"/>
      <c r="AI106" s="253"/>
      <c r="AJ106" s="253"/>
      <c r="AK106" s="253"/>
      <c r="AL106" s="253"/>
    </row>
    <row r="107" spans="21:38" ht="13.5">
      <c r="U107" s="253"/>
      <c r="V107" s="253"/>
      <c r="W107" s="253"/>
      <c r="X107" s="253"/>
      <c r="AG107" s="253"/>
      <c r="AH107" s="253"/>
      <c r="AI107" s="253"/>
      <c r="AJ107" s="253"/>
      <c r="AK107" s="253"/>
      <c r="AL107" s="253"/>
    </row>
    <row r="108" spans="21:38" ht="13.5">
      <c r="U108" s="253"/>
      <c r="V108" s="253"/>
      <c r="W108" s="253"/>
      <c r="X108" s="253"/>
      <c r="AG108" s="253"/>
      <c r="AH108" s="253"/>
      <c r="AI108" s="253"/>
      <c r="AJ108" s="253"/>
      <c r="AK108" s="253"/>
      <c r="AL108" s="253"/>
    </row>
    <row r="109" spans="21:38" ht="13.5">
      <c r="U109" s="253"/>
      <c r="V109" s="253"/>
      <c r="W109" s="253"/>
      <c r="X109" s="253"/>
      <c r="Y109" s="253"/>
      <c r="Z109" s="253"/>
      <c r="AA109" s="253"/>
      <c r="AB109" s="253"/>
      <c r="AC109" s="253"/>
      <c r="AD109" s="253"/>
      <c r="AE109" s="253"/>
      <c r="AF109" s="253"/>
      <c r="AG109" s="253"/>
      <c r="AH109" s="253"/>
      <c r="AI109" s="253"/>
      <c r="AJ109" s="253"/>
      <c r="AK109" s="253"/>
      <c r="AL109" s="253"/>
    </row>
    <row r="110" spans="25:38" ht="13.5">
      <c r="Y110" s="253"/>
      <c r="Z110" s="253"/>
      <c r="AA110" s="253"/>
      <c r="AB110" s="253"/>
      <c r="AC110" s="253"/>
      <c r="AD110" s="253"/>
      <c r="AE110" s="253"/>
      <c r="AF110" s="253"/>
      <c r="AG110" s="253"/>
      <c r="AH110" s="253"/>
      <c r="AI110" s="253"/>
      <c r="AJ110" s="253"/>
      <c r="AK110" s="253"/>
      <c r="AL110" s="253"/>
    </row>
    <row r="111" spans="25:38" ht="13.5">
      <c r="Y111" s="253"/>
      <c r="Z111" s="253"/>
      <c r="AA111" s="253"/>
      <c r="AB111" s="253"/>
      <c r="AC111" s="253"/>
      <c r="AD111" s="253"/>
      <c r="AE111" s="253"/>
      <c r="AF111" s="253"/>
      <c r="AG111" s="253"/>
      <c r="AH111" s="253"/>
      <c r="AI111" s="253"/>
      <c r="AJ111" s="253"/>
      <c r="AK111" s="253"/>
      <c r="AL111" s="253"/>
    </row>
    <row r="112" spans="25:38" ht="13.5">
      <c r="Y112" s="253"/>
      <c r="Z112" s="253"/>
      <c r="AA112" s="253"/>
      <c r="AB112" s="253"/>
      <c r="AC112" s="253"/>
      <c r="AD112" s="253"/>
      <c r="AE112" s="253"/>
      <c r="AF112" s="253"/>
      <c r="AG112" s="253"/>
      <c r="AH112" s="253"/>
      <c r="AI112" s="253"/>
      <c r="AJ112" s="253"/>
      <c r="AK112" s="253"/>
      <c r="AL112" s="253"/>
    </row>
    <row r="113" spans="25:38" ht="13.5">
      <c r="Y113" s="253"/>
      <c r="Z113" s="253"/>
      <c r="AA113" s="253"/>
      <c r="AB113" s="253"/>
      <c r="AC113" s="253"/>
      <c r="AD113" s="253"/>
      <c r="AE113" s="253"/>
      <c r="AF113" s="253"/>
      <c r="AG113" s="253"/>
      <c r="AH113" s="253"/>
      <c r="AI113" s="253"/>
      <c r="AJ113" s="253"/>
      <c r="AK113" s="253"/>
      <c r="AL113" s="253"/>
    </row>
    <row r="114" spans="25:38" ht="13.5">
      <c r="Y114" s="253"/>
      <c r="Z114" s="253"/>
      <c r="AA114" s="253"/>
      <c r="AB114" s="253"/>
      <c r="AC114" s="253"/>
      <c r="AD114" s="253"/>
      <c r="AE114" s="253"/>
      <c r="AF114" s="253"/>
      <c r="AG114" s="253"/>
      <c r="AH114" s="253"/>
      <c r="AI114" s="253"/>
      <c r="AJ114" s="253"/>
      <c r="AK114" s="253"/>
      <c r="AL114" s="253"/>
    </row>
    <row r="115" spans="25:38" ht="13.5">
      <c r="Y115" s="253"/>
      <c r="Z115" s="253"/>
      <c r="AA115" s="253"/>
      <c r="AB115" s="253"/>
      <c r="AC115" s="253"/>
      <c r="AD115" s="253"/>
      <c r="AE115" s="253"/>
      <c r="AF115" s="253"/>
      <c r="AG115" s="253"/>
      <c r="AH115" s="253"/>
      <c r="AI115" s="253"/>
      <c r="AJ115" s="253"/>
      <c r="AK115" s="253"/>
      <c r="AL115" s="253"/>
    </row>
    <row r="116" spans="25:38" ht="13.5">
      <c r="Y116" s="253"/>
      <c r="Z116" s="253"/>
      <c r="AA116" s="253"/>
      <c r="AB116" s="253"/>
      <c r="AC116" s="253"/>
      <c r="AD116" s="253"/>
      <c r="AE116" s="253"/>
      <c r="AF116" s="253"/>
      <c r="AG116" s="253"/>
      <c r="AH116" s="253"/>
      <c r="AI116" s="253"/>
      <c r="AJ116" s="253"/>
      <c r="AK116" s="253"/>
      <c r="AL116" s="253"/>
    </row>
    <row r="117" spans="19:38" ht="13.5">
      <c r="S117" s="257"/>
      <c r="U117" s="351"/>
      <c r="Y117" s="253"/>
      <c r="Z117" s="253"/>
      <c r="AA117" s="253"/>
      <c r="AB117" s="253"/>
      <c r="AC117" s="253"/>
      <c r="AD117" s="253"/>
      <c r="AE117" s="253"/>
      <c r="AF117" s="253"/>
      <c r="AG117" s="253"/>
      <c r="AH117" s="253"/>
      <c r="AI117" s="253"/>
      <c r="AJ117" s="253"/>
      <c r="AK117" s="253"/>
      <c r="AL117" s="253"/>
    </row>
    <row r="118" spans="12:37" ht="14.25">
      <c r="L118" s="253"/>
      <c r="M118" s="232"/>
      <c r="N118" s="232"/>
      <c r="O118" s="349"/>
      <c r="P118" s="349"/>
      <c r="Y118" s="253"/>
      <c r="Z118" s="253"/>
      <c r="AA118" s="253"/>
      <c r="AB118" s="253"/>
      <c r="AC118" s="253"/>
      <c r="AD118" s="253"/>
      <c r="AE118" s="253"/>
      <c r="AF118" s="253"/>
      <c r="AG118" s="253"/>
      <c r="AH118" s="253"/>
      <c r="AI118" s="253"/>
      <c r="AJ118" s="253"/>
      <c r="AK118" s="253"/>
    </row>
    <row r="119" spans="11:37" ht="13.5">
      <c r="K119" s="253"/>
      <c r="Y119" s="253"/>
      <c r="Z119" s="253"/>
      <c r="AA119" s="253"/>
      <c r="AB119" s="253"/>
      <c r="AC119" s="253"/>
      <c r="AD119" s="253"/>
      <c r="AE119" s="253"/>
      <c r="AF119" s="253"/>
      <c r="AG119" s="253"/>
      <c r="AH119" s="253"/>
      <c r="AI119" s="253"/>
      <c r="AJ119" s="253"/>
      <c r="AK119" s="253"/>
    </row>
    <row r="120" spans="25:38" ht="13.5">
      <c r="Y120" s="253"/>
      <c r="Z120" s="253"/>
      <c r="AA120" s="253"/>
      <c r="AB120" s="253"/>
      <c r="AC120" s="253"/>
      <c r="AD120" s="253"/>
      <c r="AE120" s="253"/>
      <c r="AF120" s="253"/>
      <c r="AG120" s="253"/>
      <c r="AH120" s="253"/>
      <c r="AI120" s="253"/>
      <c r="AJ120" s="253"/>
      <c r="AK120" s="253"/>
      <c r="AL120" s="253"/>
    </row>
    <row r="121" spans="25:37" ht="13.5">
      <c r="Y121" s="253"/>
      <c r="Z121" s="253"/>
      <c r="AA121" s="253"/>
      <c r="AB121" s="253"/>
      <c r="AC121" s="253"/>
      <c r="AD121" s="253"/>
      <c r="AE121" s="253"/>
      <c r="AF121" s="253"/>
      <c r="AG121" s="253"/>
      <c r="AH121" s="253"/>
      <c r="AI121" s="253"/>
      <c r="AJ121" s="253"/>
      <c r="AK121" s="253"/>
    </row>
  </sheetData>
  <sheetProtection sheet="1" objects="1" scenarios="1"/>
  <mergeCells count="59">
    <mergeCell ref="T66:V67"/>
    <mergeCell ref="S58:S59"/>
    <mergeCell ref="M6:M7"/>
    <mergeCell ref="S60:S61"/>
    <mergeCell ref="M49:O49"/>
    <mergeCell ref="M50:O50"/>
    <mergeCell ref="M47:O47"/>
    <mergeCell ref="M52:N52"/>
    <mergeCell ref="M51:N51"/>
    <mergeCell ref="M48:O48"/>
    <mergeCell ref="S66:S67"/>
    <mergeCell ref="S64:S65"/>
    <mergeCell ref="S56:S57"/>
    <mergeCell ref="S62:S63"/>
    <mergeCell ref="S52:S53"/>
    <mergeCell ref="S54:S55"/>
    <mergeCell ref="X28:X37"/>
    <mergeCell ref="Q25:Q27"/>
    <mergeCell ref="V26:V27"/>
    <mergeCell ref="S26:S27"/>
    <mergeCell ref="R25:R27"/>
    <mergeCell ref="T26:T27"/>
    <mergeCell ref="B14:C14"/>
    <mergeCell ref="S15:V15"/>
    <mergeCell ref="B20:C20"/>
    <mergeCell ref="AD25:AF25"/>
    <mergeCell ref="U26:U27"/>
    <mergeCell ref="S16:V17"/>
    <mergeCell ref="AA25:AC25"/>
    <mergeCell ref="S13:V13"/>
    <mergeCell ref="R6:R7"/>
    <mergeCell ref="S14:V14"/>
    <mergeCell ref="B11:C11"/>
    <mergeCell ref="AJ25:AL25"/>
    <mergeCell ref="AG25:AI25"/>
    <mergeCell ref="B13:C13"/>
    <mergeCell ref="B17:C17"/>
    <mergeCell ref="B16:C16"/>
    <mergeCell ref="Z25:Z26"/>
    <mergeCell ref="I7:J9"/>
    <mergeCell ref="B18:C18"/>
    <mergeCell ref="X25:X27"/>
    <mergeCell ref="N25:N27"/>
    <mergeCell ref="W26:W27"/>
    <mergeCell ref="I10:J10"/>
    <mergeCell ref="D7:D9"/>
    <mergeCell ref="B10:C10"/>
    <mergeCell ref="B15:C15"/>
    <mergeCell ref="S10:V11"/>
    <mergeCell ref="R4:V4"/>
    <mergeCell ref="S8:V9"/>
    <mergeCell ref="S6:V7"/>
    <mergeCell ref="E7:F7"/>
    <mergeCell ref="N7:P7"/>
    <mergeCell ref="B19:C19"/>
    <mergeCell ref="B12:C12"/>
    <mergeCell ref="B6:D6"/>
    <mergeCell ref="E8:F8"/>
    <mergeCell ref="B5:H5"/>
  </mergeCells>
  <dataValidations count="3">
    <dataValidation allowBlank="1" showInputMessage="1" showErrorMessage="1" imeMode="halfAlpha" sqref="G20"/>
    <dataValidation type="whole" operator="greaterThanOrEqual" allowBlank="1" showInputMessage="1" showErrorMessage="1" errorTitle="0以上の数字を入力して下さい。" imeMode="halfAlpha" sqref="I11:I19 D10:H19">
      <formula1>0</formula1>
    </dataValidation>
    <dataValidation allowBlank="1" showInputMessage="1" showErrorMessage="1" imeMode="hiragana" sqref="G7 E7"/>
  </dataValidations>
  <printOptions/>
  <pageMargins left="0.708661417322835" right="0.31496062992126" top="0.748031496062992" bottom="0.748031496062992" header="0.31496062992126" footer="0.31496062992126"/>
  <pageSetup fitToHeight="1" fitToWidth="1" horizontalDpi="600" verticalDpi="600" orientation="portrait" paperSize="9" scale="61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0">
    <tabColor theme="4" tint="0.39998000860214233"/>
  </sheetPr>
  <dimension ref="A1:I102"/>
  <sheetViews>
    <sheetView zoomScalePageLayoutView="0" workbookViewId="0" topLeftCell="A1">
      <selection activeCell="A1" sqref="A1"/>
    </sheetView>
  </sheetViews>
  <sheetFormatPr defaultColWidth="33.57421875" defaultRowHeight="30.75" customHeight="1"/>
  <cols>
    <col min="1" max="1" width="8.28125" style="34" customWidth="1"/>
    <col min="2" max="2" width="33.57421875" style="31" customWidth="1"/>
    <col min="3" max="3" width="33.57421875" style="31" hidden="1" customWidth="1"/>
    <col min="4" max="4" width="15.28125" style="30" hidden="1" customWidth="1"/>
    <col min="5" max="5" width="33.57421875" style="31" hidden="1" customWidth="1"/>
    <col min="6" max="6" width="33.57421875" style="29" hidden="1" customWidth="1"/>
    <col min="7" max="7" width="33.57421875" style="34" hidden="1" customWidth="1"/>
    <col min="8" max="9" width="0" style="29" hidden="1" customWidth="1"/>
    <col min="10" max="16384" width="33.57421875" style="29" customWidth="1"/>
  </cols>
  <sheetData>
    <row r="1" spans="1:9" ht="30.75" customHeight="1">
      <c r="A1" s="26" t="s">
        <v>50</v>
      </c>
      <c r="B1" s="27" t="s">
        <v>51</v>
      </c>
      <c r="C1" s="27" t="str">
        <f>CONCATENATE(A1,B1)</f>
        <v>中分類　コード内容</v>
      </c>
      <c r="D1" s="26" t="s">
        <v>52</v>
      </c>
      <c r="E1" s="27" t="s">
        <v>51</v>
      </c>
      <c r="F1" s="27" t="str">
        <f>CONCATENATE(D1,E1)</f>
        <v>全中分類コード内容</v>
      </c>
      <c r="G1" s="28" t="s">
        <v>53</v>
      </c>
      <c r="H1" s="26" t="str">
        <f>CONCATENATE(D1,I1)</f>
        <v>全中分類コード小分類</v>
      </c>
      <c r="I1" s="28" t="s">
        <v>54</v>
      </c>
    </row>
    <row r="2" spans="1:9" ht="30.75" customHeight="1">
      <c r="A2" s="30" t="s">
        <v>55</v>
      </c>
      <c r="B2" s="31" t="s">
        <v>56</v>
      </c>
      <c r="C2" s="32" t="str">
        <f>CONCATENATE(A2,B2)</f>
        <v>01　農業</v>
      </c>
      <c r="D2" s="33" t="s">
        <v>57</v>
      </c>
      <c r="E2" s="31" t="s">
        <v>56</v>
      </c>
      <c r="F2" s="31" t="str">
        <f>CONCATENATE(D2,E2)</f>
        <v>010000　農業</v>
      </c>
      <c r="G2" s="34" t="s">
        <v>58</v>
      </c>
      <c r="H2" s="31" t="str">
        <f>CONCATENATE(D2,I2)</f>
        <v>010000管理，補助的経済活動を行う事業所（01農業） </v>
      </c>
      <c r="I2" s="29" t="s">
        <v>59</v>
      </c>
    </row>
    <row r="3" spans="1:9" ht="30.75" customHeight="1">
      <c r="A3" s="34" t="s">
        <v>60</v>
      </c>
      <c r="B3" s="31" t="s">
        <v>61</v>
      </c>
      <c r="C3" s="32" t="str">
        <f aca="true" t="shared" si="0" ref="C3:C66">CONCATENATE(A3,B3)</f>
        <v>02　林業</v>
      </c>
      <c r="D3" s="33" t="s">
        <v>62</v>
      </c>
      <c r="E3" s="31" t="s">
        <v>61</v>
      </c>
      <c r="F3" s="31" t="str">
        <f aca="true" t="shared" si="1" ref="F3:F66">CONCATENATE(D3,E3)</f>
        <v>020000　林業</v>
      </c>
      <c r="G3" s="34" t="s">
        <v>63</v>
      </c>
      <c r="H3" s="31" t="str">
        <f aca="true" t="shared" si="2" ref="H3:H66">CONCATENATE(D3,I3)</f>
        <v>020000管理，補助的経済活動を行う事業所（02林業） </v>
      </c>
      <c r="I3" s="29" t="s">
        <v>64</v>
      </c>
    </row>
    <row r="4" spans="1:9" ht="30.75" customHeight="1">
      <c r="A4" s="34" t="s">
        <v>65</v>
      </c>
      <c r="B4" s="31" t="s">
        <v>66</v>
      </c>
      <c r="C4" s="32" t="str">
        <f t="shared" si="0"/>
        <v>03　漁業（水産養殖業を除く）</v>
      </c>
      <c r="D4" s="33" t="s">
        <v>67</v>
      </c>
      <c r="E4" s="31" t="s">
        <v>66</v>
      </c>
      <c r="F4" s="31" t="str">
        <f t="shared" si="1"/>
        <v>030000　漁業（水産養殖業を除く）</v>
      </c>
      <c r="G4" s="34" t="s">
        <v>68</v>
      </c>
      <c r="H4" s="31" t="str">
        <f t="shared" si="2"/>
        <v>030000管理，補助的経済活動を行う事業所（03漁業） </v>
      </c>
      <c r="I4" s="29" t="s">
        <v>69</v>
      </c>
    </row>
    <row r="5" spans="1:9" ht="30.75" customHeight="1">
      <c r="A5" s="34" t="s">
        <v>70</v>
      </c>
      <c r="B5" s="31" t="s">
        <v>71</v>
      </c>
      <c r="C5" s="32" t="str">
        <f t="shared" si="0"/>
        <v>04　水産養殖業</v>
      </c>
      <c r="D5" s="33" t="s">
        <v>67</v>
      </c>
      <c r="E5" s="31" t="s">
        <v>71</v>
      </c>
      <c r="F5" s="31" t="str">
        <f t="shared" si="1"/>
        <v>030000　水産養殖業</v>
      </c>
      <c r="G5" s="34" t="s">
        <v>72</v>
      </c>
      <c r="H5" s="31" t="str">
        <f t="shared" si="2"/>
        <v>030000管理，補助的経済活動を行う事業所（04水産養殖業） </v>
      </c>
      <c r="I5" s="29" t="s">
        <v>73</v>
      </c>
    </row>
    <row r="6" spans="1:9" ht="30.75" customHeight="1">
      <c r="A6" s="34" t="s">
        <v>74</v>
      </c>
      <c r="B6" s="31" t="s">
        <v>75</v>
      </c>
      <c r="C6" s="32" t="str">
        <f t="shared" si="0"/>
        <v>05　鉱業，採石業，砂利採取業</v>
      </c>
      <c r="D6" s="33" t="s">
        <v>76</v>
      </c>
      <c r="E6" s="31" t="s">
        <v>77</v>
      </c>
      <c r="F6" s="31" t="str">
        <f t="shared" si="1"/>
        <v>040000　鉱業</v>
      </c>
      <c r="G6" s="34" t="s">
        <v>78</v>
      </c>
      <c r="H6" s="31" t="str">
        <f t="shared" si="2"/>
        <v>040000管理，補助的経済活動を行う事業所（05鉱業，採石業，砂利採取業） </v>
      </c>
      <c r="I6" s="29" t="s">
        <v>79</v>
      </c>
    </row>
    <row r="7" spans="1:9" ht="30.75" customHeight="1">
      <c r="A7" s="34" t="s">
        <v>80</v>
      </c>
      <c r="B7" s="31" t="s">
        <v>81</v>
      </c>
      <c r="C7" s="32" t="str">
        <f t="shared" si="0"/>
        <v>06　総合工事業</v>
      </c>
      <c r="D7" s="33" t="s">
        <v>82</v>
      </c>
      <c r="E7" s="31" t="s">
        <v>81</v>
      </c>
      <c r="F7" s="31" t="str">
        <f t="shared" si="1"/>
        <v>050100　総合工事業</v>
      </c>
      <c r="G7" s="34" t="s">
        <v>83</v>
      </c>
      <c r="H7" s="31" t="str">
        <f t="shared" si="2"/>
        <v>050100管理，補助的経済活動を行う事業所（06総合工事業） </v>
      </c>
      <c r="I7" s="29" t="s">
        <v>84</v>
      </c>
    </row>
    <row r="8" spans="1:9" ht="30.75" customHeight="1">
      <c r="A8" s="34" t="s">
        <v>85</v>
      </c>
      <c r="B8" s="31" t="s">
        <v>86</v>
      </c>
      <c r="C8" s="32" t="str">
        <f t="shared" si="0"/>
        <v>07　職別工事業(設備工事業を除く)</v>
      </c>
      <c r="D8" s="33" t="s">
        <v>87</v>
      </c>
      <c r="E8" s="31" t="s">
        <v>86</v>
      </c>
      <c r="F8" s="31" t="str">
        <f t="shared" si="1"/>
        <v>050300　職別工事業(設備工事業を除く)</v>
      </c>
      <c r="G8" s="34" t="s">
        <v>88</v>
      </c>
      <c r="H8" s="31" t="str">
        <f t="shared" si="2"/>
        <v>050300管理，補助的経済活動を行う事業所（07職別工事業） </v>
      </c>
      <c r="I8" s="29" t="s">
        <v>89</v>
      </c>
    </row>
    <row r="9" spans="1:9" ht="30.75" customHeight="1">
      <c r="A9" s="34" t="s">
        <v>90</v>
      </c>
      <c r="B9" s="31" t="s">
        <v>91</v>
      </c>
      <c r="C9" s="32" t="str">
        <f t="shared" si="0"/>
        <v>08　設備工事業</v>
      </c>
      <c r="D9" s="33" t="s">
        <v>92</v>
      </c>
      <c r="E9" s="31" t="s">
        <v>91</v>
      </c>
      <c r="F9" s="31" t="str">
        <f t="shared" si="1"/>
        <v>050500　設備工事業</v>
      </c>
      <c r="G9" s="34" t="s">
        <v>93</v>
      </c>
      <c r="H9" s="31" t="str">
        <f t="shared" si="2"/>
        <v>050500管理，補助的経済活動を行う事業所（08設備工事業） </v>
      </c>
      <c r="I9" s="29" t="s">
        <v>94</v>
      </c>
    </row>
    <row r="10" spans="1:9" ht="30.75" customHeight="1">
      <c r="A10" s="34" t="s">
        <v>95</v>
      </c>
      <c r="B10" s="31" t="s">
        <v>96</v>
      </c>
      <c r="C10" s="32" t="str">
        <f t="shared" si="0"/>
        <v>09　食料品製造業</v>
      </c>
      <c r="D10" s="33" t="s">
        <v>97</v>
      </c>
      <c r="E10" s="31" t="s">
        <v>96</v>
      </c>
      <c r="F10" s="31" t="str">
        <f t="shared" si="1"/>
        <v>060100　食料品製造業</v>
      </c>
      <c r="G10" s="34" t="s">
        <v>98</v>
      </c>
      <c r="H10" s="31" t="str">
        <f t="shared" si="2"/>
        <v>060100管理，補助的経済活動を行う事業所（09食料品製造業） </v>
      </c>
      <c r="I10" s="29" t="s">
        <v>99</v>
      </c>
    </row>
    <row r="11" spans="1:9" ht="30.75" customHeight="1">
      <c r="A11" s="34" t="s">
        <v>100</v>
      </c>
      <c r="B11" s="31" t="s">
        <v>101</v>
      </c>
      <c r="C11" s="32" t="str">
        <f t="shared" si="0"/>
        <v>10　飲料・たばこ・飼料製造業</v>
      </c>
      <c r="D11" s="33" t="s">
        <v>102</v>
      </c>
      <c r="E11" s="31" t="s">
        <v>101</v>
      </c>
      <c r="F11" s="31" t="str">
        <f t="shared" si="1"/>
        <v>060300　飲料・たばこ・飼料製造業</v>
      </c>
      <c r="G11" s="34" t="s">
        <v>103</v>
      </c>
      <c r="H11" s="31" t="str">
        <f t="shared" si="2"/>
        <v>060300管理，補助的経済活動を行う事業所（10飲料・たばこ・飼料製造業） </v>
      </c>
      <c r="I11" s="29" t="s">
        <v>104</v>
      </c>
    </row>
    <row r="12" spans="1:9" ht="30.75" customHeight="1">
      <c r="A12" s="34" t="s">
        <v>105</v>
      </c>
      <c r="B12" s="31" t="s">
        <v>106</v>
      </c>
      <c r="C12" s="32" t="str">
        <f t="shared" si="0"/>
        <v>11　繊維工業</v>
      </c>
      <c r="D12" s="33" t="s">
        <v>107</v>
      </c>
      <c r="E12" s="31" t="s">
        <v>108</v>
      </c>
      <c r="F12" s="31" t="str">
        <f t="shared" si="1"/>
        <v>060500繊維工業（衣服、その他の繊維製品を除く）</v>
      </c>
      <c r="G12" s="34" t="s">
        <v>109</v>
      </c>
      <c r="H12" s="31" t="str">
        <f t="shared" si="2"/>
        <v>060500管理，補助的経済活動を行う事業所（11繊維工業） </v>
      </c>
      <c r="I12" s="29" t="s">
        <v>110</v>
      </c>
    </row>
    <row r="13" spans="1:9" ht="30.75" customHeight="1">
      <c r="A13" s="34" t="s">
        <v>111</v>
      </c>
      <c r="B13" s="31" t="s">
        <v>112</v>
      </c>
      <c r="C13" s="32" t="str">
        <f t="shared" si="0"/>
        <v>12　木材・木製品製造業（家具を除く）</v>
      </c>
      <c r="D13" s="33" t="s">
        <v>113</v>
      </c>
      <c r="E13" s="31" t="s">
        <v>112</v>
      </c>
      <c r="F13" s="31" t="str">
        <f t="shared" si="1"/>
        <v>060900　木材・木製品製造業（家具を除く）</v>
      </c>
      <c r="G13" s="34" t="s">
        <v>114</v>
      </c>
      <c r="H13" s="31" t="str">
        <f t="shared" si="2"/>
        <v>060900管理，補助的経済活動を行う事業所（12木材・木製品製造業） </v>
      </c>
      <c r="I13" s="29" t="s">
        <v>115</v>
      </c>
    </row>
    <row r="14" spans="1:9" ht="30.75" customHeight="1">
      <c r="A14" s="34" t="s">
        <v>116</v>
      </c>
      <c r="B14" s="31" t="s">
        <v>117</v>
      </c>
      <c r="C14" s="32" t="str">
        <f t="shared" si="0"/>
        <v>13　家具・装備品製造業</v>
      </c>
      <c r="D14" s="33" t="s">
        <v>118</v>
      </c>
      <c r="E14" s="31" t="s">
        <v>117</v>
      </c>
      <c r="F14" s="31" t="str">
        <f t="shared" si="1"/>
        <v>061100　家具・装備品製造業</v>
      </c>
      <c r="G14" s="34" t="s">
        <v>119</v>
      </c>
      <c r="H14" s="31" t="str">
        <f t="shared" si="2"/>
        <v>061100管理，補助的経済活動を行う事業所（13家具・装備品製造業） </v>
      </c>
      <c r="I14" s="29" t="s">
        <v>120</v>
      </c>
    </row>
    <row r="15" spans="1:9" ht="30.75" customHeight="1">
      <c r="A15" s="34" t="s">
        <v>121</v>
      </c>
      <c r="B15" s="31" t="s">
        <v>122</v>
      </c>
      <c r="C15" s="32" t="str">
        <f t="shared" si="0"/>
        <v>14　パルプ・紙・紙加工品製造業</v>
      </c>
      <c r="D15" s="33" t="s">
        <v>123</v>
      </c>
      <c r="E15" s="31" t="s">
        <v>122</v>
      </c>
      <c r="F15" s="31" t="str">
        <f t="shared" si="1"/>
        <v>061300　パルプ・紙・紙加工品製造業</v>
      </c>
      <c r="G15" s="34" t="s">
        <v>124</v>
      </c>
      <c r="H15" s="31" t="str">
        <f t="shared" si="2"/>
        <v>061300管理，補助的経済活動を行う事業所（14パルプ・紙・紙加工品製造業） </v>
      </c>
      <c r="I15" s="29" t="s">
        <v>125</v>
      </c>
    </row>
    <row r="16" spans="1:9" ht="30.75" customHeight="1">
      <c r="A16" s="34" t="s">
        <v>126</v>
      </c>
      <c r="B16" s="31" t="s">
        <v>127</v>
      </c>
      <c r="C16" s="32" t="str">
        <f t="shared" si="0"/>
        <v>15　印刷・同関連業</v>
      </c>
      <c r="D16" s="33" t="s">
        <v>128</v>
      </c>
      <c r="E16" s="31" t="s">
        <v>127</v>
      </c>
      <c r="F16" s="31" t="str">
        <f t="shared" si="1"/>
        <v>061500　印刷・同関連業</v>
      </c>
      <c r="G16" s="34" t="s">
        <v>129</v>
      </c>
      <c r="H16" s="31" t="str">
        <f t="shared" si="2"/>
        <v>061500管理，補助的経済活動を行う事業所（15印刷・同関連業） </v>
      </c>
      <c r="I16" s="29" t="s">
        <v>130</v>
      </c>
    </row>
    <row r="17" spans="1:9" ht="30.75" customHeight="1">
      <c r="A17" s="34" t="s">
        <v>131</v>
      </c>
      <c r="B17" s="31" t="s">
        <v>132</v>
      </c>
      <c r="C17" s="32" t="str">
        <f t="shared" si="0"/>
        <v>16　化学工業</v>
      </c>
      <c r="D17" s="33" t="s">
        <v>133</v>
      </c>
      <c r="E17" s="31" t="s">
        <v>132</v>
      </c>
      <c r="F17" s="31" t="str">
        <f t="shared" si="1"/>
        <v>061700　化学工業</v>
      </c>
      <c r="G17" s="34" t="s">
        <v>134</v>
      </c>
      <c r="H17" s="31" t="str">
        <f t="shared" si="2"/>
        <v>061700管理，補助的経済活動を行う事業所（16化学工業） </v>
      </c>
      <c r="I17" s="29" t="s">
        <v>135</v>
      </c>
    </row>
    <row r="18" spans="1:9" ht="30.75" customHeight="1">
      <c r="A18" s="34" t="s">
        <v>136</v>
      </c>
      <c r="B18" s="31" t="s">
        <v>137</v>
      </c>
      <c r="C18" s="32" t="str">
        <f t="shared" si="0"/>
        <v>17　石油製品・石炭製品製造業</v>
      </c>
      <c r="D18" s="33" t="s">
        <v>138</v>
      </c>
      <c r="E18" s="31" t="s">
        <v>137</v>
      </c>
      <c r="F18" s="31" t="str">
        <f t="shared" si="1"/>
        <v>061900　石油製品・石炭製品製造業</v>
      </c>
      <c r="G18" s="34" t="s">
        <v>139</v>
      </c>
      <c r="H18" s="31" t="str">
        <f t="shared" si="2"/>
        <v>061900管理，補助的経済活動を行う事業所（17石油製品・石炭製品製造業） </v>
      </c>
      <c r="I18" s="29" t="s">
        <v>140</v>
      </c>
    </row>
    <row r="19" spans="1:9" ht="30.75" customHeight="1">
      <c r="A19" s="34" t="s">
        <v>141</v>
      </c>
      <c r="B19" s="31" t="s">
        <v>142</v>
      </c>
      <c r="C19" s="32" t="str">
        <f t="shared" si="0"/>
        <v>18　プラスチック製品製造業（別掲を除く）</v>
      </c>
      <c r="D19" s="33" t="s">
        <v>143</v>
      </c>
      <c r="E19" s="31" t="s">
        <v>142</v>
      </c>
      <c r="F19" s="31" t="str">
        <f t="shared" si="1"/>
        <v>062100　プラスチック製品製造業（別掲を除く）</v>
      </c>
      <c r="G19" s="34" t="s">
        <v>144</v>
      </c>
      <c r="H19" s="31" t="str">
        <f t="shared" si="2"/>
        <v>062100管理，補助的経済活動を行う事業所（18プラスチック製品製造業） </v>
      </c>
      <c r="I19" s="29" t="s">
        <v>145</v>
      </c>
    </row>
    <row r="20" spans="1:9" ht="30.75" customHeight="1">
      <c r="A20" s="34" t="s">
        <v>146</v>
      </c>
      <c r="B20" s="31" t="s">
        <v>147</v>
      </c>
      <c r="C20" s="32" t="str">
        <f t="shared" si="0"/>
        <v>19　ゴム製品製造業</v>
      </c>
      <c r="D20" s="33" t="s">
        <v>148</v>
      </c>
      <c r="E20" s="31" t="s">
        <v>147</v>
      </c>
      <c r="F20" s="31" t="str">
        <f t="shared" si="1"/>
        <v>062300　ゴム製品製造業</v>
      </c>
      <c r="G20" s="34" t="s">
        <v>149</v>
      </c>
      <c r="H20" s="31" t="str">
        <f t="shared" si="2"/>
        <v>062300管理，補助的経済活動を行う事業所（19ゴム製品製造業） </v>
      </c>
      <c r="I20" s="29" t="s">
        <v>150</v>
      </c>
    </row>
    <row r="21" spans="1:9" ht="30.75" customHeight="1">
      <c r="A21" s="34" t="s">
        <v>151</v>
      </c>
      <c r="B21" s="31" t="s">
        <v>152</v>
      </c>
      <c r="C21" s="32" t="str">
        <f t="shared" si="0"/>
        <v>20　なめし革・同製品・毛皮製造業</v>
      </c>
      <c r="D21" s="33" t="s">
        <v>153</v>
      </c>
      <c r="E21" s="31" t="s">
        <v>152</v>
      </c>
      <c r="F21" s="31" t="str">
        <f t="shared" si="1"/>
        <v>062500　なめし革・同製品・毛皮製造業</v>
      </c>
      <c r="G21" s="34" t="s">
        <v>154</v>
      </c>
      <c r="H21" s="31" t="str">
        <f t="shared" si="2"/>
        <v>062500管理，補助的経済活動を行う事業所（20なめし革・同製品・毛皮製造業） </v>
      </c>
      <c r="I21" s="29" t="s">
        <v>155</v>
      </c>
    </row>
    <row r="22" spans="1:9" ht="30.75" customHeight="1">
      <c r="A22" s="34" t="s">
        <v>156</v>
      </c>
      <c r="B22" s="31" t="s">
        <v>157</v>
      </c>
      <c r="C22" s="32" t="str">
        <f t="shared" si="0"/>
        <v>21　窯業・土石製品製造業</v>
      </c>
      <c r="D22" s="33" t="s">
        <v>158</v>
      </c>
      <c r="E22" s="31" t="s">
        <v>157</v>
      </c>
      <c r="F22" s="31" t="str">
        <f t="shared" si="1"/>
        <v>062700　窯業・土石製品製造業</v>
      </c>
      <c r="G22" s="34" t="s">
        <v>159</v>
      </c>
      <c r="H22" s="31" t="str">
        <f t="shared" si="2"/>
        <v>062700管理，補助的経済活動を行う事業所（21窯業・土石製品製造業） </v>
      </c>
      <c r="I22" s="29" t="s">
        <v>160</v>
      </c>
    </row>
    <row r="23" spans="1:9" ht="30.75" customHeight="1">
      <c r="A23" s="34" t="s">
        <v>161</v>
      </c>
      <c r="B23" s="31" t="s">
        <v>162</v>
      </c>
      <c r="C23" s="32" t="str">
        <f t="shared" si="0"/>
        <v>22　鉄鋼業</v>
      </c>
      <c r="D23" s="33" t="s">
        <v>163</v>
      </c>
      <c r="E23" s="31" t="s">
        <v>162</v>
      </c>
      <c r="F23" s="31" t="str">
        <f t="shared" si="1"/>
        <v>062900　鉄鋼業</v>
      </c>
      <c r="G23" s="34" t="s">
        <v>164</v>
      </c>
      <c r="H23" s="31" t="str">
        <f t="shared" si="2"/>
        <v>062900管理，補助的経済活動を行う事業所（22鉄鋼業） </v>
      </c>
      <c r="I23" s="29" t="s">
        <v>165</v>
      </c>
    </row>
    <row r="24" spans="1:9" ht="30.75" customHeight="1">
      <c r="A24" s="34" t="s">
        <v>166</v>
      </c>
      <c r="B24" s="31" t="s">
        <v>167</v>
      </c>
      <c r="C24" s="32" t="str">
        <f t="shared" si="0"/>
        <v>23　非鉄金属製造業</v>
      </c>
      <c r="D24" s="33" t="s">
        <v>168</v>
      </c>
      <c r="E24" s="31" t="s">
        <v>167</v>
      </c>
      <c r="F24" s="31" t="str">
        <f t="shared" si="1"/>
        <v>063100　非鉄金属製造業</v>
      </c>
      <c r="G24" s="34" t="s">
        <v>169</v>
      </c>
      <c r="H24" s="31" t="str">
        <f t="shared" si="2"/>
        <v>063100管理，補助的経済活動を行う事業所（23非鉄金属製造業） </v>
      </c>
      <c r="I24" s="29" t="s">
        <v>170</v>
      </c>
    </row>
    <row r="25" spans="1:9" ht="30.75" customHeight="1">
      <c r="A25" s="34" t="s">
        <v>171</v>
      </c>
      <c r="B25" s="31" t="s">
        <v>172</v>
      </c>
      <c r="C25" s="32" t="str">
        <f t="shared" si="0"/>
        <v>24　金属製品製造業</v>
      </c>
      <c r="D25" s="33" t="s">
        <v>173</v>
      </c>
      <c r="E25" s="31" t="s">
        <v>172</v>
      </c>
      <c r="F25" s="31" t="str">
        <f t="shared" si="1"/>
        <v>063300　金属製品製造業</v>
      </c>
      <c r="G25" s="34" t="s">
        <v>174</v>
      </c>
      <c r="H25" s="31" t="str">
        <f t="shared" si="2"/>
        <v>063300管理，補助的経済活動を行う事業所（24金属製品製造業） </v>
      </c>
      <c r="I25" s="29" t="s">
        <v>175</v>
      </c>
    </row>
    <row r="26" spans="1:9" ht="30.75" customHeight="1">
      <c r="A26" s="34" t="s">
        <v>176</v>
      </c>
      <c r="B26" s="31" t="s">
        <v>177</v>
      </c>
      <c r="C26" s="32" t="str">
        <f t="shared" si="0"/>
        <v>25　はん用機械器具製造業</v>
      </c>
      <c r="D26" s="33" t="s">
        <v>178</v>
      </c>
      <c r="E26" s="31" t="s">
        <v>179</v>
      </c>
      <c r="F26" s="31" t="str">
        <f t="shared" si="1"/>
        <v>063500一般機械器具製造業　 </v>
      </c>
      <c r="G26" s="34" t="s">
        <v>180</v>
      </c>
      <c r="H26" s="31" t="str">
        <f t="shared" si="2"/>
        <v>063500管理，補助的経済活動を行う事業所（25はん用機械器具製造業） </v>
      </c>
      <c r="I26" s="29" t="s">
        <v>181</v>
      </c>
    </row>
    <row r="27" spans="1:9" ht="30.75" customHeight="1">
      <c r="A27" s="34" t="s">
        <v>182</v>
      </c>
      <c r="B27" s="31" t="s">
        <v>183</v>
      </c>
      <c r="C27" s="32" t="str">
        <f t="shared" si="0"/>
        <v>26　生産用機械器具製造業</v>
      </c>
      <c r="D27" s="33" t="s">
        <v>178</v>
      </c>
      <c r="E27" s="31" t="s">
        <v>179</v>
      </c>
      <c r="F27" s="31" t="str">
        <f t="shared" si="1"/>
        <v>063500一般機械器具製造業　 </v>
      </c>
      <c r="G27" s="34" t="s">
        <v>184</v>
      </c>
      <c r="H27" s="31" t="str">
        <f t="shared" si="2"/>
        <v>063500管理，補助的経済活動を行う事業所（26生産用機械器具製造業） </v>
      </c>
      <c r="I27" s="29" t="s">
        <v>185</v>
      </c>
    </row>
    <row r="28" spans="1:9" ht="30.75" customHeight="1">
      <c r="A28" s="34" t="s">
        <v>186</v>
      </c>
      <c r="B28" s="31" t="s">
        <v>187</v>
      </c>
      <c r="C28" s="32" t="str">
        <f t="shared" si="0"/>
        <v>27　業務用機械器具製造業</v>
      </c>
      <c r="D28" s="33" t="s">
        <v>188</v>
      </c>
      <c r="E28" s="31" t="s">
        <v>189</v>
      </c>
      <c r="F28" s="31" t="str">
        <f t="shared" si="1"/>
        <v>064500精密機械器具製造業   　</v>
      </c>
      <c r="G28" s="34" t="s">
        <v>190</v>
      </c>
      <c r="H28" s="31" t="str">
        <f t="shared" si="2"/>
        <v>064500管理，補助的経済活動を行う事業所（27業務用機械器具製造業） </v>
      </c>
      <c r="I28" s="29" t="s">
        <v>191</v>
      </c>
    </row>
    <row r="29" spans="1:9" ht="30.75" customHeight="1">
      <c r="A29" s="34" t="s">
        <v>192</v>
      </c>
      <c r="B29" s="31" t="s">
        <v>193</v>
      </c>
      <c r="C29" s="32" t="str">
        <f t="shared" si="0"/>
        <v>28　電子部品・デバイス製造業</v>
      </c>
      <c r="D29" s="33" t="s">
        <v>194</v>
      </c>
      <c r="E29" s="31" t="s">
        <v>195</v>
      </c>
      <c r="F29" s="31" t="str">
        <f t="shared" si="1"/>
        <v>064100　電子部品・デバイス・電子回路製造業</v>
      </c>
      <c r="G29" s="34" t="s">
        <v>196</v>
      </c>
      <c r="H29" s="31" t="str">
        <f t="shared" si="2"/>
        <v>064100管理，補助的経済活動を行う事業所（28電子部品・デバイス・電子回路製造業） </v>
      </c>
      <c r="I29" s="29" t="s">
        <v>197</v>
      </c>
    </row>
    <row r="30" spans="1:9" ht="30.75" customHeight="1">
      <c r="A30" s="34" t="s">
        <v>198</v>
      </c>
      <c r="B30" s="31" t="s">
        <v>199</v>
      </c>
      <c r="C30" s="32" t="str">
        <f t="shared" si="0"/>
        <v>29　電気機械器具製造業</v>
      </c>
      <c r="D30" s="33" t="s">
        <v>200</v>
      </c>
      <c r="E30" s="31" t="s">
        <v>199</v>
      </c>
      <c r="F30" s="31" t="str">
        <f t="shared" si="1"/>
        <v>063700　電気機械器具製造業</v>
      </c>
      <c r="G30" s="34" t="s">
        <v>201</v>
      </c>
      <c r="H30" s="31" t="str">
        <f t="shared" si="2"/>
        <v>063700管理，補助的経済活動を行う事業所（29電気機械器具製造業） </v>
      </c>
      <c r="I30" s="29" t="s">
        <v>202</v>
      </c>
    </row>
    <row r="31" spans="1:9" ht="30.75" customHeight="1">
      <c r="A31" s="34" t="s">
        <v>203</v>
      </c>
      <c r="B31" s="31" t="s">
        <v>204</v>
      </c>
      <c r="C31" s="32" t="str">
        <f t="shared" si="0"/>
        <v>30　情報通信機械器具製造業</v>
      </c>
      <c r="D31" s="33" t="s">
        <v>205</v>
      </c>
      <c r="E31" s="31" t="s">
        <v>204</v>
      </c>
      <c r="F31" s="31" t="str">
        <f t="shared" si="1"/>
        <v>063900　情報通信機械器具製造業</v>
      </c>
      <c r="G31" s="34" t="s">
        <v>206</v>
      </c>
      <c r="H31" s="31" t="str">
        <f t="shared" si="2"/>
        <v>063900管理，補助的経済活動を行う事業所（30情報通信機械器具製造業） </v>
      </c>
      <c r="I31" s="29" t="s">
        <v>207</v>
      </c>
    </row>
    <row r="32" spans="1:9" ht="30.75" customHeight="1">
      <c r="A32" s="34" t="s">
        <v>208</v>
      </c>
      <c r="B32" s="31" t="s">
        <v>209</v>
      </c>
      <c r="C32" s="32" t="str">
        <f t="shared" si="0"/>
        <v>31　輸送用機械器具製造業</v>
      </c>
      <c r="D32" s="33" t="s">
        <v>210</v>
      </c>
      <c r="E32" s="31" t="s">
        <v>209</v>
      </c>
      <c r="F32" s="31" t="str">
        <f t="shared" si="1"/>
        <v>064300　輸送用機械器具製造業</v>
      </c>
      <c r="G32" s="34" t="s">
        <v>211</v>
      </c>
      <c r="H32" s="31" t="str">
        <f t="shared" si="2"/>
        <v>064300管理，補助的経済活動を行う事業所（31輸送用機械器具製造業） </v>
      </c>
      <c r="I32" s="29" t="s">
        <v>212</v>
      </c>
    </row>
    <row r="33" spans="1:9" ht="30.75" customHeight="1">
      <c r="A33" s="34" t="s">
        <v>213</v>
      </c>
      <c r="B33" s="31" t="s">
        <v>214</v>
      </c>
      <c r="C33" s="32" t="str">
        <f t="shared" si="0"/>
        <v>32　その他の製造業</v>
      </c>
      <c r="D33" s="33" t="s">
        <v>215</v>
      </c>
      <c r="E33" s="31" t="s">
        <v>214</v>
      </c>
      <c r="F33" s="31" t="str">
        <f t="shared" si="1"/>
        <v>064700　その他の製造業</v>
      </c>
      <c r="G33" s="34" t="s">
        <v>216</v>
      </c>
      <c r="H33" s="31" t="str">
        <f t="shared" si="2"/>
        <v>064700管理，補助的経済活動を行う事業所（32その他の製造業） </v>
      </c>
      <c r="I33" s="29" t="s">
        <v>217</v>
      </c>
    </row>
    <row r="34" spans="1:9" ht="30.75" customHeight="1">
      <c r="A34" s="34" t="s">
        <v>213</v>
      </c>
      <c r="B34" s="31" t="s">
        <v>214</v>
      </c>
      <c r="C34" s="32" t="str">
        <f t="shared" si="0"/>
        <v>32　その他の製造業</v>
      </c>
      <c r="D34" s="33" t="s">
        <v>215</v>
      </c>
      <c r="E34" s="31" t="s">
        <v>214</v>
      </c>
      <c r="F34" s="31" t="str">
        <f t="shared" si="1"/>
        <v>064700　その他の製造業</v>
      </c>
      <c r="G34" s="34" t="s">
        <v>218</v>
      </c>
      <c r="H34" s="31" t="str">
        <f t="shared" si="2"/>
        <v>064700漆器製造業 </v>
      </c>
      <c r="I34" s="29" t="s">
        <v>219</v>
      </c>
    </row>
    <row r="35" spans="1:9" ht="30.75" customHeight="1">
      <c r="A35" s="34" t="s">
        <v>220</v>
      </c>
      <c r="B35" s="31" t="s">
        <v>221</v>
      </c>
      <c r="C35" s="32" t="str">
        <f t="shared" si="0"/>
        <v>33　電気業</v>
      </c>
      <c r="D35" s="33" t="s">
        <v>222</v>
      </c>
      <c r="E35" s="31" t="s">
        <v>221</v>
      </c>
      <c r="F35" s="31" t="str">
        <f t="shared" si="1"/>
        <v>070000　電気業</v>
      </c>
      <c r="G35" s="34" t="s">
        <v>223</v>
      </c>
      <c r="H35" s="31" t="str">
        <f t="shared" si="2"/>
        <v>070000管理，補助的経済活動を行う事業所（33電気業） </v>
      </c>
      <c r="I35" s="29" t="s">
        <v>224</v>
      </c>
    </row>
    <row r="36" spans="1:9" ht="30.75" customHeight="1">
      <c r="A36" s="34" t="s">
        <v>225</v>
      </c>
      <c r="B36" s="31" t="s">
        <v>226</v>
      </c>
      <c r="C36" s="32" t="str">
        <f t="shared" si="0"/>
        <v>34　ガス業</v>
      </c>
      <c r="D36" s="33" t="s">
        <v>222</v>
      </c>
      <c r="E36" s="31" t="s">
        <v>226</v>
      </c>
      <c r="F36" s="31" t="str">
        <f t="shared" si="1"/>
        <v>070000　ガス業</v>
      </c>
      <c r="G36" s="34" t="s">
        <v>227</v>
      </c>
      <c r="H36" s="31" t="str">
        <f t="shared" si="2"/>
        <v>070000管理，補助的経済活動を行う事業所（34ガス業） </v>
      </c>
      <c r="I36" s="29" t="s">
        <v>228</v>
      </c>
    </row>
    <row r="37" spans="1:9" ht="30.75" customHeight="1">
      <c r="A37" s="34" t="s">
        <v>229</v>
      </c>
      <c r="B37" s="31" t="s">
        <v>230</v>
      </c>
      <c r="C37" s="32" t="str">
        <f t="shared" si="0"/>
        <v>35　熱供給業</v>
      </c>
      <c r="D37" s="33" t="s">
        <v>222</v>
      </c>
      <c r="E37" s="31" t="s">
        <v>230</v>
      </c>
      <c r="F37" s="31" t="str">
        <f t="shared" si="1"/>
        <v>070000　熱供給業</v>
      </c>
      <c r="G37" s="34" t="s">
        <v>231</v>
      </c>
      <c r="H37" s="31" t="str">
        <f t="shared" si="2"/>
        <v>070000管理，補助的経済活動を行う事業所（35熱供給業） </v>
      </c>
      <c r="I37" s="29" t="s">
        <v>232</v>
      </c>
    </row>
    <row r="38" spans="1:9" ht="30.75" customHeight="1">
      <c r="A38" s="34" t="s">
        <v>233</v>
      </c>
      <c r="B38" s="31" t="s">
        <v>234</v>
      </c>
      <c r="C38" s="32" t="str">
        <f t="shared" si="0"/>
        <v>36　水道業</v>
      </c>
      <c r="D38" s="33" t="s">
        <v>222</v>
      </c>
      <c r="E38" s="31" t="s">
        <v>234</v>
      </c>
      <c r="F38" s="31" t="str">
        <f t="shared" si="1"/>
        <v>070000　水道業</v>
      </c>
      <c r="G38" s="34" t="s">
        <v>235</v>
      </c>
      <c r="H38" s="31" t="str">
        <f t="shared" si="2"/>
        <v>070000管理，補助的経済活動を行う事業所（36水道業） </v>
      </c>
      <c r="I38" s="29" t="s">
        <v>236</v>
      </c>
    </row>
    <row r="39" spans="1:9" ht="30.75" customHeight="1">
      <c r="A39" s="34" t="s">
        <v>237</v>
      </c>
      <c r="B39" s="31" t="s">
        <v>238</v>
      </c>
      <c r="C39" s="32" t="str">
        <f t="shared" si="0"/>
        <v>37　通信業</v>
      </c>
      <c r="D39" s="33" t="s">
        <v>239</v>
      </c>
      <c r="E39" s="31" t="s">
        <v>238</v>
      </c>
      <c r="F39" s="31" t="str">
        <f t="shared" si="1"/>
        <v>080100　通信業</v>
      </c>
      <c r="G39" s="34" t="s">
        <v>240</v>
      </c>
      <c r="H39" s="31" t="str">
        <f t="shared" si="2"/>
        <v>080100管理，補助的経済活動を行う事業所（37通信業） </v>
      </c>
      <c r="I39" s="29" t="s">
        <v>241</v>
      </c>
    </row>
    <row r="40" spans="1:9" ht="30.75" customHeight="1">
      <c r="A40" s="34" t="s">
        <v>242</v>
      </c>
      <c r="B40" s="31" t="s">
        <v>243</v>
      </c>
      <c r="C40" s="32" t="str">
        <f t="shared" si="0"/>
        <v>38　放送業</v>
      </c>
      <c r="D40" s="33" t="s">
        <v>244</v>
      </c>
      <c r="E40" s="31" t="s">
        <v>243</v>
      </c>
      <c r="F40" s="31" t="str">
        <f t="shared" si="1"/>
        <v>080300　放送業</v>
      </c>
      <c r="G40" s="34" t="s">
        <v>245</v>
      </c>
      <c r="H40" s="31" t="str">
        <f t="shared" si="2"/>
        <v>080300管理，補助的経済活動を行う事業所（38放送業） </v>
      </c>
      <c r="I40" s="29" t="s">
        <v>246</v>
      </c>
    </row>
    <row r="41" spans="1:9" ht="30.75" customHeight="1">
      <c r="A41" s="34" t="s">
        <v>247</v>
      </c>
      <c r="B41" s="31" t="s">
        <v>248</v>
      </c>
      <c r="C41" s="32" t="str">
        <f t="shared" si="0"/>
        <v>39　情報サービス業</v>
      </c>
      <c r="D41" s="33" t="s">
        <v>249</v>
      </c>
      <c r="E41" s="31" t="s">
        <v>248</v>
      </c>
      <c r="F41" s="31" t="str">
        <f t="shared" si="1"/>
        <v>080500　情報サービス業</v>
      </c>
      <c r="G41" s="34" t="s">
        <v>250</v>
      </c>
      <c r="H41" s="31" t="str">
        <f t="shared" si="2"/>
        <v>080500管理，補助的経済活動を行う事業所（39情報サービス業） </v>
      </c>
      <c r="I41" s="29" t="s">
        <v>251</v>
      </c>
    </row>
    <row r="42" spans="1:9" ht="30.75" customHeight="1">
      <c r="A42" s="34" t="s">
        <v>252</v>
      </c>
      <c r="B42" s="31" t="s">
        <v>253</v>
      </c>
      <c r="C42" s="32" t="str">
        <f t="shared" si="0"/>
        <v>40　インターネット附随サービス業</v>
      </c>
      <c r="D42" s="33" t="s">
        <v>254</v>
      </c>
      <c r="E42" s="31" t="s">
        <v>253</v>
      </c>
      <c r="F42" s="31" t="str">
        <f t="shared" si="1"/>
        <v>080700　インターネット附随サービス業</v>
      </c>
      <c r="G42" s="34" t="s">
        <v>255</v>
      </c>
      <c r="H42" s="31" t="str">
        <f t="shared" si="2"/>
        <v>080700管理，補助的経済活動を行う事業所（40インターネット附随サービス業） </v>
      </c>
      <c r="I42" s="29" t="s">
        <v>256</v>
      </c>
    </row>
    <row r="43" spans="1:9" ht="30.75" customHeight="1">
      <c r="A43" s="34" t="s">
        <v>257</v>
      </c>
      <c r="B43" s="31" t="s">
        <v>258</v>
      </c>
      <c r="C43" s="32" t="str">
        <f t="shared" si="0"/>
        <v>41　映像・音声・文字情報制作業</v>
      </c>
      <c r="D43" s="33" t="s">
        <v>259</v>
      </c>
      <c r="E43" s="31" t="s">
        <v>258</v>
      </c>
      <c r="F43" s="31" t="str">
        <f t="shared" si="1"/>
        <v>080900　映像・音声・文字情報制作業</v>
      </c>
      <c r="G43" s="34" t="s">
        <v>260</v>
      </c>
      <c r="H43" s="31" t="str">
        <f t="shared" si="2"/>
        <v>080900管理，補助的経済活動を行う事業所（41映像・音声・文字情報制作業） </v>
      </c>
      <c r="I43" s="29" t="s">
        <v>261</v>
      </c>
    </row>
    <row r="44" spans="1:9" ht="30.75" customHeight="1">
      <c r="A44" s="34" t="s">
        <v>262</v>
      </c>
      <c r="B44" s="31" t="s">
        <v>263</v>
      </c>
      <c r="C44" s="32" t="str">
        <f t="shared" si="0"/>
        <v>42　鉄道業</v>
      </c>
      <c r="D44" s="33" t="s">
        <v>264</v>
      </c>
      <c r="E44" s="31" t="s">
        <v>263</v>
      </c>
      <c r="F44" s="31" t="str">
        <f t="shared" si="1"/>
        <v>090000　鉄道業</v>
      </c>
      <c r="G44" s="34" t="s">
        <v>265</v>
      </c>
      <c r="H44" s="31" t="str">
        <f t="shared" si="2"/>
        <v>090000管理，補助的経済活動を行う事業所（42鉄道業） </v>
      </c>
      <c r="I44" s="29" t="s">
        <v>266</v>
      </c>
    </row>
    <row r="45" spans="1:9" ht="30.75" customHeight="1">
      <c r="A45" s="34" t="s">
        <v>262</v>
      </c>
      <c r="B45" s="31" t="s">
        <v>263</v>
      </c>
      <c r="C45" s="32" t="str">
        <f t="shared" si="0"/>
        <v>42　鉄道業</v>
      </c>
      <c r="D45" s="33" t="s">
        <v>264</v>
      </c>
      <c r="E45" s="31" t="s">
        <v>263</v>
      </c>
      <c r="F45" s="31" t="str">
        <f t="shared" si="1"/>
        <v>090000　鉄道業</v>
      </c>
      <c r="G45" s="34" t="s">
        <v>267</v>
      </c>
      <c r="H45" s="31" t="str">
        <f t="shared" si="2"/>
        <v>090000鉄道業 </v>
      </c>
      <c r="I45" s="29" t="s">
        <v>268</v>
      </c>
    </row>
    <row r="46" spans="1:9" ht="30.75" customHeight="1">
      <c r="A46" s="34" t="s">
        <v>269</v>
      </c>
      <c r="B46" s="31" t="s">
        <v>270</v>
      </c>
      <c r="C46" s="32" t="str">
        <f t="shared" si="0"/>
        <v>43　道路旅客運送業</v>
      </c>
      <c r="D46" s="33" t="s">
        <v>264</v>
      </c>
      <c r="E46" s="31" t="s">
        <v>270</v>
      </c>
      <c r="F46" s="31" t="str">
        <f t="shared" si="1"/>
        <v>090000　道路旅客運送業</v>
      </c>
      <c r="G46" s="34" t="s">
        <v>271</v>
      </c>
      <c r="H46" s="31" t="str">
        <f t="shared" si="2"/>
        <v>090000管理，補助的経済活動を行う事業所（43道路旅客運送業） </v>
      </c>
      <c r="I46" s="29" t="s">
        <v>272</v>
      </c>
    </row>
    <row r="47" spans="1:9" ht="30.75" customHeight="1">
      <c r="A47" s="34" t="s">
        <v>273</v>
      </c>
      <c r="B47" s="31" t="s">
        <v>274</v>
      </c>
      <c r="C47" s="32" t="str">
        <f t="shared" si="0"/>
        <v>44　道路貨物運送業</v>
      </c>
      <c r="D47" s="33" t="s">
        <v>264</v>
      </c>
      <c r="E47" s="31" t="s">
        <v>274</v>
      </c>
      <c r="F47" s="31" t="str">
        <f t="shared" si="1"/>
        <v>090000　道路貨物運送業</v>
      </c>
      <c r="G47" s="34" t="s">
        <v>275</v>
      </c>
      <c r="H47" s="31" t="str">
        <f t="shared" si="2"/>
        <v>090000管理，補助的経済活動を行う事業所（44道路貨物運送業） </v>
      </c>
      <c r="I47" s="29" t="s">
        <v>276</v>
      </c>
    </row>
    <row r="48" spans="1:9" ht="30.75" customHeight="1">
      <c r="A48" s="34" t="s">
        <v>277</v>
      </c>
      <c r="B48" s="31" t="s">
        <v>278</v>
      </c>
      <c r="C48" s="32" t="str">
        <f t="shared" si="0"/>
        <v>45　水運業</v>
      </c>
      <c r="D48" s="33" t="s">
        <v>264</v>
      </c>
      <c r="E48" s="31" t="s">
        <v>278</v>
      </c>
      <c r="F48" s="31" t="str">
        <f t="shared" si="1"/>
        <v>090000　水運業</v>
      </c>
      <c r="G48" s="34" t="s">
        <v>279</v>
      </c>
      <c r="H48" s="31" t="str">
        <f t="shared" si="2"/>
        <v>090000管理，補助的経済活動を行う事業所（45水運業） </v>
      </c>
      <c r="I48" s="29" t="s">
        <v>280</v>
      </c>
    </row>
    <row r="49" spans="1:9" ht="30.75" customHeight="1">
      <c r="A49" s="34" t="s">
        <v>281</v>
      </c>
      <c r="B49" s="31" t="s">
        <v>282</v>
      </c>
      <c r="C49" s="32" t="str">
        <f t="shared" si="0"/>
        <v>46　航空運輸業</v>
      </c>
      <c r="D49" s="33" t="s">
        <v>264</v>
      </c>
      <c r="E49" s="31" t="s">
        <v>282</v>
      </c>
      <c r="F49" s="31" t="str">
        <f t="shared" si="1"/>
        <v>090000　航空運輸業</v>
      </c>
      <c r="G49" s="34" t="s">
        <v>283</v>
      </c>
      <c r="H49" s="31" t="str">
        <f t="shared" si="2"/>
        <v>090000管理，補助的経済活動を行う事業所（46航空運輸業） </v>
      </c>
      <c r="I49" s="29" t="s">
        <v>284</v>
      </c>
    </row>
    <row r="50" spans="1:9" ht="30.75" customHeight="1">
      <c r="A50" s="34" t="s">
        <v>285</v>
      </c>
      <c r="B50" s="31" t="s">
        <v>286</v>
      </c>
      <c r="C50" s="32" t="str">
        <f t="shared" si="0"/>
        <v>47　倉庫業</v>
      </c>
      <c r="D50" s="33" t="s">
        <v>264</v>
      </c>
      <c r="E50" s="31" t="s">
        <v>286</v>
      </c>
      <c r="F50" s="31" t="str">
        <f t="shared" si="1"/>
        <v>090000　倉庫業</v>
      </c>
      <c r="G50" s="34" t="s">
        <v>287</v>
      </c>
      <c r="H50" s="31" t="str">
        <f t="shared" si="2"/>
        <v>090000管理，補助的経済活動を行う事業所（47倉庫業） </v>
      </c>
      <c r="I50" s="29" t="s">
        <v>288</v>
      </c>
    </row>
    <row r="51" spans="1:9" ht="30.75" customHeight="1">
      <c r="A51" s="34" t="s">
        <v>289</v>
      </c>
      <c r="B51" s="31" t="s">
        <v>290</v>
      </c>
      <c r="C51" s="32" t="str">
        <f t="shared" si="0"/>
        <v>48　運輸に附帯するサービス業</v>
      </c>
      <c r="D51" s="33" t="s">
        <v>264</v>
      </c>
      <c r="E51" s="31" t="s">
        <v>290</v>
      </c>
      <c r="F51" s="31" t="str">
        <f t="shared" si="1"/>
        <v>090000　運輸に附帯するサービス業</v>
      </c>
      <c r="G51" s="34" t="s">
        <v>291</v>
      </c>
      <c r="H51" s="31" t="str">
        <f t="shared" si="2"/>
        <v>090000管理，補助的経済活動を行う事業所（48運輸に附帯するサービス業） </v>
      </c>
      <c r="I51" s="29" t="s">
        <v>292</v>
      </c>
    </row>
    <row r="52" spans="1:9" ht="30.75" customHeight="1">
      <c r="A52" s="34" t="s">
        <v>293</v>
      </c>
      <c r="B52" s="31" t="s">
        <v>294</v>
      </c>
      <c r="C52" s="32" t="str">
        <f t="shared" si="0"/>
        <v>49　郵便業（信書便事業を含む）</v>
      </c>
      <c r="D52" s="33" t="s">
        <v>264</v>
      </c>
      <c r="E52" s="31" t="s">
        <v>294</v>
      </c>
      <c r="F52" s="31" t="str">
        <f t="shared" si="1"/>
        <v>090000　郵便業（信書便事業を含む）</v>
      </c>
      <c r="G52" s="34" t="s">
        <v>295</v>
      </c>
      <c r="H52" s="31" t="str">
        <f t="shared" si="2"/>
        <v>090000管理，補助的経済活動を行う事業所（49郵便業） </v>
      </c>
      <c r="I52" s="29" t="s">
        <v>296</v>
      </c>
    </row>
    <row r="53" spans="1:9" ht="30.75" customHeight="1">
      <c r="A53" s="34" t="s">
        <v>297</v>
      </c>
      <c r="B53" s="31" t="s">
        <v>298</v>
      </c>
      <c r="C53" s="32" t="str">
        <f t="shared" si="0"/>
        <v>50　各種商品卸売業</v>
      </c>
      <c r="D53" s="35" t="s">
        <v>299</v>
      </c>
      <c r="E53" s="31" t="s">
        <v>298</v>
      </c>
      <c r="F53" s="31" t="str">
        <f t="shared" si="1"/>
        <v>100100　各種商品卸売業</v>
      </c>
      <c r="G53" s="34" t="s">
        <v>300</v>
      </c>
      <c r="H53" s="31" t="str">
        <f t="shared" si="2"/>
        <v>100100管理，補助的経済活動を行う事業所（50各種商品卸売業） </v>
      </c>
      <c r="I53" s="29" t="s">
        <v>301</v>
      </c>
    </row>
    <row r="54" spans="1:9" ht="30.75" customHeight="1">
      <c r="A54" s="34" t="s">
        <v>302</v>
      </c>
      <c r="B54" s="31" t="s">
        <v>303</v>
      </c>
      <c r="C54" s="32" t="str">
        <f t="shared" si="0"/>
        <v>51　繊維・衣服等卸売業</v>
      </c>
      <c r="D54" s="35" t="s">
        <v>304</v>
      </c>
      <c r="E54" s="31" t="s">
        <v>303</v>
      </c>
      <c r="F54" s="31" t="str">
        <f t="shared" si="1"/>
        <v>100300　繊維・衣服等卸売業</v>
      </c>
      <c r="G54" s="34" t="s">
        <v>305</v>
      </c>
      <c r="H54" s="31" t="str">
        <f t="shared" si="2"/>
        <v>100300管理，補助的経済活動を行う事業所（51繊維・衣服等卸売業） </v>
      </c>
      <c r="I54" s="29" t="s">
        <v>306</v>
      </c>
    </row>
    <row r="55" spans="1:9" ht="30.75" customHeight="1">
      <c r="A55" s="34" t="s">
        <v>307</v>
      </c>
      <c r="B55" s="31" t="s">
        <v>308</v>
      </c>
      <c r="C55" s="32" t="str">
        <f t="shared" si="0"/>
        <v>52　飲食料品卸売業</v>
      </c>
      <c r="D55" s="35" t="s">
        <v>309</v>
      </c>
      <c r="E55" s="31" t="s">
        <v>308</v>
      </c>
      <c r="F55" s="31" t="str">
        <f t="shared" si="1"/>
        <v>100500　飲食料品卸売業</v>
      </c>
      <c r="G55" s="34" t="s">
        <v>310</v>
      </c>
      <c r="H55" s="31" t="str">
        <f t="shared" si="2"/>
        <v>100500管理，補助的経済活動を行う事業所（52飲食料品卸売業） </v>
      </c>
      <c r="I55" s="29" t="s">
        <v>311</v>
      </c>
    </row>
    <row r="56" spans="1:9" ht="30.75" customHeight="1">
      <c r="A56" s="34" t="s">
        <v>312</v>
      </c>
      <c r="B56" s="31" t="s">
        <v>313</v>
      </c>
      <c r="C56" s="32" t="str">
        <f t="shared" si="0"/>
        <v>53　建築材料，鉱物・金属材料等卸売業</v>
      </c>
      <c r="D56" s="35" t="s">
        <v>314</v>
      </c>
      <c r="E56" s="31" t="s">
        <v>313</v>
      </c>
      <c r="F56" s="31" t="str">
        <f t="shared" si="1"/>
        <v>100700　建築材料，鉱物・金属材料等卸売業</v>
      </c>
      <c r="G56" s="34" t="s">
        <v>315</v>
      </c>
      <c r="H56" s="31" t="str">
        <f t="shared" si="2"/>
        <v>100700管理，補助的経済活動を行う事業所（53建築材料，鉱物・金属材料等卸売業） </v>
      </c>
      <c r="I56" s="29" t="s">
        <v>316</v>
      </c>
    </row>
    <row r="57" spans="1:9" ht="30.75" customHeight="1">
      <c r="A57" s="34" t="s">
        <v>317</v>
      </c>
      <c r="B57" s="31" t="s">
        <v>318</v>
      </c>
      <c r="C57" s="32" t="str">
        <f t="shared" si="0"/>
        <v>54　機械器具卸売業</v>
      </c>
      <c r="D57" s="35" t="s">
        <v>319</v>
      </c>
      <c r="E57" s="31" t="s">
        <v>318</v>
      </c>
      <c r="F57" s="31" t="str">
        <f t="shared" si="1"/>
        <v>100900　機械器具卸売業</v>
      </c>
      <c r="G57" s="34" t="s">
        <v>320</v>
      </c>
      <c r="H57" s="31" t="str">
        <f t="shared" si="2"/>
        <v>100900管理，補助的経済活動を行う事業所（54機械器具卸売業） </v>
      </c>
      <c r="I57" s="29" t="s">
        <v>321</v>
      </c>
    </row>
    <row r="58" spans="1:9" ht="30.75" customHeight="1">
      <c r="A58" s="34" t="s">
        <v>322</v>
      </c>
      <c r="B58" s="31" t="s">
        <v>323</v>
      </c>
      <c r="C58" s="32" t="str">
        <f t="shared" si="0"/>
        <v>55　その他の卸売業</v>
      </c>
      <c r="D58" s="35" t="s">
        <v>324</v>
      </c>
      <c r="E58" s="31" t="s">
        <v>323</v>
      </c>
      <c r="F58" s="31" t="str">
        <f t="shared" si="1"/>
        <v>101100　その他の卸売業</v>
      </c>
      <c r="G58" s="34" t="s">
        <v>325</v>
      </c>
      <c r="H58" s="31" t="str">
        <f t="shared" si="2"/>
        <v>101100管理，補助的経済活動を行う事業所（55その他の卸売業） </v>
      </c>
      <c r="I58" s="29" t="s">
        <v>326</v>
      </c>
    </row>
    <row r="59" spans="1:9" ht="30.75" customHeight="1">
      <c r="A59" s="34" t="s">
        <v>327</v>
      </c>
      <c r="B59" s="31" t="s">
        <v>328</v>
      </c>
      <c r="C59" s="32" t="str">
        <f t="shared" si="0"/>
        <v>56　各種商品小売業</v>
      </c>
      <c r="D59" s="35" t="s">
        <v>329</v>
      </c>
      <c r="E59" s="31" t="s">
        <v>328</v>
      </c>
      <c r="F59" s="31" t="str">
        <f t="shared" si="1"/>
        <v>105100　各種商品小売業</v>
      </c>
      <c r="G59" s="34" t="s">
        <v>330</v>
      </c>
      <c r="H59" s="31" t="str">
        <f t="shared" si="2"/>
        <v>105100管理，補助的経済活動を行う事業所（56各種商品小売業） </v>
      </c>
      <c r="I59" s="29" t="s">
        <v>331</v>
      </c>
    </row>
    <row r="60" spans="1:9" ht="30.75" customHeight="1">
      <c r="A60" s="34" t="s">
        <v>332</v>
      </c>
      <c r="B60" s="31" t="s">
        <v>333</v>
      </c>
      <c r="C60" s="32" t="str">
        <f t="shared" si="0"/>
        <v>57　織物・衣服・身の回り品小売業</v>
      </c>
      <c r="D60" s="35" t="s">
        <v>334</v>
      </c>
      <c r="E60" s="31" t="s">
        <v>333</v>
      </c>
      <c r="F60" s="31" t="str">
        <f t="shared" si="1"/>
        <v>105300　織物・衣服・身の回り品小売業</v>
      </c>
      <c r="G60" s="34" t="s">
        <v>335</v>
      </c>
      <c r="H60" s="31" t="str">
        <f t="shared" si="2"/>
        <v>105300管理，補助的経済活動を行う事業所（57織物・衣服・身の回り品小売業） </v>
      </c>
      <c r="I60" s="29" t="s">
        <v>336</v>
      </c>
    </row>
    <row r="61" spans="1:9" ht="30.75" customHeight="1">
      <c r="A61" s="34" t="s">
        <v>337</v>
      </c>
      <c r="B61" s="31" t="s">
        <v>338</v>
      </c>
      <c r="C61" s="32" t="str">
        <f t="shared" si="0"/>
        <v>58　飲食料品小売業</v>
      </c>
      <c r="D61" s="35" t="s">
        <v>339</v>
      </c>
      <c r="E61" s="31" t="s">
        <v>338</v>
      </c>
      <c r="F61" s="31" t="str">
        <f t="shared" si="1"/>
        <v>105500　飲食料品小売業</v>
      </c>
      <c r="G61" s="34" t="s">
        <v>340</v>
      </c>
      <c r="H61" s="31" t="str">
        <f t="shared" si="2"/>
        <v>105500管理，補助的経済活動を行う事業所（58飲食料品小売業） </v>
      </c>
      <c r="I61" s="29" t="s">
        <v>341</v>
      </c>
    </row>
    <row r="62" spans="1:9" ht="30.75" customHeight="1">
      <c r="A62" s="34" t="s">
        <v>342</v>
      </c>
      <c r="B62" s="31" t="s">
        <v>343</v>
      </c>
      <c r="C62" s="32" t="str">
        <f t="shared" si="0"/>
        <v>59　機械器具小売業</v>
      </c>
      <c r="D62" s="35" t="s">
        <v>344</v>
      </c>
      <c r="E62" s="31" t="s">
        <v>345</v>
      </c>
      <c r="F62" s="31" t="str">
        <f t="shared" si="1"/>
        <v>105700自動車・自転車小売業   　　　　</v>
      </c>
      <c r="G62" s="34" t="s">
        <v>346</v>
      </c>
      <c r="H62" s="31" t="str">
        <f t="shared" si="2"/>
        <v>105700管理，補助的経済活動を行う事業所（59機械器具小売業） </v>
      </c>
      <c r="I62" s="29" t="s">
        <v>347</v>
      </c>
    </row>
    <row r="63" spans="1:9" ht="30.75" customHeight="1">
      <c r="A63" s="34" t="s">
        <v>348</v>
      </c>
      <c r="B63" s="31" t="s">
        <v>349</v>
      </c>
      <c r="C63" s="32" t="str">
        <f t="shared" si="0"/>
        <v>60　その他の小売業</v>
      </c>
      <c r="D63" s="35" t="s">
        <v>350</v>
      </c>
      <c r="E63" s="31" t="s">
        <v>351</v>
      </c>
      <c r="F63" s="31" t="str">
        <f t="shared" si="1"/>
        <v>105900家具・じゅう器・機械器具小売業</v>
      </c>
      <c r="G63" s="34" t="s">
        <v>352</v>
      </c>
      <c r="H63" s="31" t="str">
        <f t="shared" si="2"/>
        <v>105900管理，補助的経済活動を行う事業所（60その他の小売業） </v>
      </c>
      <c r="I63" s="29" t="s">
        <v>353</v>
      </c>
    </row>
    <row r="64" spans="1:9" ht="30.75" customHeight="1">
      <c r="A64" s="34" t="s">
        <v>354</v>
      </c>
      <c r="B64" s="31" t="s">
        <v>355</v>
      </c>
      <c r="C64" s="32" t="str">
        <f t="shared" si="0"/>
        <v>61　無店舗小売業</v>
      </c>
      <c r="D64" s="35" t="s">
        <v>356</v>
      </c>
      <c r="E64" s="31" t="s">
        <v>349</v>
      </c>
      <c r="F64" s="31" t="str">
        <f t="shared" si="1"/>
        <v>106100　その他の小売業</v>
      </c>
      <c r="G64" s="34" t="s">
        <v>357</v>
      </c>
      <c r="H64" s="31" t="str">
        <f t="shared" si="2"/>
        <v>106100管理，補助的経済活動を行う事業所（61無店舗小売業） </v>
      </c>
      <c r="I64" s="29" t="s">
        <v>358</v>
      </c>
    </row>
    <row r="65" spans="1:9" ht="30.75" customHeight="1">
      <c r="A65" s="34" t="s">
        <v>359</v>
      </c>
      <c r="B65" s="31" t="s">
        <v>360</v>
      </c>
      <c r="C65" s="32" t="str">
        <f t="shared" si="0"/>
        <v>62　銀行業</v>
      </c>
      <c r="D65" s="35" t="s">
        <v>361</v>
      </c>
      <c r="E65" s="31" t="s">
        <v>360</v>
      </c>
      <c r="F65" s="31" t="str">
        <f t="shared" si="1"/>
        <v>110000　銀行業</v>
      </c>
      <c r="G65" s="34" t="s">
        <v>362</v>
      </c>
      <c r="H65" s="31" t="str">
        <f t="shared" si="2"/>
        <v>110000管理，補助的経済活動を行う事業所（62銀行業） </v>
      </c>
      <c r="I65" s="29" t="s">
        <v>363</v>
      </c>
    </row>
    <row r="66" spans="1:9" ht="30.75" customHeight="1">
      <c r="A66" s="34" t="s">
        <v>364</v>
      </c>
      <c r="B66" s="31" t="s">
        <v>365</v>
      </c>
      <c r="C66" s="32" t="str">
        <f t="shared" si="0"/>
        <v>63　協同組織金融業</v>
      </c>
      <c r="D66" s="35" t="s">
        <v>361</v>
      </c>
      <c r="E66" s="31" t="s">
        <v>365</v>
      </c>
      <c r="F66" s="31" t="str">
        <f t="shared" si="1"/>
        <v>110000　協同組織金融業</v>
      </c>
      <c r="G66" s="34" t="s">
        <v>366</v>
      </c>
      <c r="H66" s="31" t="str">
        <f t="shared" si="2"/>
        <v>110000管理，補助的経済活動を行う事業所（63協同組織金融業） </v>
      </c>
      <c r="I66" s="29" t="s">
        <v>367</v>
      </c>
    </row>
    <row r="67" spans="1:9" ht="30.75" customHeight="1">
      <c r="A67" s="34">
        <v>64</v>
      </c>
      <c r="B67" s="31" t="s">
        <v>368</v>
      </c>
      <c r="C67" s="32" t="str">
        <f aca="true" t="shared" si="3" ref="C67:C97">CONCATENATE(A67,B67)</f>
        <v>64　貸金業，クレジットカード業等非預金信用機関</v>
      </c>
      <c r="D67" s="35" t="s">
        <v>361</v>
      </c>
      <c r="E67" s="31" t="s">
        <v>368</v>
      </c>
      <c r="F67" s="31" t="str">
        <f aca="true" t="shared" si="4" ref="F67:F97">CONCATENATE(D67,E67)</f>
        <v>110000　貸金業，クレジットカード業等非預金信用機関</v>
      </c>
      <c r="G67" s="34" t="s">
        <v>369</v>
      </c>
      <c r="H67" s="31" t="str">
        <f aca="true" t="shared" si="5" ref="H67:H97">CONCATENATE(D67,I67)</f>
        <v>110000管理，補助的経済活動を行う事業所（64貸金業，クレジットカード業等非預金信用機関） </v>
      </c>
      <c r="I67" s="29" t="s">
        <v>370</v>
      </c>
    </row>
    <row r="68" spans="1:9" ht="30.75" customHeight="1">
      <c r="A68" s="34" t="s">
        <v>371</v>
      </c>
      <c r="B68" s="31" t="s">
        <v>372</v>
      </c>
      <c r="C68" s="32" t="str">
        <f t="shared" si="3"/>
        <v>65　金融商品取引業，商品先物取引業</v>
      </c>
      <c r="D68" s="35" t="s">
        <v>361</v>
      </c>
      <c r="E68" s="31" t="s">
        <v>372</v>
      </c>
      <c r="F68" s="31" t="str">
        <f t="shared" si="4"/>
        <v>110000　金融商品取引業，商品先物取引業</v>
      </c>
      <c r="G68" s="34" t="s">
        <v>373</v>
      </c>
      <c r="H68" s="31" t="str">
        <f t="shared" si="5"/>
        <v>110000管理，補助的経済活動を行う事業所（65金融商品取引業，商品先物取引業） </v>
      </c>
      <c r="I68" s="29" t="s">
        <v>374</v>
      </c>
    </row>
    <row r="69" spans="1:9" ht="30.75" customHeight="1">
      <c r="A69" s="34" t="s">
        <v>375</v>
      </c>
      <c r="B69" s="31" t="s">
        <v>376</v>
      </c>
      <c r="C69" s="32" t="str">
        <f t="shared" si="3"/>
        <v>66　補助的金融業等</v>
      </c>
      <c r="D69" s="35" t="s">
        <v>361</v>
      </c>
      <c r="E69" s="31" t="s">
        <v>376</v>
      </c>
      <c r="F69" s="31" t="str">
        <f t="shared" si="4"/>
        <v>110000　補助的金融業等</v>
      </c>
      <c r="G69" s="34" t="s">
        <v>377</v>
      </c>
      <c r="H69" s="31" t="str">
        <f t="shared" si="5"/>
        <v>110000管理，補助的経済活動を行う事業所（66補助的金融業等） </v>
      </c>
      <c r="I69" s="29" t="s">
        <v>378</v>
      </c>
    </row>
    <row r="70" spans="1:9" ht="30.75" customHeight="1">
      <c r="A70" s="34" t="s">
        <v>379</v>
      </c>
      <c r="B70" s="31" t="s">
        <v>380</v>
      </c>
      <c r="C70" s="32" t="str">
        <f t="shared" si="3"/>
        <v>67　保険業（保険媒介代理業，保険サービス業を含む）</v>
      </c>
      <c r="D70" s="35" t="s">
        <v>361</v>
      </c>
      <c r="E70" s="31" t="s">
        <v>380</v>
      </c>
      <c r="F70" s="31" t="str">
        <f t="shared" si="4"/>
        <v>110000　保険業（保険媒介代理業，保険サービス業を含む）</v>
      </c>
      <c r="G70" s="34" t="s">
        <v>381</v>
      </c>
      <c r="H70" s="31" t="str">
        <f t="shared" si="5"/>
        <v>110000管理，補助的経済活動を行う事業所（67保険業） </v>
      </c>
      <c r="I70" s="29" t="s">
        <v>382</v>
      </c>
    </row>
    <row r="71" spans="1:9" ht="30.75" customHeight="1">
      <c r="A71" s="34" t="s">
        <v>383</v>
      </c>
      <c r="B71" s="31" t="s">
        <v>384</v>
      </c>
      <c r="C71" s="32" t="str">
        <f t="shared" si="3"/>
        <v>68　不動産取引業</v>
      </c>
      <c r="D71" s="35" t="s">
        <v>385</v>
      </c>
      <c r="E71" s="31" t="s">
        <v>384</v>
      </c>
      <c r="F71" s="31" t="str">
        <f t="shared" si="4"/>
        <v>120000　不動産取引業</v>
      </c>
      <c r="G71" s="34" t="s">
        <v>386</v>
      </c>
      <c r="H71" s="31" t="str">
        <f t="shared" si="5"/>
        <v>120000管理，補助的経済活動を行う事業所（68不動産取引業） </v>
      </c>
      <c r="I71" s="29" t="s">
        <v>387</v>
      </c>
    </row>
    <row r="72" spans="1:9" ht="30.75" customHeight="1">
      <c r="A72" s="34" t="s">
        <v>388</v>
      </c>
      <c r="B72" s="31" t="s">
        <v>389</v>
      </c>
      <c r="C72" s="32" t="str">
        <f t="shared" si="3"/>
        <v>69　不動産賃貸業・管理業</v>
      </c>
      <c r="D72" s="35" t="s">
        <v>385</v>
      </c>
      <c r="E72" s="31" t="s">
        <v>389</v>
      </c>
      <c r="F72" s="31" t="str">
        <f t="shared" si="4"/>
        <v>120000　不動産賃貸業・管理業</v>
      </c>
      <c r="G72" s="34" t="s">
        <v>390</v>
      </c>
      <c r="H72" s="31" t="str">
        <f t="shared" si="5"/>
        <v>120000管理，補助的経済活動を行う事業所（69不動産賃貸業・管理業） </v>
      </c>
      <c r="I72" s="29" t="s">
        <v>391</v>
      </c>
    </row>
    <row r="73" spans="1:9" ht="30.75" customHeight="1">
      <c r="A73" s="34" t="s">
        <v>392</v>
      </c>
      <c r="B73" s="31" t="s">
        <v>393</v>
      </c>
      <c r="C73" s="32" t="str">
        <f t="shared" si="3"/>
        <v>70　物品賃貸業</v>
      </c>
      <c r="D73" s="35" t="s">
        <v>394</v>
      </c>
      <c r="E73" s="31" t="s">
        <v>393</v>
      </c>
      <c r="F73" s="31" t="str">
        <f t="shared" si="4"/>
        <v>171700　物品賃貸業</v>
      </c>
      <c r="G73" s="34" t="s">
        <v>395</v>
      </c>
      <c r="H73" s="31" t="str">
        <f t="shared" si="5"/>
        <v>171700管理，補助的経済活動を行う事業所（70物品賃貸業） </v>
      </c>
      <c r="I73" s="29" t="s">
        <v>396</v>
      </c>
    </row>
    <row r="74" spans="1:9" ht="30.75" customHeight="1">
      <c r="A74" s="34" t="s">
        <v>397</v>
      </c>
      <c r="B74" s="31" t="s">
        <v>398</v>
      </c>
      <c r="C74" s="32" t="str">
        <f t="shared" si="3"/>
        <v>71　学術・開発研究機関</v>
      </c>
      <c r="D74" s="35" t="s">
        <v>399</v>
      </c>
      <c r="E74" s="31" t="s">
        <v>398</v>
      </c>
      <c r="F74" s="31" t="str">
        <f t="shared" si="4"/>
        <v>170300　学術・開発研究機関</v>
      </c>
      <c r="G74" s="34" t="s">
        <v>400</v>
      </c>
      <c r="H74" s="31" t="str">
        <f t="shared" si="5"/>
        <v>170300管理，補助的経済活動を行う事業所（71学術・開発研究機関） </v>
      </c>
      <c r="I74" s="29" t="s">
        <v>401</v>
      </c>
    </row>
    <row r="75" spans="1:9" ht="30.75" customHeight="1">
      <c r="A75" s="34">
        <v>72</v>
      </c>
      <c r="B75" s="36" t="s">
        <v>402</v>
      </c>
      <c r="C75" s="32" t="str">
        <f t="shared" si="3"/>
        <v>72専門サービス業</v>
      </c>
      <c r="D75" s="35" t="s">
        <v>403</v>
      </c>
      <c r="E75" s="31" t="s">
        <v>402</v>
      </c>
      <c r="F75" s="31" t="str">
        <f t="shared" si="4"/>
        <v>170100専門サービス業</v>
      </c>
      <c r="G75" s="34" t="s">
        <v>404</v>
      </c>
      <c r="H75" s="31" t="str">
        <f t="shared" si="5"/>
        <v>170100管理，補助的経済活動を行う事業所（72専門サービス業） </v>
      </c>
      <c r="I75" s="29" t="s">
        <v>405</v>
      </c>
    </row>
    <row r="76" spans="1:9" ht="30.75" customHeight="1">
      <c r="A76" s="34">
        <v>73</v>
      </c>
      <c r="B76" s="36" t="s">
        <v>406</v>
      </c>
      <c r="C76" s="32" t="str">
        <f t="shared" si="3"/>
        <v>73広告業</v>
      </c>
      <c r="D76" s="35" t="s">
        <v>407</v>
      </c>
      <c r="E76" s="31" t="s">
        <v>408</v>
      </c>
      <c r="F76" s="31" t="str">
        <f t="shared" si="4"/>
        <v>171900　広告業</v>
      </c>
      <c r="G76" s="34" t="s">
        <v>409</v>
      </c>
      <c r="H76" s="31" t="str">
        <f t="shared" si="5"/>
        <v>171900管理，補助的経済活動を行う事業所（73広告業） </v>
      </c>
      <c r="I76" s="29" t="s">
        <v>410</v>
      </c>
    </row>
    <row r="77" spans="1:9" ht="30.75" customHeight="1">
      <c r="A77" s="34" t="s">
        <v>411</v>
      </c>
      <c r="B77" s="31" t="s">
        <v>412</v>
      </c>
      <c r="C77" s="32" t="str">
        <f t="shared" si="3"/>
        <v>74　技術サービス業（他に分類されないもの）</v>
      </c>
      <c r="D77" s="35" t="s">
        <v>403</v>
      </c>
      <c r="E77" s="36" t="s">
        <v>413</v>
      </c>
      <c r="F77" s="31" t="str">
        <f t="shared" si="4"/>
        <v>170100専門サービス業</v>
      </c>
      <c r="G77" s="34" t="s">
        <v>414</v>
      </c>
      <c r="H77" s="31" t="str">
        <f t="shared" si="5"/>
        <v>170100管理，補助的経済活動を行う事業所（74技術サービス業） </v>
      </c>
      <c r="I77" s="29" t="s">
        <v>415</v>
      </c>
    </row>
    <row r="78" spans="1:9" ht="30.75" customHeight="1">
      <c r="A78" s="34">
        <v>75</v>
      </c>
      <c r="B78" s="31" t="s">
        <v>416</v>
      </c>
      <c r="C78" s="32" t="str">
        <f t="shared" si="3"/>
        <v>75　宿泊業</v>
      </c>
      <c r="D78" s="35" t="s">
        <v>417</v>
      </c>
      <c r="E78" s="31" t="s">
        <v>416</v>
      </c>
      <c r="F78" s="31" t="str">
        <f t="shared" si="4"/>
        <v>130500　宿泊業</v>
      </c>
      <c r="G78" s="34" t="s">
        <v>418</v>
      </c>
      <c r="H78" s="31" t="str">
        <f t="shared" si="5"/>
        <v>130500管理，補助的経済活動を行う事業所（75宿泊業） </v>
      </c>
      <c r="I78" s="29" t="s">
        <v>419</v>
      </c>
    </row>
    <row r="79" spans="1:9" ht="30.75" customHeight="1">
      <c r="A79" s="34">
        <v>76</v>
      </c>
      <c r="B79" s="31" t="s">
        <v>420</v>
      </c>
      <c r="C79" s="32" t="str">
        <f t="shared" si="3"/>
        <v>76　飲食店</v>
      </c>
      <c r="D79" s="35" t="s">
        <v>421</v>
      </c>
      <c r="E79" s="31" t="s">
        <v>422</v>
      </c>
      <c r="F79" s="31" t="str">
        <f t="shared" si="4"/>
        <v>130100一般飲食店　</v>
      </c>
      <c r="G79" s="34" t="s">
        <v>423</v>
      </c>
      <c r="H79" s="31" t="str">
        <f t="shared" si="5"/>
        <v>130100管理，補助的経済活動を行う事業所（76飲食店） </v>
      </c>
      <c r="I79" s="29" t="s">
        <v>424</v>
      </c>
    </row>
    <row r="80" spans="1:9" ht="30.75" customHeight="1">
      <c r="A80" s="34" t="s">
        <v>425</v>
      </c>
      <c r="B80" s="31" t="s">
        <v>426</v>
      </c>
      <c r="C80" s="32" t="str">
        <f t="shared" si="3"/>
        <v>77　持ち帰り・配達飲食サービス業</v>
      </c>
      <c r="D80" s="35" t="s">
        <v>339</v>
      </c>
      <c r="E80" s="31" t="s">
        <v>338</v>
      </c>
      <c r="F80" s="31" t="str">
        <f t="shared" si="4"/>
        <v>105500　飲食料品小売業</v>
      </c>
      <c r="G80" s="34" t="s">
        <v>427</v>
      </c>
      <c r="H80" s="31" t="str">
        <f t="shared" si="5"/>
        <v>105500管理，補助的経済活動を行う事業所（77持ち帰り・配達飲食サービス業） </v>
      </c>
      <c r="I80" s="29" t="s">
        <v>428</v>
      </c>
    </row>
    <row r="81" spans="1:9" ht="30.75" customHeight="1">
      <c r="A81" s="34">
        <v>78</v>
      </c>
      <c r="B81" s="31" t="s">
        <v>429</v>
      </c>
      <c r="C81" s="32" t="str">
        <f t="shared" si="3"/>
        <v>78　洗濯・理容・美容・浴場業</v>
      </c>
      <c r="D81" s="35" t="s">
        <v>430</v>
      </c>
      <c r="E81" s="31" t="s">
        <v>429</v>
      </c>
      <c r="F81" s="31" t="str">
        <f t="shared" si="4"/>
        <v>170500　洗濯・理容・美容・浴場業</v>
      </c>
      <c r="G81" s="34" t="s">
        <v>431</v>
      </c>
      <c r="H81" s="31" t="str">
        <f t="shared" si="5"/>
        <v>170500管理，補助的経済活動を行う事業所（78洗濯・理容・美容・浴場業） </v>
      </c>
      <c r="I81" s="29" t="s">
        <v>432</v>
      </c>
    </row>
    <row r="82" spans="1:9" ht="30.75" customHeight="1">
      <c r="A82" s="34" t="s">
        <v>433</v>
      </c>
      <c r="B82" s="31" t="s">
        <v>434</v>
      </c>
      <c r="C82" s="32" t="str">
        <f t="shared" si="3"/>
        <v>79　その他の生活関連サービス業</v>
      </c>
      <c r="D82" s="35" t="s">
        <v>435</v>
      </c>
      <c r="E82" s="31" t="s">
        <v>434</v>
      </c>
      <c r="F82" s="31" t="str">
        <f t="shared" si="4"/>
        <v>170700　その他の生活関連サービス業</v>
      </c>
      <c r="G82" s="34" t="s">
        <v>436</v>
      </c>
      <c r="H82" s="31" t="str">
        <f t="shared" si="5"/>
        <v>170700管理，補助的経済活動を行う事業所（79その他の生活関連サービス業） </v>
      </c>
      <c r="I82" s="29" t="s">
        <v>437</v>
      </c>
    </row>
    <row r="83" spans="1:9" ht="30.75" customHeight="1">
      <c r="A83" s="34" t="s">
        <v>438</v>
      </c>
      <c r="B83" s="31" t="s">
        <v>439</v>
      </c>
      <c r="C83" s="32" t="str">
        <f t="shared" si="3"/>
        <v>80　娯楽業</v>
      </c>
      <c r="D83" s="35" t="s">
        <v>440</v>
      </c>
      <c r="E83" s="31" t="s">
        <v>439</v>
      </c>
      <c r="F83" s="31" t="str">
        <f t="shared" si="4"/>
        <v>170900　娯楽業</v>
      </c>
      <c r="G83" s="34" t="s">
        <v>441</v>
      </c>
      <c r="H83" s="31" t="str">
        <f t="shared" si="5"/>
        <v>170900管理，補助的経済活動を行う事業所（80娯楽業） </v>
      </c>
      <c r="I83" s="29" t="s">
        <v>442</v>
      </c>
    </row>
    <row r="84" spans="1:9" ht="30.75" customHeight="1">
      <c r="A84" s="34" t="s">
        <v>443</v>
      </c>
      <c r="B84" s="31" t="s">
        <v>444</v>
      </c>
      <c r="C84" s="32" t="str">
        <f t="shared" si="3"/>
        <v>81　学校教育</v>
      </c>
      <c r="D84" s="35" t="s">
        <v>445</v>
      </c>
      <c r="E84" s="31" t="s">
        <v>444</v>
      </c>
      <c r="F84" s="31" t="str">
        <f t="shared" si="4"/>
        <v>150000　学校教育</v>
      </c>
      <c r="G84" s="34" t="s">
        <v>446</v>
      </c>
      <c r="H84" s="31" t="str">
        <f t="shared" si="5"/>
        <v>150000管理，補助的経済活動を行う事業所（81学校教育） </v>
      </c>
      <c r="I84" s="29" t="s">
        <v>447</v>
      </c>
    </row>
    <row r="85" spans="1:9" ht="30.75" customHeight="1">
      <c r="A85" s="34">
        <v>82</v>
      </c>
      <c r="B85" s="31" t="s">
        <v>448</v>
      </c>
      <c r="C85" s="32" t="str">
        <f t="shared" si="3"/>
        <v>82　その他の教育，学習支援業</v>
      </c>
      <c r="D85" s="35" t="s">
        <v>445</v>
      </c>
      <c r="E85" s="31" t="s">
        <v>448</v>
      </c>
      <c r="F85" s="31" t="str">
        <f t="shared" si="4"/>
        <v>150000　その他の教育，学習支援業</v>
      </c>
      <c r="G85" s="34" t="s">
        <v>449</v>
      </c>
      <c r="H85" s="31" t="str">
        <f t="shared" si="5"/>
        <v>150000管理，補助的経済活動を行う事業所（82その他の教育，学習支援業） </v>
      </c>
      <c r="I85" s="29" t="s">
        <v>450</v>
      </c>
    </row>
    <row r="86" spans="1:9" ht="30.75" customHeight="1">
      <c r="A86" s="34" t="s">
        <v>451</v>
      </c>
      <c r="B86" s="31" t="s">
        <v>452</v>
      </c>
      <c r="C86" s="32" t="str">
        <f t="shared" si="3"/>
        <v>83　医療業</v>
      </c>
      <c r="D86" s="35" t="s">
        <v>453</v>
      </c>
      <c r="E86" s="31" t="s">
        <v>452</v>
      </c>
      <c r="F86" s="31" t="str">
        <f t="shared" si="4"/>
        <v>140100　医療業</v>
      </c>
      <c r="G86" s="34" t="s">
        <v>454</v>
      </c>
      <c r="H86" s="31" t="str">
        <f t="shared" si="5"/>
        <v>140100管理，補助的経済活動を行う事業所（83医療業） </v>
      </c>
      <c r="I86" s="29" t="s">
        <v>455</v>
      </c>
    </row>
    <row r="87" spans="1:9" ht="30.75" customHeight="1">
      <c r="A87" s="34" t="s">
        <v>456</v>
      </c>
      <c r="B87" s="31" t="s">
        <v>457</v>
      </c>
      <c r="C87" s="32" t="str">
        <f t="shared" si="3"/>
        <v>84　保健衛生</v>
      </c>
      <c r="D87" s="35" t="s">
        <v>458</v>
      </c>
      <c r="E87" s="31" t="s">
        <v>457</v>
      </c>
      <c r="F87" s="31" t="str">
        <f t="shared" si="4"/>
        <v>140300　保健衛生</v>
      </c>
      <c r="G87" s="34" t="s">
        <v>459</v>
      </c>
      <c r="H87" s="31" t="str">
        <f t="shared" si="5"/>
        <v>140300管理，補助的経済活動を行う事業所（84保健衛生） </v>
      </c>
      <c r="I87" s="29" t="s">
        <v>460</v>
      </c>
    </row>
    <row r="88" spans="1:9" ht="30.75" customHeight="1">
      <c r="A88" s="34" t="s">
        <v>461</v>
      </c>
      <c r="B88" s="31" t="s">
        <v>462</v>
      </c>
      <c r="C88" s="32" t="str">
        <f t="shared" si="3"/>
        <v>85　社会保険・社会福祉・介護事業</v>
      </c>
      <c r="D88" s="35" t="s">
        <v>463</v>
      </c>
      <c r="E88" s="31" t="s">
        <v>462</v>
      </c>
      <c r="F88" s="31" t="str">
        <f t="shared" si="4"/>
        <v>140500　社会保険・社会福祉・介護事業</v>
      </c>
      <c r="G88" s="34" t="s">
        <v>464</v>
      </c>
      <c r="H88" s="31" t="str">
        <f t="shared" si="5"/>
        <v>140500管理，補助的経済活動を行う事業所（85社会保険・社会福祉・介護事業） </v>
      </c>
      <c r="I88" s="29" t="s">
        <v>465</v>
      </c>
    </row>
    <row r="89" spans="1:9" ht="30.75" customHeight="1">
      <c r="A89" s="34" t="s">
        <v>466</v>
      </c>
      <c r="B89" s="31" t="s">
        <v>467</v>
      </c>
      <c r="C89" s="32" t="str">
        <f t="shared" si="3"/>
        <v>86　郵便局</v>
      </c>
      <c r="D89" s="35" t="s">
        <v>468</v>
      </c>
      <c r="E89" s="31" t="s">
        <v>467</v>
      </c>
      <c r="F89" s="31" t="str">
        <f t="shared" si="4"/>
        <v>160000　郵便局</v>
      </c>
      <c r="G89" s="34" t="s">
        <v>469</v>
      </c>
      <c r="H89" s="31" t="str">
        <f t="shared" si="5"/>
        <v>160000管理，補助的経済活動を行う事業所（86郵便局） </v>
      </c>
      <c r="I89" s="29" t="s">
        <v>470</v>
      </c>
    </row>
    <row r="90" spans="1:9" ht="30.75" customHeight="1">
      <c r="A90" s="34" t="s">
        <v>471</v>
      </c>
      <c r="B90" s="31" t="s">
        <v>472</v>
      </c>
      <c r="C90" s="32" t="str">
        <f t="shared" si="3"/>
        <v>87　協同組合（他に分類されないもの）</v>
      </c>
      <c r="D90" s="35" t="s">
        <v>468</v>
      </c>
      <c r="E90" s="31" t="s">
        <v>472</v>
      </c>
      <c r="F90" s="31" t="str">
        <f t="shared" si="4"/>
        <v>160000　協同組合（他に分類されないもの）</v>
      </c>
      <c r="G90" s="34" t="s">
        <v>473</v>
      </c>
      <c r="H90" s="31" t="str">
        <f t="shared" si="5"/>
        <v>160000管理，補助的経済活動を行う事業所（87協同組合） </v>
      </c>
      <c r="I90" s="29" t="s">
        <v>474</v>
      </c>
    </row>
    <row r="91" spans="1:9" ht="30.75" customHeight="1">
      <c r="A91" s="34" t="s">
        <v>475</v>
      </c>
      <c r="B91" s="31" t="s">
        <v>476</v>
      </c>
      <c r="C91" s="32" t="str">
        <f t="shared" si="3"/>
        <v>88　廃棄物処理業</v>
      </c>
      <c r="D91" s="35" t="s">
        <v>477</v>
      </c>
      <c r="E91" s="31" t="s">
        <v>476</v>
      </c>
      <c r="F91" s="31" t="str">
        <f t="shared" si="4"/>
        <v>171100　廃棄物処理業</v>
      </c>
      <c r="G91" s="34" t="s">
        <v>478</v>
      </c>
      <c r="H91" s="31" t="str">
        <f t="shared" si="5"/>
        <v>171100管理，補助的経済活動を行う事業所（88廃棄物処理業） </v>
      </c>
      <c r="I91" s="29" t="s">
        <v>479</v>
      </c>
    </row>
    <row r="92" spans="1:9" ht="30.75" customHeight="1">
      <c r="A92" s="34" t="s">
        <v>480</v>
      </c>
      <c r="B92" s="31" t="s">
        <v>481</v>
      </c>
      <c r="C92" s="32" t="str">
        <f t="shared" si="3"/>
        <v>89　自動車整備業</v>
      </c>
      <c r="D92" s="35" t="s">
        <v>482</v>
      </c>
      <c r="E92" s="31" t="s">
        <v>481</v>
      </c>
      <c r="F92" s="31" t="str">
        <f t="shared" si="4"/>
        <v>171300　自動車整備業</v>
      </c>
      <c r="G92" s="34" t="s">
        <v>483</v>
      </c>
      <c r="H92" s="31" t="str">
        <f t="shared" si="5"/>
        <v>171300管理，補助的経済活動を行う事業所（89自動車整備業） </v>
      </c>
      <c r="I92" s="29" t="s">
        <v>484</v>
      </c>
    </row>
    <row r="93" spans="1:9" ht="30.75" customHeight="1">
      <c r="A93" s="34" t="s">
        <v>485</v>
      </c>
      <c r="B93" s="31" t="s">
        <v>486</v>
      </c>
      <c r="C93" s="32" t="str">
        <f t="shared" si="3"/>
        <v>90　機械等修理業（別掲を除く）</v>
      </c>
      <c r="D93" s="35" t="s">
        <v>487</v>
      </c>
      <c r="E93" s="31" t="s">
        <v>486</v>
      </c>
      <c r="F93" s="31" t="str">
        <f t="shared" si="4"/>
        <v>171500　機械等修理業（別掲を除く）</v>
      </c>
      <c r="G93" s="34" t="s">
        <v>488</v>
      </c>
      <c r="H93" s="31" t="str">
        <f t="shared" si="5"/>
        <v>171500管理，補助的経済活動を行う事業所（90機械等修理業） </v>
      </c>
      <c r="I93" s="29" t="s">
        <v>489</v>
      </c>
    </row>
    <row r="94" spans="1:9" ht="30.75" customHeight="1">
      <c r="A94" s="34">
        <v>91</v>
      </c>
      <c r="B94" s="37" t="s">
        <v>490</v>
      </c>
      <c r="C94" s="32" t="str">
        <f t="shared" si="3"/>
        <v>91　職業紹介・労働者派遣業</v>
      </c>
      <c r="D94" s="35" t="s">
        <v>491</v>
      </c>
      <c r="E94" s="31" t="s">
        <v>492</v>
      </c>
      <c r="F94" s="31" t="str">
        <f t="shared" si="4"/>
        <v>172100　その他の事業サービス業</v>
      </c>
      <c r="G94" s="34" t="s">
        <v>493</v>
      </c>
      <c r="H94" s="31" t="str">
        <f t="shared" si="5"/>
        <v>172100管理，補助的経済活動を行う事業所（91職業紹介・労働者派遣業） </v>
      </c>
      <c r="I94" s="29" t="s">
        <v>494</v>
      </c>
    </row>
    <row r="95" spans="1:9" ht="30.75" customHeight="1">
      <c r="A95" s="34" t="s">
        <v>495</v>
      </c>
      <c r="B95" s="31" t="s">
        <v>492</v>
      </c>
      <c r="C95" s="32" t="str">
        <f t="shared" si="3"/>
        <v>92　その他の事業サービス業</v>
      </c>
      <c r="D95" s="35" t="s">
        <v>491</v>
      </c>
      <c r="E95" s="31" t="s">
        <v>492</v>
      </c>
      <c r="F95" s="31" t="str">
        <f t="shared" si="4"/>
        <v>172100　その他の事業サービス業</v>
      </c>
      <c r="G95" s="34" t="s">
        <v>496</v>
      </c>
      <c r="H95" s="31" t="str">
        <f t="shared" si="5"/>
        <v>172100管理，補助的経済活動を行う事業所（92その他の事業サービス業） </v>
      </c>
      <c r="I95" s="29" t="s">
        <v>497</v>
      </c>
    </row>
    <row r="96" spans="1:9" ht="30.75" customHeight="1">
      <c r="A96" s="34" t="s">
        <v>498</v>
      </c>
      <c r="B96" s="31" t="s">
        <v>499</v>
      </c>
      <c r="C96" s="32" t="str">
        <f t="shared" si="3"/>
        <v>93　政治・経済・文化団体</v>
      </c>
      <c r="D96" s="35" t="s">
        <v>500</v>
      </c>
      <c r="E96" s="31" t="s">
        <v>499</v>
      </c>
      <c r="F96" s="31" t="str">
        <f t="shared" si="4"/>
        <v>172300　政治・経済・文化団体</v>
      </c>
      <c r="G96" s="34" t="s">
        <v>501</v>
      </c>
      <c r="H96" s="31" t="str">
        <f t="shared" si="5"/>
        <v>172300経済団体 </v>
      </c>
      <c r="I96" s="29" t="s">
        <v>502</v>
      </c>
    </row>
    <row r="97" spans="1:9" ht="30.75" customHeight="1">
      <c r="A97" s="34" t="s">
        <v>503</v>
      </c>
      <c r="B97" s="31" t="s">
        <v>504</v>
      </c>
      <c r="C97" s="32" t="str">
        <f t="shared" si="3"/>
        <v>94　宗教</v>
      </c>
      <c r="D97" s="35" t="s">
        <v>500</v>
      </c>
      <c r="E97" s="31" t="s">
        <v>504</v>
      </c>
      <c r="F97" s="31" t="str">
        <f t="shared" si="4"/>
        <v>172300　宗教</v>
      </c>
      <c r="G97" s="34" t="s">
        <v>505</v>
      </c>
      <c r="H97" s="31" t="str">
        <f t="shared" si="5"/>
        <v>172300神道系宗教 </v>
      </c>
      <c r="I97" s="29" t="s">
        <v>506</v>
      </c>
    </row>
    <row r="98" spans="1:9" ht="30.75" customHeight="1">
      <c r="A98" s="34" t="s">
        <v>507</v>
      </c>
      <c r="B98" s="31" t="s">
        <v>508</v>
      </c>
      <c r="C98" s="32" t="str">
        <f>CONCATENATE(A98,B98)</f>
        <v>95　その他のサービス業</v>
      </c>
      <c r="D98" s="35" t="s">
        <v>500</v>
      </c>
      <c r="E98" s="31" t="s">
        <v>508</v>
      </c>
      <c r="F98" s="31" t="str">
        <f>CONCATENATE(D98,E98)</f>
        <v>172300　その他のサービス業</v>
      </c>
      <c r="G98" s="34" t="s">
        <v>509</v>
      </c>
      <c r="H98" s="31" t="str">
        <f>CONCATENATE(D98,I98)</f>
        <v>172300管理，補助的経済活動を行う事業所（95その他のサービス業） </v>
      </c>
      <c r="I98" s="29" t="s">
        <v>510</v>
      </c>
    </row>
    <row r="99" spans="1:9" ht="30.75" customHeight="1">
      <c r="A99" s="34" t="s">
        <v>511</v>
      </c>
      <c r="B99" s="31" t="s">
        <v>512</v>
      </c>
      <c r="C99" s="32" t="str">
        <f>CONCATENATE(A99,B99)</f>
        <v>96　外国公務</v>
      </c>
      <c r="D99" s="35" t="s">
        <v>500</v>
      </c>
      <c r="E99" s="31" t="s">
        <v>512</v>
      </c>
      <c r="F99" s="31" t="str">
        <f>CONCATENATE(D99,E99)</f>
        <v>172300　外国公務</v>
      </c>
      <c r="G99" s="34" t="s">
        <v>513</v>
      </c>
      <c r="H99" s="31" t="str">
        <f>CONCATENATE(D99,I99)</f>
        <v>172300外国公館 </v>
      </c>
      <c r="I99" s="29" t="s">
        <v>514</v>
      </c>
    </row>
    <row r="100" spans="1:9" ht="30.75" customHeight="1">
      <c r="A100" s="34">
        <v>97</v>
      </c>
      <c r="B100" s="31" t="s">
        <v>515</v>
      </c>
      <c r="C100" s="32" t="str">
        <f>CONCATENATE(A100,B100)</f>
        <v>97　国家公務</v>
      </c>
      <c r="D100" s="35" t="s">
        <v>500</v>
      </c>
      <c r="E100" s="31" t="s">
        <v>515</v>
      </c>
      <c r="F100" s="31" t="str">
        <f>CONCATENATE(D100,E100)</f>
        <v>172300　国家公務</v>
      </c>
      <c r="G100" s="34" t="s">
        <v>516</v>
      </c>
      <c r="H100" s="31" t="str">
        <f>CONCATENATE(D100,I100)</f>
        <v>172300立法機関 </v>
      </c>
      <c r="I100" s="29" t="s">
        <v>517</v>
      </c>
    </row>
    <row r="101" spans="1:9" ht="30.75" customHeight="1">
      <c r="A101" s="34" t="s">
        <v>518</v>
      </c>
      <c r="B101" s="31" t="s">
        <v>519</v>
      </c>
      <c r="C101" s="32" t="str">
        <f>CONCATENATE(A101,B101)</f>
        <v>98　地方公務</v>
      </c>
      <c r="D101" s="35" t="s">
        <v>500</v>
      </c>
      <c r="E101" s="31" t="s">
        <v>519</v>
      </c>
      <c r="F101" s="31" t="str">
        <f>CONCATENATE(D101,E101)</f>
        <v>172300　地方公務</v>
      </c>
      <c r="G101" s="34" t="s">
        <v>520</v>
      </c>
      <c r="H101" s="31" t="str">
        <f>CONCATENATE(D101,I101)</f>
        <v>172300都道府県機関 </v>
      </c>
      <c r="I101" s="29" t="s">
        <v>521</v>
      </c>
    </row>
    <row r="102" spans="1:9" ht="30.75" customHeight="1">
      <c r="A102" s="34" t="s">
        <v>522</v>
      </c>
      <c r="B102" s="31" t="s">
        <v>523</v>
      </c>
      <c r="C102" s="32" t="str">
        <f>CONCATENATE(A102,B102)</f>
        <v>99分類不能の産業</v>
      </c>
      <c r="D102" s="35" t="s">
        <v>524</v>
      </c>
      <c r="E102" s="31" t="s">
        <v>523</v>
      </c>
      <c r="F102" s="31" t="str">
        <f>CONCATENATE(D102,E102)</f>
        <v>990000分類不能の産業</v>
      </c>
      <c r="G102" s="34" t="s">
        <v>525</v>
      </c>
      <c r="H102" s="31" t="str">
        <f>CONCATENATE(D102,I102)</f>
        <v>990000分類不能の産業 </v>
      </c>
      <c r="I102" s="29" t="s">
        <v>526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>
    <tabColor rgb="FF92D050"/>
    <pageSetUpPr fitToPage="1"/>
  </sheetPr>
  <dimension ref="A2:T39"/>
  <sheetViews>
    <sheetView showGridLines="0" zoomScaleSheetLayoutView="80" zoomScalePageLayoutView="0" workbookViewId="0" topLeftCell="A1">
      <pane ySplit="3" topLeftCell="A4" activePane="bottomLeft" state="frozen"/>
      <selection pane="topLeft" activeCell="I5" sqref="I5"/>
      <selection pane="bottomLeft" activeCell="A1" sqref="A1"/>
    </sheetView>
  </sheetViews>
  <sheetFormatPr defaultColWidth="9.140625" defaultRowHeight="15"/>
  <cols>
    <col min="1" max="1" width="3.7109375" style="5" customWidth="1"/>
    <col min="2" max="4" width="3.7109375" style="1" customWidth="1"/>
    <col min="5" max="5" width="16.421875" style="82" customWidth="1"/>
    <col min="6" max="6" width="16.140625" style="77" customWidth="1"/>
    <col min="7" max="7" width="9.140625" style="1" customWidth="1"/>
    <col min="8" max="8" width="6.421875" style="5" customWidth="1"/>
    <col min="9" max="10" width="11.57421875" style="1" customWidth="1"/>
    <col min="11" max="13" width="15.140625" style="1" customWidth="1"/>
    <col min="14" max="14" width="3.8515625" style="5" customWidth="1"/>
    <col min="15" max="15" width="5.28125" style="5" customWidth="1"/>
    <col min="16" max="16" width="9.00390625" style="5" customWidth="1"/>
    <col min="17" max="17" width="15.140625" style="1" customWidth="1"/>
    <col min="18" max="18" width="12.7109375" style="83" bestFit="1" customWidth="1"/>
    <col min="19" max="16384" width="9.00390625" style="1" customWidth="1"/>
  </cols>
  <sheetData>
    <row r="2" ht="13.5">
      <c r="B2" s="248" t="s">
        <v>579</v>
      </c>
    </row>
    <row r="4" spans="1:6" ht="13.5" customHeight="1">
      <c r="A4" s="518" t="s">
        <v>712</v>
      </c>
      <c r="B4" s="518"/>
      <c r="C4" s="518"/>
      <c r="D4" s="518"/>
      <c r="E4" s="518"/>
      <c r="F4" s="5"/>
    </row>
    <row r="5" spans="1:14" ht="13.5" customHeight="1">
      <c r="A5" s="11"/>
      <c r="B5" s="11"/>
      <c r="C5" s="11"/>
      <c r="D5" s="11"/>
      <c r="E5" s="108"/>
      <c r="F5" s="5"/>
      <c r="N5" s="11"/>
    </row>
    <row r="6" spans="1:14" ht="13.5" customHeight="1">
      <c r="A6" s="11"/>
      <c r="B6" s="240" t="s">
        <v>648</v>
      </c>
      <c r="C6" s="241"/>
      <c r="D6" s="242"/>
      <c r="E6" s="243"/>
      <c r="F6" s="85" t="s">
        <v>17</v>
      </c>
      <c r="N6" s="11"/>
    </row>
    <row r="7" spans="1:14" ht="13.5" customHeight="1">
      <c r="A7" s="11"/>
      <c r="B7" s="11"/>
      <c r="C7" s="11"/>
      <c r="D7" s="11"/>
      <c r="E7" s="108"/>
      <c r="F7" s="131" t="s">
        <v>570</v>
      </c>
      <c r="N7" s="11"/>
    </row>
    <row r="8" spans="1:15" ht="13.5" customHeight="1">
      <c r="A8" s="11"/>
      <c r="B8" s="11"/>
      <c r="C8" s="11"/>
      <c r="D8" s="11"/>
      <c r="E8" s="108"/>
      <c r="F8" s="5"/>
      <c r="M8" s="1" t="s">
        <v>21</v>
      </c>
      <c r="N8" s="11"/>
      <c r="O8" s="86"/>
    </row>
    <row r="9" spans="1:14" ht="13.5" customHeight="1">
      <c r="A9" s="11"/>
      <c r="F9" s="5"/>
      <c r="K9" s="2" t="s">
        <v>32</v>
      </c>
      <c r="L9" s="8" t="str">
        <f>IF('基本情報入力（使い方）'!$C$11="","",'基本情報入力（使い方）'!$C$11)</f>
        <v>Ｂ金属株式会社</v>
      </c>
      <c r="N9" s="11"/>
    </row>
    <row r="10" spans="1:14" ht="13.5" customHeight="1" thickBot="1">
      <c r="A10" s="11"/>
      <c r="F10" s="5"/>
      <c r="N10" s="11"/>
    </row>
    <row r="11" spans="1:17" ht="27" customHeight="1">
      <c r="A11" s="519" t="s">
        <v>2</v>
      </c>
      <c r="B11" s="508" t="s">
        <v>3</v>
      </c>
      <c r="C11" s="508"/>
      <c r="D11" s="509"/>
      <c r="E11" s="109" t="s">
        <v>4</v>
      </c>
      <c r="F11" s="3" t="s">
        <v>5</v>
      </c>
      <c r="G11" s="3" t="s">
        <v>6</v>
      </c>
      <c r="H11" s="80" t="s">
        <v>7</v>
      </c>
      <c r="I11" s="3" t="s">
        <v>1</v>
      </c>
      <c r="J11" s="3" t="s">
        <v>1</v>
      </c>
      <c r="K11" s="508" t="s">
        <v>8</v>
      </c>
      <c r="L11" s="509"/>
      <c r="M11" s="80" t="s">
        <v>561</v>
      </c>
      <c r="N11" s="510" t="s">
        <v>2</v>
      </c>
      <c r="O11" s="512" t="s">
        <v>40</v>
      </c>
      <c r="Q11" s="124" t="s">
        <v>562</v>
      </c>
    </row>
    <row r="12" spans="1:17" ht="42" customHeight="1" thickBot="1">
      <c r="A12" s="520"/>
      <c r="B12" s="89" t="s">
        <v>10</v>
      </c>
      <c r="C12" s="89" t="s">
        <v>11</v>
      </c>
      <c r="D12" s="90" t="s">
        <v>12</v>
      </c>
      <c r="E12" s="110"/>
      <c r="F12" s="92"/>
      <c r="G12" s="78"/>
      <c r="H12" s="4"/>
      <c r="I12" s="78" t="s">
        <v>13</v>
      </c>
      <c r="J12" s="78" t="s">
        <v>25</v>
      </c>
      <c r="K12" s="38" t="s">
        <v>14</v>
      </c>
      <c r="L12" s="4" t="s">
        <v>23</v>
      </c>
      <c r="M12" s="4" t="s">
        <v>15</v>
      </c>
      <c r="N12" s="511"/>
      <c r="O12" s="513"/>
      <c r="Q12" s="125" t="s">
        <v>560</v>
      </c>
    </row>
    <row r="13" spans="1:18" ht="30.75" customHeight="1">
      <c r="A13" s="182">
        <v>1</v>
      </c>
      <c r="B13" s="514">
        <v>42643</v>
      </c>
      <c r="C13" s="515"/>
      <c r="D13" s="515"/>
      <c r="E13" s="70" t="s">
        <v>582</v>
      </c>
      <c r="F13" s="71" t="s">
        <v>583</v>
      </c>
      <c r="G13" s="170">
        <v>1</v>
      </c>
      <c r="H13" s="163" t="s">
        <v>584</v>
      </c>
      <c r="I13" s="145">
        <f>IF(J13="","",ROUNDDOWN(J13*(1+O13/100),0))</f>
        <v>2159136</v>
      </c>
      <c r="J13" s="147">
        <v>1999200</v>
      </c>
      <c r="K13" s="145">
        <f>IF(L13="","",ROUNDDOWN(L13*(1+O13/100),0))</f>
        <v>2159136</v>
      </c>
      <c r="L13" s="145">
        <f>IF(OR(J13="",G13=""),"",ROUNDDOWN(J13*G13,0))</f>
        <v>1999200</v>
      </c>
      <c r="M13" s="146">
        <f>L13</f>
        <v>1999200</v>
      </c>
      <c r="N13" s="117">
        <f>IF(A13="","",A13)</f>
        <v>1</v>
      </c>
      <c r="O13" s="111">
        <v>8</v>
      </c>
      <c r="P13" s="1"/>
      <c r="Q13" s="186">
        <f>IF(M13="","",ROUNDDOWN(M13/G13*2/3,0)*G13)</f>
        <v>1332800</v>
      </c>
      <c r="R13" s="1"/>
    </row>
    <row r="14" spans="1:18" ht="30.75" customHeight="1">
      <c r="A14" s="183"/>
      <c r="B14" s="514"/>
      <c r="C14" s="515"/>
      <c r="D14" s="515"/>
      <c r="E14" s="391" t="s">
        <v>726</v>
      </c>
      <c r="F14" s="71"/>
      <c r="G14" s="171"/>
      <c r="H14" s="163"/>
      <c r="I14" s="145">
        <f aca="true" t="shared" si="0" ref="I14:I32">IF(J14="","",ROUNDDOWN(J14*(1+O14/100),0))</f>
      </c>
      <c r="J14" s="147"/>
      <c r="K14" s="145">
        <f aca="true" t="shared" si="1" ref="K14:K32">IF(L14="","",ROUNDDOWN(L14*(1+O14/100),0))</f>
      </c>
      <c r="L14" s="145">
        <f aca="true" t="shared" si="2" ref="L14:L32">IF(OR(J14="",G14=""),"",ROUNDDOWN(J14*G14,0))</f>
      </c>
      <c r="M14" s="146">
        <f aca="true" t="shared" si="3" ref="M14:M32">L14</f>
      </c>
      <c r="N14" s="117">
        <f aca="true" t="shared" si="4" ref="N14:N32">IF(A14="","",A14)</f>
      </c>
      <c r="O14" s="111">
        <v>8</v>
      </c>
      <c r="Q14" s="186">
        <f>IF(M14="","",ROUNDDOWN(M14/G14*2/3,0)*G14)</f>
      </c>
      <c r="R14" s="7"/>
    </row>
    <row r="15" spans="1:18" ht="30.75" customHeight="1">
      <c r="A15" s="182"/>
      <c r="B15" s="514"/>
      <c r="C15" s="515"/>
      <c r="D15" s="515"/>
      <c r="E15" s="72"/>
      <c r="F15" s="72"/>
      <c r="G15" s="170"/>
      <c r="H15" s="163"/>
      <c r="I15" s="145">
        <f t="shared" si="0"/>
      </c>
      <c r="J15" s="147"/>
      <c r="K15" s="145">
        <f t="shared" si="1"/>
      </c>
      <c r="L15" s="145">
        <f t="shared" si="2"/>
      </c>
      <c r="M15" s="146">
        <f t="shared" si="3"/>
      </c>
      <c r="N15" s="117">
        <f t="shared" si="4"/>
      </c>
      <c r="O15" s="111">
        <v>8</v>
      </c>
      <c r="P15" s="83"/>
      <c r="Q15" s="186">
        <f>IF(M15="","",ROUNDDOWN(M15/G15*2/3,0)*G15)</f>
      </c>
      <c r="R15" s="7"/>
    </row>
    <row r="16" spans="1:18" s="10" customFormat="1" ht="30.75" customHeight="1">
      <c r="A16" s="183"/>
      <c r="B16" s="514"/>
      <c r="C16" s="515"/>
      <c r="D16" s="515"/>
      <c r="E16" s="72"/>
      <c r="F16" s="72"/>
      <c r="G16" s="170"/>
      <c r="H16" s="163"/>
      <c r="I16" s="145">
        <f t="shared" si="0"/>
      </c>
      <c r="J16" s="147"/>
      <c r="K16" s="145">
        <f t="shared" si="1"/>
      </c>
      <c r="L16" s="145">
        <f t="shared" si="2"/>
      </c>
      <c r="M16" s="146">
        <f t="shared" si="3"/>
      </c>
      <c r="N16" s="117">
        <f t="shared" si="4"/>
      </c>
      <c r="O16" s="111">
        <v>8</v>
      </c>
      <c r="P16" s="83"/>
      <c r="Q16" s="186">
        <f>IF(M16="","",ROUNDDOWN(M16/G16*2/3,0)*G16)</f>
      </c>
      <c r="R16" s="7"/>
    </row>
    <row r="17" spans="1:18" ht="30.75" customHeight="1">
      <c r="A17" s="182"/>
      <c r="B17" s="514"/>
      <c r="C17" s="515"/>
      <c r="D17" s="515"/>
      <c r="E17" s="72"/>
      <c r="F17" s="72"/>
      <c r="G17" s="170"/>
      <c r="H17" s="163"/>
      <c r="I17" s="145">
        <f t="shared" si="0"/>
      </c>
      <c r="J17" s="147"/>
      <c r="K17" s="145">
        <f t="shared" si="1"/>
      </c>
      <c r="L17" s="145">
        <f t="shared" si="2"/>
      </c>
      <c r="M17" s="146">
        <f t="shared" si="3"/>
      </c>
      <c r="N17" s="117">
        <f t="shared" si="4"/>
      </c>
      <c r="O17" s="111">
        <v>8</v>
      </c>
      <c r="P17" s="83"/>
      <c r="Q17" s="186">
        <f aca="true" t="shared" si="5" ref="Q17:Q32">IF(M17="","",ROUNDDOWN(M17/G17*2/3,0)*G17)</f>
      </c>
      <c r="R17" s="7"/>
    </row>
    <row r="18" spans="1:17" ht="30.75" customHeight="1">
      <c r="A18" s="183"/>
      <c r="B18" s="514"/>
      <c r="C18" s="515"/>
      <c r="D18" s="515"/>
      <c r="E18" s="72"/>
      <c r="F18" s="72"/>
      <c r="G18" s="170"/>
      <c r="H18" s="163"/>
      <c r="I18" s="145">
        <f t="shared" si="0"/>
      </c>
      <c r="J18" s="147"/>
      <c r="K18" s="145">
        <f t="shared" si="1"/>
      </c>
      <c r="L18" s="145">
        <f t="shared" si="2"/>
      </c>
      <c r="M18" s="146">
        <f t="shared" si="3"/>
      </c>
      <c r="N18" s="117">
        <f t="shared" si="4"/>
      </c>
      <c r="O18" s="111">
        <v>8</v>
      </c>
      <c r="P18" s="83"/>
      <c r="Q18" s="186">
        <f t="shared" si="5"/>
      </c>
    </row>
    <row r="19" spans="1:17" ht="30.75" customHeight="1">
      <c r="A19" s="182"/>
      <c r="B19" s="514"/>
      <c r="C19" s="515"/>
      <c r="D19" s="515"/>
      <c r="E19" s="72"/>
      <c r="F19" s="95"/>
      <c r="G19" s="170"/>
      <c r="H19" s="163"/>
      <c r="I19" s="145">
        <f t="shared" si="0"/>
      </c>
      <c r="J19" s="147"/>
      <c r="K19" s="145">
        <f t="shared" si="1"/>
      </c>
      <c r="L19" s="145">
        <f t="shared" si="2"/>
      </c>
      <c r="M19" s="146">
        <f t="shared" si="3"/>
      </c>
      <c r="N19" s="117">
        <f t="shared" si="4"/>
      </c>
      <c r="O19" s="111">
        <v>8</v>
      </c>
      <c r="P19" s="83"/>
      <c r="Q19" s="186">
        <f t="shared" si="5"/>
      </c>
    </row>
    <row r="20" spans="1:18" s="10" customFormat="1" ht="30.75" customHeight="1">
      <c r="A20" s="183"/>
      <c r="B20" s="514"/>
      <c r="C20" s="515"/>
      <c r="D20" s="515"/>
      <c r="E20" s="72"/>
      <c r="F20" s="72"/>
      <c r="G20" s="170"/>
      <c r="H20" s="163"/>
      <c r="I20" s="145">
        <f t="shared" si="0"/>
      </c>
      <c r="J20" s="147"/>
      <c r="K20" s="145">
        <f t="shared" si="1"/>
      </c>
      <c r="L20" s="145">
        <f t="shared" si="2"/>
      </c>
      <c r="M20" s="146">
        <f t="shared" si="3"/>
      </c>
      <c r="N20" s="118">
        <f t="shared" si="4"/>
      </c>
      <c r="O20" s="111">
        <v>8</v>
      </c>
      <c r="P20" s="119"/>
      <c r="Q20" s="186">
        <f t="shared" si="5"/>
      </c>
      <c r="R20" s="120"/>
    </row>
    <row r="21" spans="1:17" ht="30.75" customHeight="1">
      <c r="A21" s="182"/>
      <c r="B21" s="514"/>
      <c r="C21" s="515"/>
      <c r="D21" s="515"/>
      <c r="E21" s="72"/>
      <c r="F21" s="72"/>
      <c r="G21" s="170"/>
      <c r="H21" s="163"/>
      <c r="I21" s="145">
        <f t="shared" si="0"/>
      </c>
      <c r="J21" s="147"/>
      <c r="K21" s="145">
        <f t="shared" si="1"/>
      </c>
      <c r="L21" s="145">
        <f t="shared" si="2"/>
      </c>
      <c r="M21" s="146">
        <f t="shared" si="3"/>
      </c>
      <c r="N21" s="117">
        <f t="shared" si="4"/>
      </c>
      <c r="O21" s="111">
        <v>8</v>
      </c>
      <c r="Q21" s="186">
        <f t="shared" si="5"/>
      </c>
    </row>
    <row r="22" spans="1:17" ht="30.75" customHeight="1">
      <c r="A22" s="183"/>
      <c r="B22" s="514"/>
      <c r="C22" s="515"/>
      <c r="D22" s="515"/>
      <c r="E22" s="72"/>
      <c r="F22" s="72"/>
      <c r="G22" s="170"/>
      <c r="H22" s="163"/>
      <c r="I22" s="145">
        <f t="shared" si="0"/>
      </c>
      <c r="J22" s="147"/>
      <c r="K22" s="145">
        <f t="shared" si="1"/>
      </c>
      <c r="L22" s="145">
        <f t="shared" si="2"/>
      </c>
      <c r="M22" s="146">
        <f t="shared" si="3"/>
      </c>
      <c r="N22" s="117">
        <f t="shared" si="4"/>
      </c>
      <c r="O22" s="111">
        <v>8</v>
      </c>
      <c r="Q22" s="186">
        <f t="shared" si="5"/>
      </c>
    </row>
    <row r="23" spans="1:17" ht="30.75" customHeight="1">
      <c r="A23" s="182"/>
      <c r="B23" s="514"/>
      <c r="C23" s="515"/>
      <c r="D23" s="515"/>
      <c r="E23" s="72"/>
      <c r="F23" s="72"/>
      <c r="G23" s="170"/>
      <c r="H23" s="163"/>
      <c r="I23" s="145">
        <f t="shared" si="0"/>
      </c>
      <c r="J23" s="147"/>
      <c r="K23" s="145">
        <f t="shared" si="1"/>
      </c>
      <c r="L23" s="145">
        <f t="shared" si="2"/>
      </c>
      <c r="M23" s="146">
        <f t="shared" si="3"/>
      </c>
      <c r="N23" s="117">
        <f t="shared" si="4"/>
      </c>
      <c r="O23" s="111">
        <v>8</v>
      </c>
      <c r="Q23" s="186">
        <f t="shared" si="5"/>
      </c>
    </row>
    <row r="24" spans="1:17" ht="30.75" customHeight="1">
      <c r="A24" s="183"/>
      <c r="B24" s="514"/>
      <c r="C24" s="515"/>
      <c r="D24" s="515"/>
      <c r="E24" s="72"/>
      <c r="F24" s="72"/>
      <c r="G24" s="170"/>
      <c r="H24" s="163"/>
      <c r="I24" s="145">
        <f t="shared" si="0"/>
      </c>
      <c r="J24" s="147"/>
      <c r="K24" s="145">
        <f t="shared" si="1"/>
      </c>
      <c r="L24" s="145">
        <f t="shared" si="2"/>
      </c>
      <c r="M24" s="146">
        <f t="shared" si="3"/>
      </c>
      <c r="N24" s="117">
        <f t="shared" si="4"/>
      </c>
      <c r="O24" s="111">
        <v>8</v>
      </c>
      <c r="Q24" s="186">
        <f t="shared" si="5"/>
      </c>
    </row>
    <row r="25" spans="1:17" ht="30.75" customHeight="1">
      <c r="A25" s="182"/>
      <c r="B25" s="514"/>
      <c r="C25" s="515"/>
      <c r="D25" s="515"/>
      <c r="E25" s="72"/>
      <c r="F25" s="72"/>
      <c r="G25" s="170"/>
      <c r="H25" s="163"/>
      <c r="I25" s="145">
        <f t="shared" si="0"/>
      </c>
      <c r="J25" s="147"/>
      <c r="K25" s="145">
        <f t="shared" si="1"/>
      </c>
      <c r="L25" s="145">
        <f t="shared" si="2"/>
      </c>
      <c r="M25" s="146">
        <f t="shared" si="3"/>
      </c>
      <c r="N25" s="117">
        <f t="shared" si="4"/>
      </c>
      <c r="O25" s="111">
        <v>8</v>
      </c>
      <c r="Q25" s="186">
        <f t="shared" si="5"/>
      </c>
    </row>
    <row r="26" spans="1:17" ht="30.75" customHeight="1">
      <c r="A26" s="183"/>
      <c r="B26" s="514"/>
      <c r="C26" s="515"/>
      <c r="D26" s="515"/>
      <c r="E26" s="73"/>
      <c r="F26" s="72"/>
      <c r="G26" s="170"/>
      <c r="H26" s="163"/>
      <c r="I26" s="145">
        <f t="shared" si="0"/>
      </c>
      <c r="J26" s="147"/>
      <c r="K26" s="145">
        <f t="shared" si="1"/>
      </c>
      <c r="L26" s="145">
        <f t="shared" si="2"/>
      </c>
      <c r="M26" s="146">
        <f t="shared" si="3"/>
      </c>
      <c r="N26" s="117">
        <f t="shared" si="4"/>
      </c>
      <c r="O26" s="111">
        <v>8</v>
      </c>
      <c r="Q26" s="186">
        <f t="shared" si="5"/>
      </c>
    </row>
    <row r="27" spans="1:17" ht="30.75" customHeight="1">
      <c r="A27" s="182"/>
      <c r="B27" s="514"/>
      <c r="C27" s="515"/>
      <c r="D27" s="515"/>
      <c r="E27" s="73"/>
      <c r="F27" s="72"/>
      <c r="G27" s="170"/>
      <c r="H27" s="163"/>
      <c r="I27" s="145">
        <f t="shared" si="0"/>
      </c>
      <c r="J27" s="147"/>
      <c r="K27" s="145">
        <f t="shared" si="1"/>
      </c>
      <c r="L27" s="145">
        <f t="shared" si="2"/>
      </c>
      <c r="M27" s="146">
        <f t="shared" si="3"/>
      </c>
      <c r="N27" s="117">
        <f t="shared" si="4"/>
      </c>
      <c r="O27" s="111">
        <v>8</v>
      </c>
      <c r="Q27" s="186">
        <f t="shared" si="5"/>
      </c>
    </row>
    <row r="28" spans="1:17" ht="30.75" customHeight="1">
      <c r="A28" s="183"/>
      <c r="B28" s="514"/>
      <c r="C28" s="515"/>
      <c r="D28" s="515"/>
      <c r="E28" s="72"/>
      <c r="F28" s="72"/>
      <c r="G28" s="170"/>
      <c r="H28" s="163"/>
      <c r="I28" s="145">
        <f t="shared" si="0"/>
      </c>
      <c r="J28" s="147"/>
      <c r="K28" s="145">
        <f t="shared" si="1"/>
      </c>
      <c r="L28" s="145">
        <f t="shared" si="2"/>
      </c>
      <c r="M28" s="146">
        <f t="shared" si="3"/>
      </c>
      <c r="N28" s="117">
        <f t="shared" si="4"/>
      </c>
      <c r="O28" s="111">
        <v>8</v>
      </c>
      <c r="Q28" s="186">
        <f t="shared" si="5"/>
      </c>
    </row>
    <row r="29" spans="1:17" ht="30.75" customHeight="1">
      <c r="A29" s="182"/>
      <c r="B29" s="514"/>
      <c r="C29" s="515"/>
      <c r="D29" s="515"/>
      <c r="E29" s="72"/>
      <c r="F29" s="72"/>
      <c r="G29" s="170"/>
      <c r="H29" s="163"/>
      <c r="I29" s="145">
        <f t="shared" si="0"/>
      </c>
      <c r="J29" s="147"/>
      <c r="K29" s="145">
        <f t="shared" si="1"/>
      </c>
      <c r="L29" s="145">
        <f t="shared" si="2"/>
      </c>
      <c r="M29" s="146">
        <f t="shared" si="3"/>
      </c>
      <c r="N29" s="117">
        <f t="shared" si="4"/>
      </c>
      <c r="O29" s="111">
        <v>8</v>
      </c>
      <c r="Q29" s="186">
        <f t="shared" si="5"/>
      </c>
    </row>
    <row r="30" spans="1:17" ht="30.75" customHeight="1">
      <c r="A30" s="183"/>
      <c r="B30" s="514"/>
      <c r="C30" s="515"/>
      <c r="D30" s="515"/>
      <c r="E30" s="72"/>
      <c r="F30" s="72"/>
      <c r="G30" s="170"/>
      <c r="H30" s="163"/>
      <c r="I30" s="145">
        <f t="shared" si="0"/>
      </c>
      <c r="J30" s="147"/>
      <c r="K30" s="145">
        <f t="shared" si="1"/>
      </c>
      <c r="L30" s="145">
        <f t="shared" si="2"/>
      </c>
      <c r="M30" s="146">
        <f t="shared" si="3"/>
      </c>
      <c r="N30" s="117">
        <f t="shared" si="4"/>
      </c>
      <c r="O30" s="111">
        <v>8</v>
      </c>
      <c r="Q30" s="186">
        <f t="shared" si="5"/>
      </c>
    </row>
    <row r="31" spans="1:17" ht="30.75" customHeight="1">
      <c r="A31" s="182"/>
      <c r="B31" s="514"/>
      <c r="C31" s="515"/>
      <c r="D31" s="515"/>
      <c r="E31" s="73"/>
      <c r="F31" s="72"/>
      <c r="G31" s="170"/>
      <c r="H31" s="163"/>
      <c r="I31" s="145">
        <f t="shared" si="0"/>
      </c>
      <c r="J31" s="147"/>
      <c r="K31" s="145">
        <f t="shared" si="1"/>
      </c>
      <c r="L31" s="145">
        <f t="shared" si="2"/>
      </c>
      <c r="M31" s="146">
        <f t="shared" si="3"/>
      </c>
      <c r="N31" s="117">
        <f t="shared" si="4"/>
      </c>
      <c r="O31" s="111">
        <v>8</v>
      </c>
      <c r="Q31" s="186">
        <f t="shared" si="5"/>
      </c>
    </row>
    <row r="32" spans="1:17" ht="30.75" customHeight="1" thickBot="1">
      <c r="A32" s="184"/>
      <c r="B32" s="521"/>
      <c r="C32" s="522"/>
      <c r="D32" s="522"/>
      <c r="E32" s="76"/>
      <c r="F32" s="76"/>
      <c r="G32" s="172"/>
      <c r="H32" s="164"/>
      <c r="I32" s="150">
        <f t="shared" si="0"/>
      </c>
      <c r="J32" s="162"/>
      <c r="K32" s="148">
        <f t="shared" si="1"/>
      </c>
      <c r="L32" s="148">
        <f t="shared" si="2"/>
      </c>
      <c r="M32" s="150">
        <f t="shared" si="3"/>
      </c>
      <c r="N32" s="121">
        <f t="shared" si="4"/>
      </c>
      <c r="O32" s="112">
        <v>8</v>
      </c>
      <c r="Q32" s="186">
        <f t="shared" si="5"/>
      </c>
    </row>
    <row r="33" spans="1:18" ht="21" customHeight="1" thickBot="1">
      <c r="A33" s="516" t="s">
        <v>16</v>
      </c>
      <c r="B33" s="517"/>
      <c r="C33" s="517"/>
      <c r="D33" s="517"/>
      <c r="E33" s="517"/>
      <c r="F33" s="517"/>
      <c r="G33" s="517"/>
      <c r="H33" s="517"/>
      <c r="I33" s="517"/>
      <c r="J33" s="79"/>
      <c r="K33" s="157">
        <f>SUM(K13:K32)</f>
        <v>2159136</v>
      </c>
      <c r="L33" s="157">
        <f>SUM(L13:L32)</f>
        <v>1999200</v>
      </c>
      <c r="M33" s="158">
        <f>SUM(M13:M32)</f>
        <v>1999200</v>
      </c>
      <c r="N33" s="14"/>
      <c r="Q33" s="178">
        <f>SUM(Q13:Q32)</f>
        <v>1332800</v>
      </c>
      <c r="R33" s="180"/>
    </row>
    <row r="34" spans="1:20" ht="13.5" customHeight="1">
      <c r="A34" s="11"/>
      <c r="N34" s="11"/>
      <c r="R34" s="126"/>
      <c r="S34" s="127"/>
      <c r="T34" s="127"/>
    </row>
    <row r="35" spans="2:20" ht="13.5" customHeight="1">
      <c r="B35" s="1" t="s">
        <v>18</v>
      </c>
      <c r="D35" s="87"/>
      <c r="E35" s="77" t="s">
        <v>33</v>
      </c>
      <c r="H35" s="1"/>
      <c r="M35" s="98"/>
      <c r="N35" s="11"/>
      <c r="Q35" s="98"/>
      <c r="R35" s="126"/>
      <c r="S35" s="127"/>
      <c r="T35" s="127"/>
    </row>
    <row r="36" spans="1:20" s="77" customFormat="1" ht="13.5" customHeight="1">
      <c r="A36" s="5"/>
      <c r="B36" s="1"/>
      <c r="C36" s="1"/>
      <c r="D36" s="1"/>
      <c r="E36" s="77" t="s">
        <v>34</v>
      </c>
      <c r="G36" s="1"/>
      <c r="H36" s="1"/>
      <c r="I36" s="1"/>
      <c r="J36" s="1"/>
      <c r="K36" s="1"/>
      <c r="L36" s="1"/>
      <c r="N36" s="15"/>
      <c r="O36" s="5"/>
      <c r="P36" s="5"/>
      <c r="Q36" s="81"/>
      <c r="R36" s="126"/>
      <c r="S36" s="128"/>
      <c r="T36" s="128"/>
    </row>
    <row r="37" spans="1:20" s="77" customFormat="1" ht="13.5" customHeight="1">
      <c r="A37" s="5"/>
      <c r="B37" s="1" t="s">
        <v>19</v>
      </c>
      <c r="C37" s="1"/>
      <c r="D37" s="1"/>
      <c r="E37" s="77" t="s">
        <v>35</v>
      </c>
      <c r="G37" s="1"/>
      <c r="H37" s="1"/>
      <c r="I37" s="1"/>
      <c r="J37" s="1"/>
      <c r="K37" s="1"/>
      <c r="L37" s="1"/>
      <c r="M37" s="98"/>
      <c r="N37" s="5"/>
      <c r="O37" s="5"/>
      <c r="P37" s="5"/>
      <c r="Q37" s="98"/>
      <c r="R37" s="129"/>
      <c r="S37" s="128"/>
      <c r="T37" s="128"/>
    </row>
    <row r="38" spans="1:18" s="77" customFormat="1" ht="13.5" customHeight="1">
      <c r="A38" s="5"/>
      <c r="B38" s="1" t="s">
        <v>20</v>
      </c>
      <c r="C38" s="1"/>
      <c r="D38" s="1"/>
      <c r="E38" s="77" t="s">
        <v>36</v>
      </c>
      <c r="G38" s="1"/>
      <c r="H38" s="1"/>
      <c r="I38" s="1"/>
      <c r="J38" s="1"/>
      <c r="K38" s="1"/>
      <c r="L38" s="1"/>
      <c r="M38" s="98"/>
      <c r="N38" s="5"/>
      <c r="O38" s="5"/>
      <c r="P38" s="5"/>
      <c r="Q38" s="98"/>
      <c r="R38" s="53"/>
    </row>
    <row r="39" spans="13:17" ht="13.5">
      <c r="M39" s="9"/>
      <c r="Q39" s="9"/>
    </row>
  </sheetData>
  <sheetProtection sheet="1" objects="1" scenarios="1"/>
  <mergeCells count="27">
    <mergeCell ref="B28:D28"/>
    <mergeCell ref="B29:D29"/>
    <mergeCell ref="B30:D30"/>
    <mergeCell ref="B31:D31"/>
    <mergeCell ref="B32:D32"/>
    <mergeCell ref="B22:D22"/>
    <mergeCell ref="B23:D23"/>
    <mergeCell ref="B24:D24"/>
    <mergeCell ref="B25:D25"/>
    <mergeCell ref="B26:D26"/>
    <mergeCell ref="B27:D27"/>
    <mergeCell ref="A4:E4"/>
    <mergeCell ref="A11:A12"/>
    <mergeCell ref="B11:D11"/>
    <mergeCell ref="B15:D15"/>
    <mergeCell ref="B16:D16"/>
    <mergeCell ref="B17:D17"/>
    <mergeCell ref="K11:L11"/>
    <mergeCell ref="N11:N12"/>
    <mergeCell ref="O11:O12"/>
    <mergeCell ref="B13:D13"/>
    <mergeCell ref="B14:D14"/>
    <mergeCell ref="A33:I33"/>
    <mergeCell ref="B18:D18"/>
    <mergeCell ref="B19:D19"/>
    <mergeCell ref="B20:D20"/>
    <mergeCell ref="B21:D21"/>
  </mergeCells>
  <dataValidations count="4">
    <dataValidation allowBlank="1" showInputMessage="1" showErrorMessage="1" imeMode="halfAlpha" sqref="Q13:Q32 I13:M32"/>
    <dataValidation type="list" allowBlank="1" showInputMessage="1" showErrorMessage="1" sqref="P18:P19 P15:P16">
      <formula1>$Q$12:$Q$14</formula1>
    </dataValidation>
    <dataValidation type="list" allowBlank="1" showInputMessage="1" showErrorMessage="1" sqref="P20:P32">
      <formula1>$Q$12:$Q$13</formula1>
    </dataValidation>
    <dataValidation allowBlank="1" showInputMessage="1" showErrorMessage="1" imeMode="hiragana" sqref="L9"/>
  </dataValidations>
  <hyperlinks>
    <hyperlink ref="B2" location="経費明細表!A1" display="戻る"/>
  </hyperlinks>
  <printOptions/>
  <pageMargins left="0.8661417322834646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9">
    <tabColor rgb="FF92D050"/>
    <pageSetUpPr fitToPage="1"/>
  </sheetPr>
  <dimension ref="A2:X39"/>
  <sheetViews>
    <sheetView showGridLines="0" zoomScaleSheetLayoutView="80" zoomScalePageLayoutView="0" workbookViewId="0" topLeftCell="A1">
      <pane ySplit="3" topLeftCell="A4" activePane="bottomLeft" state="frozen"/>
      <selection pane="topLeft" activeCell="O8" sqref="O8"/>
      <selection pane="bottomLeft" activeCell="A1" sqref="A1"/>
    </sheetView>
  </sheetViews>
  <sheetFormatPr defaultColWidth="9.140625" defaultRowHeight="15"/>
  <cols>
    <col min="1" max="1" width="3.7109375" style="5" customWidth="1"/>
    <col min="2" max="4" width="3.7109375" style="1" customWidth="1"/>
    <col min="5" max="5" width="16.421875" style="82" customWidth="1"/>
    <col min="6" max="6" width="16.140625" style="77" customWidth="1"/>
    <col min="7" max="7" width="9.140625" style="1" customWidth="1"/>
    <col min="8" max="8" width="6.421875" style="5" customWidth="1"/>
    <col min="9" max="10" width="11.57421875" style="1" customWidth="1"/>
    <col min="11" max="13" width="15.140625" style="1" customWidth="1"/>
    <col min="14" max="14" width="3.8515625" style="5" customWidth="1"/>
    <col min="15" max="15" width="5.28125" style="5" customWidth="1"/>
    <col min="16" max="16" width="9.00390625" style="5" customWidth="1"/>
    <col min="17" max="17" width="15.140625" style="1" customWidth="1"/>
    <col min="18" max="18" width="12.7109375" style="83" bestFit="1" customWidth="1"/>
    <col min="19" max="16384" width="9.00390625" style="1" customWidth="1"/>
  </cols>
  <sheetData>
    <row r="1" ht="13.5"/>
    <row r="2" ht="13.5">
      <c r="B2" s="248" t="s">
        <v>579</v>
      </c>
    </row>
    <row r="3" ht="13.5"/>
    <row r="4" spans="1:6" ht="13.5" customHeight="1">
      <c r="A4" s="518" t="s">
        <v>712</v>
      </c>
      <c r="B4" s="518"/>
      <c r="C4" s="518"/>
      <c r="D4" s="518"/>
      <c r="E4" s="518"/>
      <c r="F4" s="5"/>
    </row>
    <row r="5" spans="1:14" ht="13.5" customHeight="1">
      <c r="A5" s="11"/>
      <c r="B5" s="11"/>
      <c r="C5" s="11"/>
      <c r="D5" s="11"/>
      <c r="E5" s="108"/>
      <c r="F5" s="5"/>
      <c r="N5" s="11"/>
    </row>
    <row r="6" spans="1:14" ht="13.5" customHeight="1">
      <c r="A6" s="11"/>
      <c r="B6" s="240" t="s">
        <v>648</v>
      </c>
      <c r="C6" s="241"/>
      <c r="D6" s="242"/>
      <c r="E6" s="243"/>
      <c r="F6" s="85" t="s">
        <v>17</v>
      </c>
      <c r="N6" s="11"/>
    </row>
    <row r="7" spans="1:14" ht="13.5" customHeight="1">
      <c r="A7" s="11"/>
      <c r="B7" s="11"/>
      <c r="C7" s="11"/>
      <c r="D7" s="11"/>
      <c r="E7" s="108"/>
      <c r="F7" s="131" t="s">
        <v>571</v>
      </c>
      <c r="N7" s="11"/>
    </row>
    <row r="8" spans="1:15" ht="13.5" customHeight="1">
      <c r="A8" s="11"/>
      <c r="B8" s="11"/>
      <c r="C8" s="11"/>
      <c r="D8" s="11"/>
      <c r="E8" s="108"/>
      <c r="F8" s="5"/>
      <c r="M8" s="1" t="s">
        <v>21</v>
      </c>
      <c r="N8" s="11"/>
      <c r="O8" s="86"/>
    </row>
    <row r="9" spans="1:14" ht="13.5" customHeight="1">
      <c r="A9" s="11"/>
      <c r="F9" s="5"/>
      <c r="K9" s="2" t="s">
        <v>32</v>
      </c>
      <c r="L9" s="8" t="str">
        <f>IF('基本情報入力（使い方）'!$C$11="","",'基本情報入力（使い方）'!$C$11)</f>
        <v>Ｂ金属株式会社</v>
      </c>
      <c r="N9" s="11"/>
    </row>
    <row r="10" spans="1:14" ht="13.5" customHeight="1" thickBot="1">
      <c r="A10" s="11"/>
      <c r="F10" s="5"/>
      <c r="N10" s="11"/>
    </row>
    <row r="11" spans="1:17" ht="27" customHeight="1">
      <c r="A11" s="510" t="s">
        <v>2</v>
      </c>
      <c r="B11" s="508" t="s">
        <v>3</v>
      </c>
      <c r="C11" s="508"/>
      <c r="D11" s="509"/>
      <c r="E11" s="109" t="s">
        <v>4</v>
      </c>
      <c r="F11" s="3" t="s">
        <v>5</v>
      </c>
      <c r="G11" s="3" t="s">
        <v>6</v>
      </c>
      <c r="H11" s="80" t="s">
        <v>7</v>
      </c>
      <c r="I11" s="3" t="s">
        <v>1</v>
      </c>
      <c r="J11" s="3" t="s">
        <v>1</v>
      </c>
      <c r="K11" s="508" t="s">
        <v>8</v>
      </c>
      <c r="L11" s="509"/>
      <c r="M11" s="80" t="s">
        <v>9</v>
      </c>
      <c r="N11" s="510" t="s">
        <v>2</v>
      </c>
      <c r="O11" s="523" t="s">
        <v>40</v>
      </c>
      <c r="Q11" s="124" t="s">
        <v>562</v>
      </c>
    </row>
    <row r="12" spans="1:17" ht="42" customHeight="1" thickBot="1">
      <c r="A12" s="511"/>
      <c r="B12" s="89" t="s">
        <v>10</v>
      </c>
      <c r="C12" s="89" t="s">
        <v>11</v>
      </c>
      <c r="D12" s="90" t="s">
        <v>12</v>
      </c>
      <c r="E12" s="110"/>
      <c r="F12" s="92"/>
      <c r="G12" s="78"/>
      <c r="H12" s="4"/>
      <c r="I12" s="78" t="s">
        <v>13</v>
      </c>
      <c r="J12" s="78" t="s">
        <v>25</v>
      </c>
      <c r="K12" s="38" t="s">
        <v>14</v>
      </c>
      <c r="L12" s="4" t="s">
        <v>23</v>
      </c>
      <c r="M12" s="4" t="s">
        <v>15</v>
      </c>
      <c r="N12" s="511"/>
      <c r="O12" s="524"/>
      <c r="Q12" s="125" t="s">
        <v>560</v>
      </c>
    </row>
    <row r="13" spans="1:18" ht="30.75" customHeight="1">
      <c r="A13" s="185">
        <v>2</v>
      </c>
      <c r="B13" s="525">
        <v>42658</v>
      </c>
      <c r="C13" s="526"/>
      <c r="D13" s="526"/>
      <c r="E13" s="70" t="s">
        <v>585</v>
      </c>
      <c r="F13" s="70" t="s">
        <v>586</v>
      </c>
      <c r="G13" s="174">
        <v>1</v>
      </c>
      <c r="H13" s="166" t="s">
        <v>584</v>
      </c>
      <c r="I13" s="153">
        <f aca="true" t="shared" si="0" ref="I13:I32">IF(J13="","",ROUNDDOWN(J13*(1+O13/100),0))</f>
        <v>432000</v>
      </c>
      <c r="J13" s="154">
        <v>400000</v>
      </c>
      <c r="K13" s="153">
        <f>IF(L13="","",ROUNDDOWN(L13*(1+O13/100),0))</f>
        <v>432000</v>
      </c>
      <c r="L13" s="153">
        <f>IF(OR(J13="",G13=""),"",ROUNDDOWN(J13*G13,0))</f>
        <v>400000</v>
      </c>
      <c r="M13" s="153">
        <f>L13</f>
        <v>400000</v>
      </c>
      <c r="N13" s="117">
        <f aca="true" t="shared" si="1" ref="N13:N32">IF(A13="","",A13)</f>
        <v>2</v>
      </c>
      <c r="O13" s="133">
        <v>8</v>
      </c>
      <c r="P13" s="1"/>
      <c r="Q13" s="186">
        <f>IF(M13="","",ROUNDDOWN(M13/G13*2/3,0)*G13)</f>
        <v>266666</v>
      </c>
      <c r="R13" s="1"/>
    </row>
    <row r="14" spans="1:18" ht="30.75" customHeight="1">
      <c r="A14" s="183">
        <v>3</v>
      </c>
      <c r="B14" s="527">
        <v>42674</v>
      </c>
      <c r="C14" s="528"/>
      <c r="D14" s="528"/>
      <c r="E14" s="72" t="s">
        <v>703</v>
      </c>
      <c r="F14" s="72" t="s">
        <v>704</v>
      </c>
      <c r="G14" s="171">
        <v>1</v>
      </c>
      <c r="H14" s="167" t="s">
        <v>584</v>
      </c>
      <c r="I14" s="146">
        <f t="shared" si="0"/>
        <v>432000</v>
      </c>
      <c r="J14" s="161">
        <v>400000</v>
      </c>
      <c r="K14" s="146">
        <f aca="true" t="shared" si="2" ref="K14:K32">IF(L14="","",ROUNDDOWN(L14*(1+O14/100),0))</f>
        <v>432000</v>
      </c>
      <c r="L14" s="146">
        <f aca="true" t="shared" si="3" ref="L14:L32">IF(OR(J14="",G14=""),"",ROUNDDOWN(J14*G14,0))</f>
        <v>400000</v>
      </c>
      <c r="M14" s="146">
        <f aca="true" t="shared" si="4" ref="M14:M32">L14</f>
        <v>400000</v>
      </c>
      <c r="N14" s="117">
        <f t="shared" si="1"/>
        <v>3</v>
      </c>
      <c r="O14" s="134">
        <v>8</v>
      </c>
      <c r="Q14" s="186">
        <f>IF(M14="","",ROUNDDOWN(M14/G14*2/3,0)*G14)</f>
        <v>266666</v>
      </c>
      <c r="R14" s="7"/>
    </row>
    <row r="15" spans="1:18" ht="30.75" customHeight="1">
      <c r="A15" s="183">
        <v>4</v>
      </c>
      <c r="B15" s="527"/>
      <c r="C15" s="528"/>
      <c r="D15" s="528"/>
      <c r="E15" s="72" t="s">
        <v>703</v>
      </c>
      <c r="F15" s="72" t="s">
        <v>705</v>
      </c>
      <c r="G15" s="171"/>
      <c r="H15" s="167" t="s">
        <v>584</v>
      </c>
      <c r="I15" s="146">
        <f t="shared" si="0"/>
        <v>432000</v>
      </c>
      <c r="J15" s="161">
        <v>400000</v>
      </c>
      <c r="K15" s="146">
        <f t="shared" si="2"/>
      </c>
      <c r="L15" s="146">
        <f t="shared" si="3"/>
      </c>
      <c r="M15" s="146">
        <f t="shared" si="4"/>
      </c>
      <c r="N15" s="117">
        <f t="shared" si="1"/>
        <v>4</v>
      </c>
      <c r="O15" s="134">
        <v>8</v>
      </c>
      <c r="P15" s="83"/>
      <c r="Q15" s="186">
        <f>IF(M15="","",ROUNDDOWN(M15/G15*2/3,0)*G15)</f>
      </c>
      <c r="R15" s="7"/>
    </row>
    <row r="16" spans="1:18" s="10" customFormat="1" ht="30.75" customHeight="1">
      <c r="A16" s="183">
        <v>5</v>
      </c>
      <c r="B16" s="527">
        <v>42643</v>
      </c>
      <c r="C16" s="528"/>
      <c r="D16" s="528"/>
      <c r="E16" s="72" t="s">
        <v>703</v>
      </c>
      <c r="F16" s="72" t="s">
        <v>706</v>
      </c>
      <c r="G16" s="171">
        <v>1</v>
      </c>
      <c r="H16" s="167" t="s">
        <v>584</v>
      </c>
      <c r="I16" s="146">
        <f t="shared" si="0"/>
        <v>432000</v>
      </c>
      <c r="J16" s="161">
        <v>400000</v>
      </c>
      <c r="K16" s="146">
        <f t="shared" si="2"/>
        <v>432000</v>
      </c>
      <c r="L16" s="146">
        <f t="shared" si="3"/>
        <v>400000</v>
      </c>
      <c r="M16" s="146">
        <f t="shared" si="4"/>
        <v>400000</v>
      </c>
      <c r="N16" s="117">
        <f t="shared" si="1"/>
        <v>5</v>
      </c>
      <c r="O16" s="134">
        <v>8</v>
      </c>
      <c r="P16" s="83"/>
      <c r="Q16" s="186">
        <f>IF(M16="","",ROUNDDOWN(M16/G16*2/3,0)*G16)</f>
        <v>266666</v>
      </c>
      <c r="R16" s="7"/>
    </row>
    <row r="17" spans="1:18" ht="30.75" customHeight="1">
      <c r="A17" s="183">
        <v>6</v>
      </c>
      <c r="B17" s="527">
        <v>42658</v>
      </c>
      <c r="C17" s="528"/>
      <c r="D17" s="528"/>
      <c r="E17" s="72" t="s">
        <v>703</v>
      </c>
      <c r="F17" s="72" t="s">
        <v>707</v>
      </c>
      <c r="G17" s="171">
        <v>1</v>
      </c>
      <c r="H17" s="167" t="s">
        <v>584</v>
      </c>
      <c r="I17" s="146">
        <f t="shared" si="0"/>
        <v>432000</v>
      </c>
      <c r="J17" s="161">
        <v>400000</v>
      </c>
      <c r="K17" s="146">
        <f t="shared" si="2"/>
        <v>432000</v>
      </c>
      <c r="L17" s="146">
        <f t="shared" si="3"/>
        <v>400000</v>
      </c>
      <c r="M17" s="146">
        <f t="shared" si="4"/>
        <v>400000</v>
      </c>
      <c r="N17" s="117">
        <f t="shared" si="1"/>
        <v>6</v>
      </c>
      <c r="O17" s="134">
        <v>8</v>
      </c>
      <c r="P17" s="83"/>
      <c r="Q17" s="186">
        <f aca="true" t="shared" si="5" ref="Q17:Q32">IF(M17="","",ROUNDDOWN(M17/G17*2/3,0)*G17)</f>
        <v>266666</v>
      </c>
      <c r="R17" s="7"/>
    </row>
    <row r="18" spans="1:17" ht="30.75" customHeight="1">
      <c r="A18" s="183">
        <v>7</v>
      </c>
      <c r="B18" s="527">
        <v>42643</v>
      </c>
      <c r="C18" s="528"/>
      <c r="D18" s="528"/>
      <c r="E18" s="72" t="s">
        <v>703</v>
      </c>
      <c r="F18" s="72" t="s">
        <v>708</v>
      </c>
      <c r="G18" s="171">
        <v>1</v>
      </c>
      <c r="H18" s="167" t="s">
        <v>584</v>
      </c>
      <c r="I18" s="146">
        <f t="shared" si="0"/>
        <v>432000</v>
      </c>
      <c r="J18" s="161">
        <v>400000</v>
      </c>
      <c r="K18" s="146">
        <f t="shared" si="2"/>
        <v>432000</v>
      </c>
      <c r="L18" s="146">
        <f t="shared" si="3"/>
        <v>400000</v>
      </c>
      <c r="M18" s="146">
        <f t="shared" si="4"/>
        <v>400000</v>
      </c>
      <c r="N18" s="117">
        <f t="shared" si="1"/>
        <v>7</v>
      </c>
      <c r="O18" s="134">
        <v>8</v>
      </c>
      <c r="P18" s="83"/>
      <c r="Q18" s="186">
        <f t="shared" si="5"/>
        <v>266666</v>
      </c>
    </row>
    <row r="19" spans="1:17" ht="30.75" customHeight="1">
      <c r="A19" s="183">
        <v>8</v>
      </c>
      <c r="B19" s="527">
        <v>42674</v>
      </c>
      <c r="C19" s="528"/>
      <c r="D19" s="528"/>
      <c r="E19" s="72" t="s">
        <v>703</v>
      </c>
      <c r="F19" s="72" t="s">
        <v>709</v>
      </c>
      <c r="G19" s="171">
        <v>1</v>
      </c>
      <c r="H19" s="167" t="s">
        <v>584</v>
      </c>
      <c r="I19" s="146">
        <f t="shared" si="0"/>
        <v>432000</v>
      </c>
      <c r="J19" s="161">
        <v>400000</v>
      </c>
      <c r="K19" s="146">
        <f t="shared" si="2"/>
        <v>432000</v>
      </c>
      <c r="L19" s="146">
        <f t="shared" si="3"/>
        <v>400000</v>
      </c>
      <c r="M19" s="146">
        <f t="shared" si="4"/>
        <v>400000</v>
      </c>
      <c r="N19" s="117">
        <f t="shared" si="1"/>
        <v>8</v>
      </c>
      <c r="O19" s="134">
        <v>8</v>
      </c>
      <c r="P19" s="83"/>
      <c r="Q19" s="186">
        <f t="shared" si="5"/>
        <v>266666</v>
      </c>
    </row>
    <row r="20" spans="1:18" s="10" customFormat="1" ht="30.75" customHeight="1">
      <c r="A20" s="183">
        <v>9</v>
      </c>
      <c r="B20" s="527"/>
      <c r="C20" s="528"/>
      <c r="D20" s="528"/>
      <c r="E20" s="72" t="s">
        <v>703</v>
      </c>
      <c r="F20" s="72" t="s">
        <v>710</v>
      </c>
      <c r="G20" s="171"/>
      <c r="H20" s="167" t="s">
        <v>584</v>
      </c>
      <c r="I20" s="146">
        <f t="shared" si="0"/>
        <v>432000</v>
      </c>
      <c r="J20" s="161">
        <v>400000</v>
      </c>
      <c r="K20" s="146">
        <f t="shared" si="2"/>
      </c>
      <c r="L20" s="146">
        <f t="shared" si="3"/>
      </c>
      <c r="M20" s="146">
        <f t="shared" si="4"/>
      </c>
      <c r="N20" s="117">
        <f t="shared" si="1"/>
        <v>9</v>
      </c>
      <c r="O20" s="134">
        <v>8</v>
      </c>
      <c r="P20" s="119"/>
      <c r="Q20" s="186">
        <f t="shared" si="5"/>
      </c>
      <c r="R20" s="120"/>
    </row>
    <row r="21" spans="1:17" ht="30.75" customHeight="1">
      <c r="A21" s="183"/>
      <c r="B21" s="527"/>
      <c r="C21" s="528"/>
      <c r="D21" s="528"/>
      <c r="E21" s="72"/>
      <c r="F21" s="72"/>
      <c r="G21" s="171"/>
      <c r="H21" s="167"/>
      <c r="I21" s="146">
        <f t="shared" si="0"/>
      </c>
      <c r="J21" s="161"/>
      <c r="K21" s="146">
        <f t="shared" si="2"/>
      </c>
      <c r="L21" s="146">
        <f t="shared" si="3"/>
      </c>
      <c r="M21" s="146">
        <f t="shared" si="4"/>
      </c>
      <c r="N21" s="117">
        <f t="shared" si="1"/>
      </c>
      <c r="O21" s="134">
        <v>8</v>
      </c>
      <c r="Q21" s="186">
        <f t="shared" si="5"/>
      </c>
    </row>
    <row r="22" spans="1:17" ht="30.75" customHeight="1">
      <c r="A22" s="183"/>
      <c r="B22" s="514"/>
      <c r="C22" s="515"/>
      <c r="D22" s="515"/>
      <c r="E22" s="72"/>
      <c r="F22" s="72"/>
      <c r="G22" s="170"/>
      <c r="H22" s="163"/>
      <c r="I22" s="145">
        <f t="shared" si="0"/>
      </c>
      <c r="J22" s="147"/>
      <c r="K22" s="145">
        <f t="shared" si="2"/>
      </c>
      <c r="L22" s="145">
        <f t="shared" si="3"/>
      </c>
      <c r="M22" s="146">
        <f t="shared" si="4"/>
      </c>
      <c r="N22" s="117">
        <f t="shared" si="1"/>
      </c>
      <c r="O22" s="111">
        <v>8</v>
      </c>
      <c r="Q22" s="186">
        <f t="shared" si="5"/>
      </c>
    </row>
    <row r="23" spans="1:17" ht="30.75" customHeight="1">
      <c r="A23" s="182"/>
      <c r="B23" s="514"/>
      <c r="C23" s="515"/>
      <c r="D23" s="515"/>
      <c r="E23" s="72"/>
      <c r="F23" s="72"/>
      <c r="G23" s="170"/>
      <c r="H23" s="163"/>
      <c r="I23" s="145">
        <f t="shared" si="0"/>
      </c>
      <c r="J23" s="147"/>
      <c r="K23" s="145">
        <f t="shared" si="2"/>
      </c>
      <c r="L23" s="145">
        <f t="shared" si="3"/>
      </c>
      <c r="M23" s="146">
        <f t="shared" si="4"/>
      </c>
      <c r="N23" s="117">
        <f t="shared" si="1"/>
      </c>
      <c r="O23" s="111">
        <v>8</v>
      </c>
      <c r="Q23" s="186">
        <f t="shared" si="5"/>
      </c>
    </row>
    <row r="24" spans="1:17" ht="30.75" customHeight="1">
      <c r="A24" s="183"/>
      <c r="B24" s="514"/>
      <c r="C24" s="515"/>
      <c r="D24" s="515"/>
      <c r="E24" s="72"/>
      <c r="F24" s="72"/>
      <c r="G24" s="170"/>
      <c r="H24" s="163"/>
      <c r="I24" s="145">
        <f t="shared" si="0"/>
      </c>
      <c r="J24" s="147"/>
      <c r="K24" s="145">
        <f t="shared" si="2"/>
      </c>
      <c r="L24" s="145">
        <f t="shared" si="3"/>
      </c>
      <c r="M24" s="146">
        <f t="shared" si="4"/>
      </c>
      <c r="N24" s="117">
        <f t="shared" si="1"/>
      </c>
      <c r="O24" s="111">
        <v>8</v>
      </c>
      <c r="Q24" s="186">
        <f t="shared" si="5"/>
      </c>
    </row>
    <row r="25" spans="1:17" ht="30.75" customHeight="1">
      <c r="A25" s="182"/>
      <c r="B25" s="514"/>
      <c r="C25" s="515"/>
      <c r="D25" s="515"/>
      <c r="E25" s="72"/>
      <c r="F25" s="72"/>
      <c r="G25" s="170"/>
      <c r="H25" s="163"/>
      <c r="I25" s="145">
        <f t="shared" si="0"/>
      </c>
      <c r="J25" s="147"/>
      <c r="K25" s="145">
        <f t="shared" si="2"/>
      </c>
      <c r="L25" s="145">
        <f t="shared" si="3"/>
      </c>
      <c r="M25" s="146">
        <f t="shared" si="4"/>
      </c>
      <c r="N25" s="117">
        <f t="shared" si="1"/>
      </c>
      <c r="O25" s="111">
        <v>8</v>
      </c>
      <c r="Q25" s="186">
        <f t="shared" si="5"/>
      </c>
    </row>
    <row r="26" spans="1:17" ht="30.75" customHeight="1">
      <c r="A26" s="183"/>
      <c r="B26" s="514"/>
      <c r="C26" s="515"/>
      <c r="D26" s="515"/>
      <c r="E26" s="73"/>
      <c r="F26" s="72"/>
      <c r="G26" s="170"/>
      <c r="H26" s="163"/>
      <c r="I26" s="145">
        <f t="shared" si="0"/>
      </c>
      <c r="J26" s="147"/>
      <c r="K26" s="145">
        <f t="shared" si="2"/>
      </c>
      <c r="L26" s="145">
        <f t="shared" si="3"/>
      </c>
      <c r="M26" s="146">
        <f t="shared" si="4"/>
      </c>
      <c r="N26" s="117">
        <f t="shared" si="1"/>
      </c>
      <c r="O26" s="111">
        <v>8</v>
      </c>
      <c r="Q26" s="186">
        <f t="shared" si="5"/>
      </c>
    </row>
    <row r="27" spans="1:17" ht="30.75" customHeight="1">
      <c r="A27" s="182"/>
      <c r="B27" s="514"/>
      <c r="C27" s="515"/>
      <c r="D27" s="515"/>
      <c r="E27" s="73"/>
      <c r="F27" s="72"/>
      <c r="G27" s="170"/>
      <c r="H27" s="163"/>
      <c r="I27" s="145">
        <f t="shared" si="0"/>
      </c>
      <c r="J27" s="147"/>
      <c r="K27" s="145">
        <f t="shared" si="2"/>
      </c>
      <c r="L27" s="145">
        <f t="shared" si="3"/>
      </c>
      <c r="M27" s="146">
        <f t="shared" si="4"/>
      </c>
      <c r="N27" s="117">
        <f t="shared" si="1"/>
      </c>
      <c r="O27" s="111">
        <v>8</v>
      </c>
      <c r="Q27" s="186">
        <f t="shared" si="5"/>
      </c>
    </row>
    <row r="28" spans="1:17" ht="30.75" customHeight="1">
      <c r="A28" s="183"/>
      <c r="B28" s="514"/>
      <c r="C28" s="515"/>
      <c r="D28" s="515"/>
      <c r="E28" s="72"/>
      <c r="F28" s="72"/>
      <c r="G28" s="170"/>
      <c r="H28" s="163"/>
      <c r="I28" s="145">
        <f t="shared" si="0"/>
      </c>
      <c r="J28" s="147"/>
      <c r="K28" s="145">
        <f t="shared" si="2"/>
      </c>
      <c r="L28" s="145">
        <f t="shared" si="3"/>
      </c>
      <c r="M28" s="146">
        <f t="shared" si="4"/>
      </c>
      <c r="N28" s="117">
        <f t="shared" si="1"/>
      </c>
      <c r="O28" s="111">
        <v>8</v>
      </c>
      <c r="Q28" s="186">
        <f t="shared" si="5"/>
      </c>
    </row>
    <row r="29" spans="1:17" ht="30.75" customHeight="1">
      <c r="A29" s="182"/>
      <c r="B29" s="514"/>
      <c r="C29" s="515"/>
      <c r="D29" s="515"/>
      <c r="E29" s="72"/>
      <c r="F29" s="72"/>
      <c r="G29" s="170"/>
      <c r="H29" s="163"/>
      <c r="I29" s="145">
        <f t="shared" si="0"/>
      </c>
      <c r="J29" s="147"/>
      <c r="K29" s="145">
        <f t="shared" si="2"/>
      </c>
      <c r="L29" s="145">
        <f t="shared" si="3"/>
      </c>
      <c r="M29" s="146">
        <f t="shared" si="4"/>
      </c>
      <c r="N29" s="117">
        <f t="shared" si="1"/>
      </c>
      <c r="O29" s="111">
        <v>8</v>
      </c>
      <c r="Q29" s="186">
        <f t="shared" si="5"/>
      </c>
    </row>
    <row r="30" spans="1:17" ht="30.75" customHeight="1">
      <c r="A30" s="183"/>
      <c r="B30" s="514"/>
      <c r="C30" s="515"/>
      <c r="D30" s="515"/>
      <c r="E30" s="72"/>
      <c r="F30" s="72"/>
      <c r="G30" s="170"/>
      <c r="H30" s="163"/>
      <c r="I30" s="145">
        <f t="shared" si="0"/>
      </c>
      <c r="J30" s="147"/>
      <c r="K30" s="145">
        <f t="shared" si="2"/>
      </c>
      <c r="L30" s="145">
        <f t="shared" si="3"/>
      </c>
      <c r="M30" s="146">
        <f t="shared" si="4"/>
      </c>
      <c r="N30" s="117">
        <f t="shared" si="1"/>
      </c>
      <c r="O30" s="111">
        <v>8</v>
      </c>
      <c r="Q30" s="186">
        <f t="shared" si="5"/>
      </c>
    </row>
    <row r="31" spans="1:17" ht="30.75" customHeight="1">
      <c r="A31" s="182"/>
      <c r="B31" s="514"/>
      <c r="C31" s="515"/>
      <c r="D31" s="515"/>
      <c r="E31" s="73"/>
      <c r="F31" s="72"/>
      <c r="G31" s="170"/>
      <c r="H31" s="163"/>
      <c r="I31" s="145">
        <f t="shared" si="0"/>
      </c>
      <c r="J31" s="147"/>
      <c r="K31" s="145">
        <f t="shared" si="2"/>
      </c>
      <c r="L31" s="145">
        <f t="shared" si="3"/>
      </c>
      <c r="M31" s="146">
        <f t="shared" si="4"/>
      </c>
      <c r="N31" s="117">
        <f t="shared" si="1"/>
      </c>
      <c r="O31" s="111">
        <v>8</v>
      </c>
      <c r="Q31" s="186">
        <f t="shared" si="5"/>
      </c>
    </row>
    <row r="32" spans="1:17" ht="30.75" customHeight="1" thickBot="1">
      <c r="A32" s="184"/>
      <c r="B32" s="521"/>
      <c r="C32" s="522"/>
      <c r="D32" s="522"/>
      <c r="E32" s="76"/>
      <c r="F32" s="76"/>
      <c r="G32" s="172"/>
      <c r="H32" s="164"/>
      <c r="I32" s="150">
        <f t="shared" si="0"/>
      </c>
      <c r="J32" s="162"/>
      <c r="K32" s="148">
        <f t="shared" si="2"/>
      </c>
      <c r="L32" s="148">
        <f t="shared" si="3"/>
      </c>
      <c r="M32" s="150">
        <f t="shared" si="4"/>
      </c>
      <c r="N32" s="121">
        <f t="shared" si="1"/>
      </c>
      <c r="O32" s="112">
        <v>8</v>
      </c>
      <c r="Q32" s="186">
        <f t="shared" si="5"/>
      </c>
    </row>
    <row r="33" spans="1:18" ht="21" customHeight="1" thickBot="1">
      <c r="A33" s="516" t="s">
        <v>16</v>
      </c>
      <c r="B33" s="517"/>
      <c r="C33" s="517"/>
      <c r="D33" s="517"/>
      <c r="E33" s="517"/>
      <c r="F33" s="517"/>
      <c r="G33" s="517"/>
      <c r="H33" s="517"/>
      <c r="I33" s="517"/>
      <c r="J33" s="79"/>
      <c r="K33" s="157">
        <f>SUM(K13:K32)</f>
        <v>2592000</v>
      </c>
      <c r="L33" s="157">
        <f>SUM(L13:L32)</f>
        <v>2400000</v>
      </c>
      <c r="M33" s="158">
        <f>SUM(M13:M32)</f>
        <v>2400000</v>
      </c>
      <c r="N33" s="14"/>
      <c r="Q33" s="178">
        <f>SUM(Q13:Q32)</f>
        <v>1599996</v>
      </c>
      <c r="R33" s="181"/>
    </row>
    <row r="34" spans="1:18" ht="13.5" customHeight="1">
      <c r="A34" s="11"/>
      <c r="N34" s="11"/>
      <c r="R34" s="130"/>
    </row>
    <row r="35" spans="2:18" ht="13.5" customHeight="1">
      <c r="B35" s="1" t="s">
        <v>18</v>
      </c>
      <c r="D35" s="87"/>
      <c r="E35" s="77" t="s">
        <v>33</v>
      </c>
      <c r="H35" s="1"/>
      <c r="M35" s="98"/>
      <c r="N35" s="11"/>
      <c r="Q35" s="98"/>
      <c r="R35" s="130"/>
    </row>
    <row r="36" spans="1:24" s="77" customFormat="1" ht="13.5" customHeight="1">
      <c r="A36" s="5"/>
      <c r="B36" s="1"/>
      <c r="C36" s="1"/>
      <c r="D36" s="1"/>
      <c r="E36" s="77" t="s">
        <v>34</v>
      </c>
      <c r="G36" s="1"/>
      <c r="H36" s="1"/>
      <c r="I36" s="1"/>
      <c r="J36" s="1"/>
      <c r="K36" s="1"/>
      <c r="L36" s="1"/>
      <c r="N36" s="15"/>
      <c r="O36" s="5"/>
      <c r="P36" s="5"/>
      <c r="Q36" s="81"/>
      <c r="R36" s="130"/>
      <c r="S36" s="81"/>
      <c r="T36" s="81"/>
      <c r="U36" s="81"/>
      <c r="V36" s="81"/>
      <c r="W36" s="81"/>
      <c r="X36" s="81"/>
    </row>
    <row r="37" spans="1:24" s="77" customFormat="1" ht="13.5" customHeight="1">
      <c r="A37" s="5"/>
      <c r="B37" s="1" t="s">
        <v>19</v>
      </c>
      <c r="C37" s="1"/>
      <c r="D37" s="1"/>
      <c r="E37" s="77" t="s">
        <v>35</v>
      </c>
      <c r="G37" s="1"/>
      <c r="H37" s="1"/>
      <c r="I37" s="1"/>
      <c r="J37" s="1"/>
      <c r="K37" s="1"/>
      <c r="L37" s="1"/>
      <c r="M37" s="98"/>
      <c r="N37" s="5"/>
      <c r="O37" s="5"/>
      <c r="P37" s="5"/>
      <c r="Q37" s="98"/>
      <c r="R37" s="53"/>
      <c r="S37" s="81"/>
      <c r="T37" s="81"/>
      <c r="U37" s="81"/>
      <c r="V37" s="81"/>
      <c r="W37" s="81"/>
      <c r="X37" s="81"/>
    </row>
    <row r="38" spans="1:24" s="77" customFormat="1" ht="13.5" customHeight="1">
      <c r="A38" s="5"/>
      <c r="B38" s="1" t="s">
        <v>20</v>
      </c>
      <c r="C38" s="1"/>
      <c r="D38" s="1"/>
      <c r="E38" s="77" t="s">
        <v>36</v>
      </c>
      <c r="G38" s="1"/>
      <c r="H38" s="1"/>
      <c r="I38" s="1"/>
      <c r="J38" s="1"/>
      <c r="K38" s="1"/>
      <c r="L38" s="1"/>
      <c r="M38" s="98"/>
      <c r="N38" s="5"/>
      <c r="O38" s="5"/>
      <c r="P38" s="5"/>
      <c r="Q38" s="98"/>
      <c r="R38" s="53"/>
      <c r="S38" s="81"/>
      <c r="T38" s="81"/>
      <c r="U38" s="81"/>
      <c r="V38" s="81"/>
      <c r="W38" s="81"/>
      <c r="X38" s="81"/>
    </row>
    <row r="39" spans="13:17" ht="13.5">
      <c r="M39" s="9"/>
      <c r="Q39" s="9"/>
    </row>
  </sheetData>
  <sheetProtection sheet="1" objects="1" scenarios="1"/>
  <mergeCells count="27">
    <mergeCell ref="B31:D31"/>
    <mergeCell ref="B32:D32"/>
    <mergeCell ref="A33:I33"/>
    <mergeCell ref="B25:D25"/>
    <mergeCell ref="B26:D26"/>
    <mergeCell ref="B27:D27"/>
    <mergeCell ref="B28:D28"/>
    <mergeCell ref="B29:D29"/>
    <mergeCell ref="B30:D30"/>
    <mergeCell ref="B19:D19"/>
    <mergeCell ref="B20:D20"/>
    <mergeCell ref="B21:D21"/>
    <mergeCell ref="B22:D22"/>
    <mergeCell ref="B23:D23"/>
    <mergeCell ref="B24:D24"/>
    <mergeCell ref="B13:D13"/>
    <mergeCell ref="B14:D14"/>
    <mergeCell ref="B15:D15"/>
    <mergeCell ref="B16:D16"/>
    <mergeCell ref="B17:D17"/>
    <mergeCell ref="B18:D18"/>
    <mergeCell ref="A4:E4"/>
    <mergeCell ref="A11:A12"/>
    <mergeCell ref="B11:D11"/>
    <mergeCell ref="K11:L11"/>
    <mergeCell ref="N11:N12"/>
    <mergeCell ref="O11:O12"/>
  </mergeCells>
  <dataValidations count="4">
    <dataValidation allowBlank="1" showInputMessage="1" showErrorMessage="1" imeMode="hiragana" sqref="L9"/>
    <dataValidation type="list" allowBlank="1" showInputMessage="1" showErrorMessage="1" sqref="P20:P32">
      <formula1>$Q$12:$Q$13</formula1>
    </dataValidation>
    <dataValidation type="list" allowBlank="1" showInputMessage="1" showErrorMessage="1" sqref="P18:P19 P15:P16">
      <formula1>$Q$12:$Q$14</formula1>
    </dataValidation>
    <dataValidation allowBlank="1" showInputMessage="1" showErrorMessage="1" imeMode="halfAlpha" sqref="Q13:Q32 I13:M32"/>
  </dataValidations>
  <hyperlinks>
    <hyperlink ref="B2" location="経費明細表!A1" display="戻る"/>
  </hyperlinks>
  <printOptions/>
  <pageMargins left="0.8661417322834646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">
    <tabColor rgb="FF92D050"/>
    <pageSetUpPr fitToPage="1"/>
  </sheetPr>
  <dimension ref="A1:R41"/>
  <sheetViews>
    <sheetView showGridLines="0" zoomScaleSheetLayoutView="80" workbookViewId="0" topLeftCell="A1">
      <pane ySplit="3" topLeftCell="A4" activePane="bottomLeft" state="frozen"/>
      <selection pane="topLeft" activeCell="O8" sqref="O8"/>
      <selection pane="bottomLeft" activeCell="A1" sqref="A1"/>
    </sheetView>
  </sheetViews>
  <sheetFormatPr defaultColWidth="9.140625" defaultRowHeight="15"/>
  <cols>
    <col min="1" max="1" width="3.7109375" style="5" customWidth="1"/>
    <col min="2" max="4" width="3.7109375" style="1" customWidth="1"/>
    <col min="5" max="5" width="16.421875" style="82" customWidth="1"/>
    <col min="6" max="6" width="16.140625" style="77" customWidth="1"/>
    <col min="7" max="7" width="9.140625" style="1" customWidth="1"/>
    <col min="8" max="8" width="6.421875" style="1" customWidth="1"/>
    <col min="9" max="10" width="11.57421875" style="1" customWidth="1"/>
    <col min="11" max="13" width="15.140625" style="1" customWidth="1"/>
    <col min="14" max="14" width="3.8515625" style="5" customWidth="1"/>
    <col min="15" max="15" width="5.28125" style="5" customWidth="1"/>
    <col min="16" max="16" width="10.421875" style="1" bestFit="1" customWidth="1"/>
    <col min="17" max="17" width="9.00390625" style="1" customWidth="1"/>
    <col min="18" max="18" width="10.421875" style="1" bestFit="1" customWidth="1"/>
    <col min="19" max="16384" width="9.00390625" style="1" customWidth="1"/>
  </cols>
  <sheetData>
    <row r="1" spans="8:18" ht="13.5">
      <c r="H1" s="5"/>
      <c r="P1" s="5"/>
      <c r="Q1" s="83"/>
      <c r="R1" s="83"/>
    </row>
    <row r="2" spans="2:18" ht="13.5">
      <c r="B2" s="248" t="s">
        <v>579</v>
      </c>
      <c r="H2" s="5"/>
      <c r="P2" s="5"/>
      <c r="Q2" s="83"/>
      <c r="R2" s="83"/>
    </row>
    <row r="3" spans="8:18" ht="13.5">
      <c r="H3" s="5"/>
      <c r="P3" s="5"/>
      <c r="Q3" s="83"/>
      <c r="R3" s="83"/>
    </row>
    <row r="4" spans="1:6" ht="13.5" customHeight="1">
      <c r="A4" s="518" t="s">
        <v>712</v>
      </c>
      <c r="B4" s="518"/>
      <c r="C4" s="518"/>
      <c r="D4" s="518"/>
      <c r="E4" s="518"/>
      <c r="F4" s="5"/>
    </row>
    <row r="5" spans="1:14" ht="13.5" customHeight="1">
      <c r="A5" s="11"/>
      <c r="B5" s="11"/>
      <c r="C5" s="11"/>
      <c r="D5" s="11"/>
      <c r="E5" s="108"/>
      <c r="F5" s="5"/>
      <c r="N5" s="11"/>
    </row>
    <row r="6" spans="1:14" ht="13.5" customHeight="1">
      <c r="A6" s="11"/>
      <c r="B6" s="240" t="s">
        <v>648</v>
      </c>
      <c r="C6" s="241"/>
      <c r="D6" s="242"/>
      <c r="E6" s="243"/>
      <c r="F6" s="85" t="s">
        <v>17</v>
      </c>
      <c r="N6" s="11"/>
    </row>
    <row r="7" spans="1:14" ht="13.5" customHeight="1">
      <c r="A7" s="11"/>
      <c r="B7" s="11"/>
      <c r="C7" s="11"/>
      <c r="D7" s="11"/>
      <c r="E7" s="108"/>
      <c r="F7" s="131" t="s">
        <v>24</v>
      </c>
      <c r="N7" s="11"/>
    </row>
    <row r="8" spans="1:15" ht="13.5" customHeight="1">
      <c r="A8" s="11"/>
      <c r="B8" s="11"/>
      <c r="C8" s="11"/>
      <c r="D8" s="11"/>
      <c r="E8" s="108"/>
      <c r="F8" s="5"/>
      <c r="M8" s="1" t="s">
        <v>21</v>
      </c>
      <c r="N8" s="11"/>
      <c r="O8" s="86"/>
    </row>
    <row r="9" spans="1:14" ht="13.5" customHeight="1">
      <c r="A9" s="11"/>
      <c r="F9" s="5"/>
      <c r="K9" s="2" t="s">
        <v>32</v>
      </c>
      <c r="L9" s="8" t="str">
        <f>IF('基本情報入力（使い方）'!$C$11="","",'基本情報入力（使い方）'!$C$11)</f>
        <v>Ｂ金属株式会社</v>
      </c>
      <c r="M9" s="2"/>
      <c r="N9" s="11"/>
    </row>
    <row r="10" spans="1:14" ht="13.5" customHeight="1" thickBot="1">
      <c r="A10" s="11"/>
      <c r="F10" s="5"/>
      <c r="N10" s="11"/>
    </row>
    <row r="11" spans="1:15" ht="27" customHeight="1">
      <c r="A11" s="519" t="s">
        <v>2</v>
      </c>
      <c r="B11" s="508" t="s">
        <v>3</v>
      </c>
      <c r="C11" s="508"/>
      <c r="D11" s="509"/>
      <c r="E11" s="109" t="s">
        <v>4</v>
      </c>
      <c r="F11" s="3" t="s">
        <v>5</v>
      </c>
      <c r="G11" s="3" t="s">
        <v>6</v>
      </c>
      <c r="H11" s="3" t="s">
        <v>7</v>
      </c>
      <c r="I11" s="3" t="s">
        <v>1</v>
      </c>
      <c r="J11" s="3" t="s">
        <v>1</v>
      </c>
      <c r="K11" s="529" t="s">
        <v>8</v>
      </c>
      <c r="L11" s="509"/>
      <c r="M11" s="80" t="s">
        <v>9</v>
      </c>
      <c r="N11" s="510" t="s">
        <v>2</v>
      </c>
      <c r="O11" s="523" t="s">
        <v>40</v>
      </c>
    </row>
    <row r="12" spans="1:15" ht="42" customHeight="1" thickBot="1">
      <c r="A12" s="520"/>
      <c r="B12" s="89" t="s">
        <v>10</v>
      </c>
      <c r="C12" s="89" t="s">
        <v>11</v>
      </c>
      <c r="D12" s="90" t="s">
        <v>12</v>
      </c>
      <c r="E12" s="110"/>
      <c r="F12" s="92"/>
      <c r="G12" s="78"/>
      <c r="H12" s="78"/>
      <c r="I12" s="78" t="s">
        <v>13</v>
      </c>
      <c r="J12" s="78" t="s">
        <v>25</v>
      </c>
      <c r="K12" s="78" t="s">
        <v>14</v>
      </c>
      <c r="L12" s="4" t="s">
        <v>23</v>
      </c>
      <c r="M12" s="4" t="s">
        <v>15</v>
      </c>
      <c r="N12" s="511"/>
      <c r="O12" s="524"/>
    </row>
    <row r="13" spans="1:15" ht="30.75" customHeight="1">
      <c r="A13" s="182">
        <v>1</v>
      </c>
      <c r="B13" s="514">
        <v>42674</v>
      </c>
      <c r="C13" s="515"/>
      <c r="D13" s="515"/>
      <c r="E13" s="70" t="s">
        <v>587</v>
      </c>
      <c r="F13" s="71" t="s">
        <v>588</v>
      </c>
      <c r="G13" s="170">
        <v>20</v>
      </c>
      <c r="H13" s="163" t="s">
        <v>718</v>
      </c>
      <c r="I13" s="145">
        <f>IF(J13="","",ROUNDDOWN(J13*(1+O13/100),0))</f>
        <v>5140</v>
      </c>
      <c r="J13" s="147">
        <v>4760</v>
      </c>
      <c r="K13" s="145">
        <f>IF(L13="","",ROUNDDOWN(L13*(1+O13/100),0))</f>
        <v>102816</v>
      </c>
      <c r="L13" s="145">
        <f>IF(OR(J13="",G13=""),"",ROUNDDOWN(J13*G13,0))</f>
        <v>95200</v>
      </c>
      <c r="M13" s="145">
        <f aca="true" t="shared" si="0" ref="M13:M32">L13</f>
        <v>95200</v>
      </c>
      <c r="N13" s="12">
        <v>1</v>
      </c>
      <c r="O13" s="111">
        <v>8</v>
      </c>
    </row>
    <row r="14" spans="1:16" ht="30.75" customHeight="1">
      <c r="A14" s="183">
        <v>2</v>
      </c>
      <c r="B14" s="514">
        <v>42674</v>
      </c>
      <c r="C14" s="515"/>
      <c r="D14" s="515"/>
      <c r="E14" s="71" t="s">
        <v>587</v>
      </c>
      <c r="F14" s="71" t="s">
        <v>589</v>
      </c>
      <c r="G14" s="171">
        <v>10</v>
      </c>
      <c r="H14" s="163" t="s">
        <v>719</v>
      </c>
      <c r="I14" s="145">
        <f aca="true" t="shared" si="1" ref="I14:I32">IF(J14="","",ROUNDDOWN(J14*(1+O14/100),0))</f>
        <v>3807</v>
      </c>
      <c r="J14" s="161">
        <v>3525</v>
      </c>
      <c r="K14" s="145">
        <f aca="true" t="shared" si="2" ref="K14:K32">IF(L14="","",ROUNDDOWN(L14*(1+O14/100),0))</f>
        <v>38070</v>
      </c>
      <c r="L14" s="146">
        <f aca="true" t="shared" si="3" ref="L14:L32">IF(OR(J14="",G14=""),"",ROUNDDOWN(J14*G14,0))</f>
        <v>35250</v>
      </c>
      <c r="M14" s="146">
        <f t="shared" si="0"/>
        <v>35250</v>
      </c>
      <c r="N14" s="13">
        <v>2</v>
      </c>
      <c r="O14" s="111">
        <v>8</v>
      </c>
      <c r="P14" s="86"/>
    </row>
    <row r="15" spans="1:16" ht="30.75" customHeight="1">
      <c r="A15" s="182">
        <v>3</v>
      </c>
      <c r="B15" s="514"/>
      <c r="C15" s="515"/>
      <c r="D15" s="515"/>
      <c r="E15" s="72" t="s">
        <v>587</v>
      </c>
      <c r="F15" s="72" t="s">
        <v>720</v>
      </c>
      <c r="G15" s="171"/>
      <c r="H15" s="163" t="s">
        <v>719</v>
      </c>
      <c r="I15" s="145">
        <f t="shared" si="1"/>
        <v>16200</v>
      </c>
      <c r="J15" s="161">
        <v>15000</v>
      </c>
      <c r="K15" s="145">
        <f t="shared" si="2"/>
      </c>
      <c r="L15" s="146">
        <f t="shared" si="3"/>
      </c>
      <c r="M15" s="146">
        <f t="shared" si="0"/>
      </c>
      <c r="N15" s="12">
        <v>3</v>
      </c>
      <c r="O15" s="111">
        <v>8</v>
      </c>
      <c r="P15" s="86"/>
    </row>
    <row r="16" spans="1:18" s="10" customFormat="1" ht="30.75" customHeight="1">
      <c r="A16" s="183">
        <v>4</v>
      </c>
      <c r="B16" s="514">
        <v>42643</v>
      </c>
      <c r="C16" s="515"/>
      <c r="D16" s="515"/>
      <c r="E16" s="72" t="s">
        <v>587</v>
      </c>
      <c r="F16" s="72" t="s">
        <v>721</v>
      </c>
      <c r="G16" s="170">
        <v>10</v>
      </c>
      <c r="H16" s="163" t="s">
        <v>719</v>
      </c>
      <c r="I16" s="145">
        <f t="shared" si="1"/>
        <v>1620</v>
      </c>
      <c r="J16" s="161">
        <v>1500</v>
      </c>
      <c r="K16" s="145">
        <f t="shared" si="2"/>
        <v>16200</v>
      </c>
      <c r="L16" s="146">
        <f t="shared" si="3"/>
        <v>15000</v>
      </c>
      <c r="M16" s="146">
        <f t="shared" si="0"/>
        <v>15000</v>
      </c>
      <c r="N16" s="13">
        <v>4</v>
      </c>
      <c r="O16" s="111">
        <v>8</v>
      </c>
      <c r="P16" s="86"/>
      <c r="Q16" s="1"/>
      <c r="R16" s="1"/>
    </row>
    <row r="17" spans="1:18" s="10" customFormat="1" ht="30.75" customHeight="1">
      <c r="A17" s="182">
        <v>5</v>
      </c>
      <c r="B17" s="514">
        <v>42674</v>
      </c>
      <c r="C17" s="515"/>
      <c r="D17" s="515"/>
      <c r="E17" s="72" t="s">
        <v>587</v>
      </c>
      <c r="F17" s="72" t="s">
        <v>721</v>
      </c>
      <c r="G17" s="171">
        <v>1</v>
      </c>
      <c r="H17" s="163" t="s">
        <v>719</v>
      </c>
      <c r="I17" s="145">
        <f t="shared" si="1"/>
        <v>129600</v>
      </c>
      <c r="J17" s="161">
        <v>120000</v>
      </c>
      <c r="K17" s="145">
        <f t="shared" si="2"/>
        <v>129600</v>
      </c>
      <c r="L17" s="146">
        <f t="shared" si="3"/>
        <v>120000</v>
      </c>
      <c r="M17" s="146">
        <f t="shared" si="0"/>
        <v>120000</v>
      </c>
      <c r="N17" s="12">
        <v>5</v>
      </c>
      <c r="O17" s="111">
        <v>8</v>
      </c>
      <c r="P17" s="1"/>
      <c r="Q17" s="1"/>
      <c r="R17" s="1"/>
    </row>
    <row r="18" spans="1:15" ht="30.75" customHeight="1">
      <c r="A18" s="183">
        <v>6</v>
      </c>
      <c r="B18" s="514"/>
      <c r="C18" s="515"/>
      <c r="D18" s="515"/>
      <c r="E18" s="73" t="s">
        <v>587</v>
      </c>
      <c r="F18" s="72" t="s">
        <v>721</v>
      </c>
      <c r="G18" s="171"/>
      <c r="H18" s="163" t="s">
        <v>719</v>
      </c>
      <c r="I18" s="145">
        <f t="shared" si="1"/>
        <v>105840</v>
      </c>
      <c r="J18" s="161">
        <v>98000</v>
      </c>
      <c r="K18" s="145">
        <f t="shared" si="2"/>
      </c>
      <c r="L18" s="146">
        <f t="shared" si="3"/>
      </c>
      <c r="M18" s="146">
        <f t="shared" si="0"/>
      </c>
      <c r="N18" s="13">
        <v>6</v>
      </c>
      <c r="O18" s="111">
        <v>8</v>
      </c>
    </row>
    <row r="19" spans="1:15" ht="30.75" customHeight="1">
      <c r="A19" s="182"/>
      <c r="B19" s="514"/>
      <c r="C19" s="515"/>
      <c r="D19" s="515"/>
      <c r="E19" s="73"/>
      <c r="F19" s="72"/>
      <c r="G19" s="170"/>
      <c r="H19" s="167"/>
      <c r="I19" s="145">
        <f t="shared" si="1"/>
      </c>
      <c r="J19" s="161"/>
      <c r="K19" s="145">
        <f t="shared" si="2"/>
      </c>
      <c r="L19" s="146">
        <f t="shared" si="3"/>
      </c>
      <c r="M19" s="146">
        <f t="shared" si="0"/>
      </c>
      <c r="N19" s="12">
        <v>7</v>
      </c>
      <c r="O19" s="111">
        <v>8</v>
      </c>
    </row>
    <row r="20" spans="1:15" ht="30.75" customHeight="1">
      <c r="A20" s="183"/>
      <c r="B20" s="514"/>
      <c r="C20" s="515"/>
      <c r="D20" s="515"/>
      <c r="E20" s="73"/>
      <c r="F20" s="72"/>
      <c r="G20" s="171"/>
      <c r="H20" s="167"/>
      <c r="I20" s="145">
        <f t="shared" si="1"/>
      </c>
      <c r="J20" s="161"/>
      <c r="K20" s="145">
        <f t="shared" si="2"/>
      </c>
      <c r="L20" s="146">
        <f t="shared" si="3"/>
      </c>
      <c r="M20" s="146">
        <f t="shared" si="0"/>
      </c>
      <c r="N20" s="13">
        <v>8</v>
      </c>
      <c r="O20" s="111">
        <v>8</v>
      </c>
    </row>
    <row r="21" spans="1:15" ht="30.75" customHeight="1">
      <c r="A21" s="182"/>
      <c r="B21" s="514"/>
      <c r="C21" s="515"/>
      <c r="D21" s="515"/>
      <c r="E21" s="73"/>
      <c r="F21" s="72"/>
      <c r="G21" s="171"/>
      <c r="H21" s="167"/>
      <c r="I21" s="145">
        <f t="shared" si="1"/>
      </c>
      <c r="J21" s="161"/>
      <c r="K21" s="145">
        <f t="shared" si="2"/>
      </c>
      <c r="L21" s="146">
        <f t="shared" si="3"/>
      </c>
      <c r="M21" s="146">
        <f t="shared" si="0"/>
      </c>
      <c r="N21" s="12">
        <v>9</v>
      </c>
      <c r="O21" s="111">
        <v>8</v>
      </c>
    </row>
    <row r="22" spans="1:15" ht="30.75" customHeight="1">
      <c r="A22" s="183"/>
      <c r="B22" s="514"/>
      <c r="C22" s="515"/>
      <c r="D22" s="515"/>
      <c r="E22" s="73"/>
      <c r="F22" s="72"/>
      <c r="G22" s="170"/>
      <c r="H22" s="167"/>
      <c r="I22" s="145">
        <f t="shared" si="1"/>
      </c>
      <c r="J22" s="161"/>
      <c r="K22" s="145">
        <f t="shared" si="2"/>
      </c>
      <c r="L22" s="146">
        <f t="shared" si="3"/>
      </c>
      <c r="M22" s="146">
        <f t="shared" si="0"/>
      </c>
      <c r="N22" s="13">
        <v>10</v>
      </c>
      <c r="O22" s="111">
        <v>8</v>
      </c>
    </row>
    <row r="23" spans="1:15" ht="30.75" customHeight="1">
      <c r="A23" s="182"/>
      <c r="B23" s="514"/>
      <c r="C23" s="515"/>
      <c r="D23" s="515"/>
      <c r="E23" s="73"/>
      <c r="F23" s="72"/>
      <c r="G23" s="171"/>
      <c r="H23" s="167"/>
      <c r="I23" s="145">
        <f t="shared" si="1"/>
      </c>
      <c r="J23" s="161"/>
      <c r="K23" s="145">
        <f t="shared" si="2"/>
      </c>
      <c r="L23" s="146">
        <f t="shared" si="3"/>
      </c>
      <c r="M23" s="146">
        <f t="shared" si="0"/>
      </c>
      <c r="N23" s="12">
        <v>11</v>
      </c>
      <c r="O23" s="111">
        <v>8</v>
      </c>
    </row>
    <row r="24" spans="1:15" ht="30.75" customHeight="1">
      <c r="A24" s="183"/>
      <c r="B24" s="514"/>
      <c r="C24" s="515"/>
      <c r="D24" s="515"/>
      <c r="E24" s="73"/>
      <c r="F24" s="72"/>
      <c r="G24" s="171"/>
      <c r="H24" s="167"/>
      <c r="I24" s="145">
        <f t="shared" si="1"/>
      </c>
      <c r="J24" s="161"/>
      <c r="K24" s="145">
        <f t="shared" si="2"/>
      </c>
      <c r="L24" s="146">
        <f t="shared" si="3"/>
      </c>
      <c r="M24" s="146">
        <f t="shared" si="0"/>
      </c>
      <c r="N24" s="13">
        <v>12</v>
      </c>
      <c r="O24" s="111">
        <v>8</v>
      </c>
    </row>
    <row r="25" spans="1:15" ht="30.75" customHeight="1">
      <c r="A25" s="182"/>
      <c r="B25" s="514"/>
      <c r="C25" s="515"/>
      <c r="D25" s="515"/>
      <c r="E25" s="73"/>
      <c r="F25" s="72"/>
      <c r="G25" s="170"/>
      <c r="H25" s="167"/>
      <c r="I25" s="145">
        <f t="shared" si="1"/>
      </c>
      <c r="J25" s="161"/>
      <c r="K25" s="145">
        <f t="shared" si="2"/>
      </c>
      <c r="L25" s="146">
        <f t="shared" si="3"/>
      </c>
      <c r="M25" s="146">
        <f t="shared" si="0"/>
      </c>
      <c r="N25" s="12">
        <v>13</v>
      </c>
      <c r="O25" s="111">
        <v>8</v>
      </c>
    </row>
    <row r="26" spans="1:15" ht="30.75" customHeight="1">
      <c r="A26" s="183"/>
      <c r="B26" s="514"/>
      <c r="C26" s="515"/>
      <c r="D26" s="515"/>
      <c r="E26" s="73"/>
      <c r="F26" s="72"/>
      <c r="G26" s="171"/>
      <c r="H26" s="167"/>
      <c r="I26" s="145">
        <f t="shared" si="1"/>
      </c>
      <c r="J26" s="161"/>
      <c r="K26" s="145">
        <f t="shared" si="2"/>
      </c>
      <c r="L26" s="146">
        <f t="shared" si="3"/>
      </c>
      <c r="M26" s="146">
        <f t="shared" si="0"/>
      </c>
      <c r="N26" s="13">
        <v>14</v>
      </c>
      <c r="O26" s="111">
        <v>8</v>
      </c>
    </row>
    <row r="27" spans="1:15" ht="30.75" customHeight="1">
      <c r="A27" s="182"/>
      <c r="B27" s="514"/>
      <c r="C27" s="515"/>
      <c r="D27" s="515"/>
      <c r="E27" s="73"/>
      <c r="F27" s="72"/>
      <c r="G27" s="170"/>
      <c r="H27" s="167"/>
      <c r="I27" s="145">
        <f t="shared" si="1"/>
      </c>
      <c r="J27" s="161"/>
      <c r="K27" s="145">
        <f t="shared" si="2"/>
      </c>
      <c r="L27" s="146">
        <f t="shared" si="3"/>
      </c>
      <c r="M27" s="146">
        <f t="shared" si="0"/>
      </c>
      <c r="N27" s="12">
        <v>15</v>
      </c>
      <c r="O27" s="111">
        <v>8</v>
      </c>
    </row>
    <row r="28" spans="1:15" ht="30.75" customHeight="1">
      <c r="A28" s="183"/>
      <c r="B28" s="514"/>
      <c r="C28" s="515"/>
      <c r="D28" s="515"/>
      <c r="E28" s="73"/>
      <c r="F28" s="72"/>
      <c r="G28" s="171"/>
      <c r="H28" s="167"/>
      <c r="I28" s="145">
        <f t="shared" si="1"/>
      </c>
      <c r="J28" s="161"/>
      <c r="K28" s="145">
        <f t="shared" si="2"/>
      </c>
      <c r="L28" s="146">
        <f t="shared" si="3"/>
      </c>
      <c r="M28" s="146">
        <f t="shared" si="0"/>
      </c>
      <c r="N28" s="13">
        <v>16</v>
      </c>
      <c r="O28" s="111">
        <v>8</v>
      </c>
    </row>
    <row r="29" spans="1:15" ht="30.75" customHeight="1">
      <c r="A29" s="182"/>
      <c r="B29" s="514"/>
      <c r="C29" s="515"/>
      <c r="D29" s="515"/>
      <c r="E29" s="73"/>
      <c r="F29" s="72"/>
      <c r="G29" s="170"/>
      <c r="H29" s="167"/>
      <c r="I29" s="145">
        <f t="shared" si="1"/>
      </c>
      <c r="J29" s="161"/>
      <c r="K29" s="145">
        <f t="shared" si="2"/>
      </c>
      <c r="L29" s="146">
        <f t="shared" si="3"/>
      </c>
      <c r="M29" s="146">
        <f t="shared" si="0"/>
      </c>
      <c r="N29" s="12">
        <v>17</v>
      </c>
      <c r="O29" s="111">
        <v>8</v>
      </c>
    </row>
    <row r="30" spans="1:15" ht="30.75" customHeight="1">
      <c r="A30" s="183"/>
      <c r="B30" s="514"/>
      <c r="C30" s="515"/>
      <c r="D30" s="515"/>
      <c r="E30" s="74"/>
      <c r="F30" s="74"/>
      <c r="G30" s="175"/>
      <c r="H30" s="168"/>
      <c r="I30" s="145">
        <f t="shared" si="1"/>
      </c>
      <c r="J30" s="161"/>
      <c r="K30" s="145">
        <f t="shared" si="2"/>
      </c>
      <c r="L30" s="146">
        <f t="shared" si="3"/>
      </c>
      <c r="M30" s="146">
        <f t="shared" si="0"/>
      </c>
      <c r="N30" s="13">
        <v>18</v>
      </c>
      <c r="O30" s="111">
        <v>8</v>
      </c>
    </row>
    <row r="31" spans="1:15" ht="30.75" customHeight="1">
      <c r="A31" s="182"/>
      <c r="B31" s="514"/>
      <c r="C31" s="515"/>
      <c r="D31" s="515"/>
      <c r="E31" s="74"/>
      <c r="F31" s="74"/>
      <c r="G31" s="175"/>
      <c r="H31" s="168"/>
      <c r="I31" s="145">
        <f t="shared" si="1"/>
      </c>
      <c r="J31" s="161"/>
      <c r="K31" s="145">
        <f t="shared" si="2"/>
      </c>
      <c r="L31" s="146">
        <f t="shared" si="3"/>
      </c>
      <c r="M31" s="146">
        <f t="shared" si="0"/>
      </c>
      <c r="N31" s="12">
        <v>19</v>
      </c>
      <c r="O31" s="111">
        <v>8</v>
      </c>
    </row>
    <row r="32" spans="1:15" ht="30.75" customHeight="1" thickBot="1">
      <c r="A32" s="184"/>
      <c r="B32" s="521"/>
      <c r="C32" s="522"/>
      <c r="D32" s="522"/>
      <c r="E32" s="75"/>
      <c r="F32" s="75"/>
      <c r="G32" s="176"/>
      <c r="H32" s="169"/>
      <c r="I32" s="148">
        <f t="shared" si="1"/>
      </c>
      <c r="J32" s="162"/>
      <c r="K32" s="148">
        <f t="shared" si="2"/>
      </c>
      <c r="L32" s="150">
        <f t="shared" si="3"/>
      </c>
      <c r="M32" s="150">
        <f t="shared" si="0"/>
      </c>
      <c r="N32" s="25">
        <v>20</v>
      </c>
      <c r="O32" s="112">
        <v>8</v>
      </c>
    </row>
    <row r="33" spans="1:14" ht="21" customHeight="1" thickBot="1">
      <c r="A33" s="516" t="s">
        <v>16</v>
      </c>
      <c r="B33" s="517"/>
      <c r="C33" s="517"/>
      <c r="D33" s="517"/>
      <c r="E33" s="517"/>
      <c r="F33" s="517"/>
      <c r="G33" s="517"/>
      <c r="H33" s="517"/>
      <c r="I33" s="517"/>
      <c r="J33" s="79"/>
      <c r="K33" s="157">
        <f>SUM(K13:K32)</f>
        <v>286686</v>
      </c>
      <c r="L33" s="159">
        <f>SUM(L13:L32)</f>
        <v>265450</v>
      </c>
      <c r="M33" s="160">
        <f>SUM(M13:M32)</f>
        <v>265450</v>
      </c>
      <c r="N33" s="14"/>
    </row>
    <row r="34" spans="1:14" ht="13.5" customHeight="1">
      <c r="A34" s="11"/>
      <c r="N34" s="11"/>
    </row>
    <row r="35" spans="2:14" ht="13.5" customHeight="1">
      <c r="B35" s="1" t="s">
        <v>18</v>
      </c>
      <c r="D35" s="87"/>
      <c r="E35" s="77" t="s">
        <v>33</v>
      </c>
      <c r="N35" s="11"/>
    </row>
    <row r="36" spans="5:16" ht="13.5" customHeight="1">
      <c r="E36" s="77" t="s">
        <v>34</v>
      </c>
      <c r="N36" s="15"/>
      <c r="P36" s="77"/>
    </row>
    <row r="37" spans="2:16" ht="13.5" customHeight="1">
      <c r="B37" s="1" t="s">
        <v>19</v>
      </c>
      <c r="E37" s="77" t="s">
        <v>35</v>
      </c>
      <c r="P37" s="77"/>
    </row>
    <row r="38" spans="2:16" ht="13.5" customHeight="1">
      <c r="B38" s="1" t="s">
        <v>20</v>
      </c>
      <c r="E38" s="77" t="s">
        <v>36</v>
      </c>
      <c r="P38" s="77"/>
    </row>
    <row r="39" spans="1:16" s="77" customFormat="1" ht="13.5">
      <c r="A39" s="5"/>
      <c r="B39" s="1"/>
      <c r="C39" s="1"/>
      <c r="D39" s="1"/>
      <c r="E39" s="82"/>
      <c r="G39" s="1"/>
      <c r="H39" s="1"/>
      <c r="I39" s="1"/>
      <c r="J39" s="1"/>
      <c r="K39" s="1"/>
      <c r="L39" s="1"/>
      <c r="M39" s="1"/>
      <c r="N39" s="5"/>
      <c r="O39" s="5"/>
      <c r="P39" s="1"/>
    </row>
    <row r="40" spans="1:16" s="77" customFormat="1" ht="13.5">
      <c r="A40" s="5"/>
      <c r="B40" s="1"/>
      <c r="C40" s="1"/>
      <c r="D40" s="1"/>
      <c r="E40" s="82"/>
      <c r="G40" s="1"/>
      <c r="H40" s="1"/>
      <c r="I40" s="1"/>
      <c r="J40" s="1"/>
      <c r="K40" s="1"/>
      <c r="L40" s="1"/>
      <c r="M40" s="1"/>
      <c r="N40" s="5"/>
      <c r="O40" s="5"/>
      <c r="P40" s="1"/>
    </row>
    <row r="41" spans="1:16" s="77" customFormat="1" ht="13.5">
      <c r="A41" s="5"/>
      <c r="B41" s="1"/>
      <c r="C41" s="1"/>
      <c r="D41" s="1"/>
      <c r="E41" s="82"/>
      <c r="G41" s="1"/>
      <c r="H41" s="1"/>
      <c r="I41" s="1"/>
      <c r="J41" s="1"/>
      <c r="K41" s="1"/>
      <c r="L41" s="1"/>
      <c r="M41" s="1"/>
      <c r="N41" s="5"/>
      <c r="O41" s="5"/>
      <c r="P41" s="1"/>
    </row>
  </sheetData>
  <sheetProtection sheet="1" objects="1" scenarios="1"/>
  <mergeCells count="27">
    <mergeCell ref="A4:E4"/>
    <mergeCell ref="A11:A12"/>
    <mergeCell ref="B11:D11"/>
    <mergeCell ref="K11:L11"/>
    <mergeCell ref="N11:N12"/>
    <mergeCell ref="O11:O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31:D31"/>
    <mergeCell ref="B32:D32"/>
    <mergeCell ref="A33:I33"/>
    <mergeCell ref="B25:D25"/>
    <mergeCell ref="B26:D26"/>
    <mergeCell ref="B27:D27"/>
    <mergeCell ref="B28:D28"/>
    <mergeCell ref="B29:D29"/>
    <mergeCell ref="B30:D30"/>
  </mergeCells>
  <dataValidations count="2">
    <dataValidation allowBlank="1" showInputMessage="1" showErrorMessage="1" imeMode="halfAlpha" sqref="I13:M32"/>
    <dataValidation allowBlank="1" showInputMessage="1" showErrorMessage="1" imeMode="hiragana" sqref="L9"/>
  </dataValidations>
  <hyperlinks>
    <hyperlink ref="B2" location="経費明細表!A1" display="戻る"/>
  </hyperlinks>
  <printOptions/>
  <pageMargins left="0.8661417322834646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>
    <tabColor rgb="FF92D050"/>
    <pageSetUpPr fitToPage="1"/>
  </sheetPr>
  <dimension ref="A1:R38"/>
  <sheetViews>
    <sheetView showGridLines="0" zoomScaleSheetLayoutView="80" zoomScalePageLayoutView="0" workbookViewId="0" topLeftCell="A1">
      <pane ySplit="3" topLeftCell="A4" activePane="bottomLeft" state="frozen"/>
      <selection pane="topLeft" activeCell="O8" sqref="O8"/>
      <selection pane="bottomLeft" activeCell="H14" sqref="H14"/>
    </sheetView>
  </sheetViews>
  <sheetFormatPr defaultColWidth="9.140625" defaultRowHeight="15"/>
  <cols>
    <col min="1" max="4" width="3.7109375" style="1" customWidth="1"/>
    <col min="5" max="5" width="16.421875" style="82" customWidth="1"/>
    <col min="6" max="6" width="16.140625" style="77" customWidth="1"/>
    <col min="7" max="7" width="9.140625" style="1" customWidth="1"/>
    <col min="8" max="8" width="6.421875" style="1" customWidth="1"/>
    <col min="9" max="10" width="11.57421875" style="1" customWidth="1"/>
    <col min="11" max="13" width="15.140625" style="1" customWidth="1"/>
    <col min="14" max="14" width="3.8515625" style="5" customWidth="1"/>
    <col min="15" max="15" width="5.28125" style="5" customWidth="1"/>
    <col min="16" max="16" width="3.57421875" style="5" customWidth="1"/>
    <col min="17" max="16384" width="9.00390625" style="1" customWidth="1"/>
  </cols>
  <sheetData>
    <row r="1" spans="1:18" ht="13.5">
      <c r="A1" s="5"/>
      <c r="H1" s="5"/>
      <c r="Q1" s="83"/>
      <c r="R1" s="83"/>
    </row>
    <row r="2" spans="1:18" ht="13.5">
      <c r="A2" s="5"/>
      <c r="B2" s="248" t="s">
        <v>579</v>
      </c>
      <c r="H2" s="5"/>
      <c r="Q2" s="83"/>
      <c r="R2" s="83"/>
    </row>
    <row r="3" spans="1:18" ht="13.5">
      <c r="A3" s="5"/>
      <c r="H3" s="5"/>
      <c r="Q3" s="83"/>
      <c r="R3" s="83"/>
    </row>
    <row r="4" spans="1:6" ht="13.5" customHeight="1">
      <c r="A4" s="518" t="s">
        <v>712</v>
      </c>
      <c r="B4" s="518"/>
      <c r="C4" s="518"/>
      <c r="D4" s="518"/>
      <c r="E4" s="518"/>
      <c r="F4" s="5"/>
    </row>
    <row r="5" spans="1:16" ht="13.5" customHeight="1">
      <c r="A5" s="11"/>
      <c r="B5" s="11"/>
      <c r="C5" s="11"/>
      <c r="D5" s="11"/>
      <c r="E5" s="108"/>
      <c r="F5" s="5"/>
      <c r="N5" s="11"/>
      <c r="P5" s="11"/>
    </row>
    <row r="6" spans="1:16" ht="13.5" customHeight="1">
      <c r="A6" s="11"/>
      <c r="B6" s="240" t="s">
        <v>648</v>
      </c>
      <c r="C6" s="241"/>
      <c r="D6" s="242"/>
      <c r="E6" s="243"/>
      <c r="F6" s="85" t="s">
        <v>17</v>
      </c>
      <c r="N6" s="11"/>
      <c r="P6" s="11"/>
    </row>
    <row r="7" spans="1:16" ht="13.5" customHeight="1">
      <c r="A7" s="11"/>
      <c r="B7" s="11"/>
      <c r="C7" s="11"/>
      <c r="D7" s="11"/>
      <c r="E7" s="108"/>
      <c r="F7" s="131" t="s">
        <v>27</v>
      </c>
      <c r="N7" s="11"/>
      <c r="P7" s="11"/>
    </row>
    <row r="8" spans="1:16" ht="13.5" customHeight="1">
      <c r="A8" s="11"/>
      <c r="B8" s="11"/>
      <c r="C8" s="11"/>
      <c r="D8" s="11"/>
      <c r="E8" s="108"/>
      <c r="F8" s="5"/>
      <c r="M8" s="1" t="s">
        <v>21</v>
      </c>
      <c r="N8" s="11"/>
      <c r="O8" s="86"/>
      <c r="P8" s="11"/>
    </row>
    <row r="9" spans="1:16" ht="13.5" customHeight="1">
      <c r="A9" s="87"/>
      <c r="F9" s="5"/>
      <c r="K9" s="2" t="s">
        <v>32</v>
      </c>
      <c r="L9" s="8" t="str">
        <f>IF('基本情報入力（使い方）'!$C$11="","",'基本情報入力（使い方）'!$C$11)</f>
        <v>Ｂ金属株式会社</v>
      </c>
      <c r="N9" s="11"/>
      <c r="P9" s="11"/>
    </row>
    <row r="10" spans="1:16" ht="13.5" customHeight="1" thickBot="1">
      <c r="A10" s="87"/>
      <c r="F10" s="5"/>
      <c r="N10" s="11"/>
      <c r="P10" s="11"/>
    </row>
    <row r="11" spans="1:16" ht="27" customHeight="1">
      <c r="A11" s="519" t="s">
        <v>2</v>
      </c>
      <c r="B11" s="508" t="s">
        <v>3</v>
      </c>
      <c r="C11" s="508"/>
      <c r="D11" s="509"/>
      <c r="E11" s="109" t="s">
        <v>4</v>
      </c>
      <c r="F11" s="3" t="s">
        <v>5</v>
      </c>
      <c r="G11" s="3" t="s">
        <v>6</v>
      </c>
      <c r="H11" s="3" t="s">
        <v>7</v>
      </c>
      <c r="I11" s="3" t="s">
        <v>1</v>
      </c>
      <c r="J11" s="3" t="s">
        <v>1</v>
      </c>
      <c r="K11" s="529" t="s">
        <v>8</v>
      </c>
      <c r="L11" s="509"/>
      <c r="M11" s="80" t="s">
        <v>9</v>
      </c>
      <c r="N11" s="510" t="s">
        <v>2</v>
      </c>
      <c r="O11" s="523" t="s">
        <v>40</v>
      </c>
      <c r="P11" s="101"/>
    </row>
    <row r="12" spans="1:16" ht="42" customHeight="1" thickBot="1">
      <c r="A12" s="520"/>
      <c r="B12" s="89" t="s">
        <v>10</v>
      </c>
      <c r="C12" s="89" t="s">
        <v>11</v>
      </c>
      <c r="D12" s="90" t="s">
        <v>12</v>
      </c>
      <c r="E12" s="110"/>
      <c r="F12" s="92"/>
      <c r="G12" s="78"/>
      <c r="H12" s="78"/>
      <c r="I12" s="78" t="s">
        <v>13</v>
      </c>
      <c r="J12" s="78" t="s">
        <v>25</v>
      </c>
      <c r="K12" s="78" t="s">
        <v>14</v>
      </c>
      <c r="L12" s="4" t="s">
        <v>23</v>
      </c>
      <c r="M12" s="4" t="s">
        <v>15</v>
      </c>
      <c r="N12" s="511"/>
      <c r="O12" s="524"/>
      <c r="P12" s="101"/>
    </row>
    <row r="13" spans="1:16" ht="30.75" customHeight="1">
      <c r="A13" s="182">
        <v>1</v>
      </c>
      <c r="B13" s="525"/>
      <c r="C13" s="526"/>
      <c r="D13" s="526"/>
      <c r="E13" s="70" t="s">
        <v>590</v>
      </c>
      <c r="F13" s="71" t="s">
        <v>591</v>
      </c>
      <c r="G13" s="170"/>
      <c r="H13" s="163" t="s">
        <v>572</v>
      </c>
      <c r="I13" s="145">
        <f>IF(J13="","",ROUNDDOWN(J13*(1+O13/100),0))</f>
        <v>58320</v>
      </c>
      <c r="J13" s="147">
        <v>54000</v>
      </c>
      <c r="K13" s="145">
        <f>IF(L13="","",ROUNDDOWN(L13*(1+O13/100),0))</f>
      </c>
      <c r="L13" s="145">
        <f>IF(OR(J13="",G13=""),"",ROUNDDOWN(J13*G13,0))</f>
      </c>
      <c r="M13" s="155">
        <f aca="true" t="shared" si="0" ref="M13:M32">L13</f>
      </c>
      <c r="N13" s="103">
        <v>1</v>
      </c>
      <c r="O13" s="104">
        <v>8</v>
      </c>
      <c r="P13" s="1"/>
    </row>
    <row r="14" spans="1:16" ht="30.75" customHeight="1">
      <c r="A14" s="183"/>
      <c r="B14" s="514"/>
      <c r="C14" s="515"/>
      <c r="D14" s="515"/>
      <c r="E14" s="94"/>
      <c r="F14" s="72"/>
      <c r="G14" s="170"/>
      <c r="H14" s="163"/>
      <c r="I14" s="145">
        <f aca="true" t="shared" si="1" ref="I14:I32">IF(J14="","",ROUNDDOWN(J14*(1+O14/100),0))</f>
      </c>
      <c r="J14" s="147"/>
      <c r="K14" s="145">
        <f aca="true" t="shared" si="2" ref="K14:K32">IF(L14="","",ROUNDDOWN(L14*(1+O14/100),0))</f>
      </c>
      <c r="L14" s="145">
        <f aca="true" t="shared" si="3" ref="L14:L32">IF(OR(J14="",G14=""),"",ROUNDDOWN(J14*G14,0))</f>
      </c>
      <c r="M14" s="155">
        <f t="shared" si="0"/>
      </c>
      <c r="N14" s="105">
        <v>2</v>
      </c>
      <c r="O14" s="104">
        <v>8</v>
      </c>
      <c r="P14" s="101"/>
    </row>
    <row r="15" spans="1:16" ht="30.75" customHeight="1">
      <c r="A15" s="182"/>
      <c r="B15" s="514"/>
      <c r="C15" s="515"/>
      <c r="D15" s="515"/>
      <c r="E15" s="94"/>
      <c r="F15" s="72"/>
      <c r="G15" s="170"/>
      <c r="H15" s="163"/>
      <c r="I15" s="145">
        <f t="shared" si="1"/>
      </c>
      <c r="J15" s="147"/>
      <c r="K15" s="145">
        <f t="shared" si="2"/>
      </c>
      <c r="L15" s="145">
        <f t="shared" si="3"/>
      </c>
      <c r="M15" s="155">
        <f t="shared" si="0"/>
      </c>
      <c r="N15" s="103">
        <v>3</v>
      </c>
      <c r="O15" s="104">
        <v>8</v>
      </c>
      <c r="P15" s="101"/>
    </row>
    <row r="16" spans="1:16" s="10" customFormat="1" ht="30.75" customHeight="1">
      <c r="A16" s="183"/>
      <c r="B16" s="514"/>
      <c r="C16" s="515"/>
      <c r="D16" s="515"/>
      <c r="E16" s="94"/>
      <c r="F16" s="72"/>
      <c r="G16" s="170"/>
      <c r="H16" s="163"/>
      <c r="I16" s="145">
        <f t="shared" si="1"/>
      </c>
      <c r="J16" s="147"/>
      <c r="K16" s="145">
        <f t="shared" si="2"/>
      </c>
      <c r="L16" s="145">
        <f t="shared" si="3"/>
      </c>
      <c r="M16" s="155">
        <f t="shared" si="0"/>
      </c>
      <c r="N16" s="113">
        <v>4</v>
      </c>
      <c r="O16" s="104">
        <v>8</v>
      </c>
      <c r="P16" s="114"/>
    </row>
    <row r="17" spans="1:16" s="10" customFormat="1" ht="30.75" customHeight="1">
      <c r="A17" s="182"/>
      <c r="B17" s="514"/>
      <c r="C17" s="515"/>
      <c r="D17" s="515"/>
      <c r="E17" s="94"/>
      <c r="F17" s="72"/>
      <c r="G17" s="170"/>
      <c r="H17" s="163"/>
      <c r="I17" s="145">
        <f t="shared" si="1"/>
      </c>
      <c r="J17" s="147"/>
      <c r="K17" s="145">
        <f t="shared" si="2"/>
      </c>
      <c r="L17" s="145">
        <f t="shared" si="3"/>
      </c>
      <c r="M17" s="155">
        <f t="shared" si="0"/>
      </c>
      <c r="N17" s="115">
        <v>5</v>
      </c>
      <c r="O17" s="104">
        <v>8</v>
      </c>
      <c r="P17" s="114"/>
    </row>
    <row r="18" spans="1:16" ht="30.75" customHeight="1">
      <c r="A18" s="183"/>
      <c r="B18" s="514"/>
      <c r="C18" s="515"/>
      <c r="D18" s="515"/>
      <c r="E18" s="94"/>
      <c r="F18" s="72"/>
      <c r="G18" s="170"/>
      <c r="H18" s="163"/>
      <c r="I18" s="145">
        <f t="shared" si="1"/>
      </c>
      <c r="J18" s="147"/>
      <c r="K18" s="145">
        <f t="shared" si="2"/>
      </c>
      <c r="L18" s="145">
        <f t="shared" si="3"/>
      </c>
      <c r="M18" s="155">
        <f t="shared" si="0"/>
      </c>
      <c r="N18" s="105">
        <v>6</v>
      </c>
      <c r="O18" s="104">
        <v>8</v>
      </c>
      <c r="P18" s="101"/>
    </row>
    <row r="19" spans="1:16" ht="30.75" customHeight="1">
      <c r="A19" s="182"/>
      <c r="B19" s="514"/>
      <c r="C19" s="515"/>
      <c r="D19" s="515"/>
      <c r="E19" s="94"/>
      <c r="F19" s="95"/>
      <c r="G19" s="170"/>
      <c r="H19" s="163"/>
      <c r="I19" s="145">
        <f t="shared" si="1"/>
      </c>
      <c r="J19" s="147"/>
      <c r="K19" s="145">
        <f t="shared" si="2"/>
      </c>
      <c r="L19" s="145">
        <f t="shared" si="3"/>
      </c>
      <c r="M19" s="155">
        <f t="shared" si="0"/>
      </c>
      <c r="N19" s="103">
        <v>7</v>
      </c>
      <c r="O19" s="104">
        <v>8</v>
      </c>
      <c r="P19" s="101"/>
    </row>
    <row r="20" spans="1:16" ht="30.75" customHeight="1">
      <c r="A20" s="183"/>
      <c r="B20" s="514"/>
      <c r="C20" s="515"/>
      <c r="D20" s="515"/>
      <c r="E20" s="94"/>
      <c r="F20" s="72"/>
      <c r="G20" s="170"/>
      <c r="H20" s="163"/>
      <c r="I20" s="145">
        <f t="shared" si="1"/>
      </c>
      <c r="J20" s="147"/>
      <c r="K20" s="145">
        <f t="shared" si="2"/>
      </c>
      <c r="L20" s="145">
        <f t="shared" si="3"/>
      </c>
      <c r="M20" s="155">
        <f t="shared" si="0"/>
      </c>
      <c r="N20" s="105">
        <v>8</v>
      </c>
      <c r="O20" s="104">
        <v>8</v>
      </c>
      <c r="P20" s="101"/>
    </row>
    <row r="21" spans="1:16" ht="30.75" customHeight="1">
      <c r="A21" s="182"/>
      <c r="B21" s="514"/>
      <c r="C21" s="515"/>
      <c r="D21" s="515"/>
      <c r="E21" s="94"/>
      <c r="F21" s="72"/>
      <c r="G21" s="170"/>
      <c r="H21" s="163"/>
      <c r="I21" s="145">
        <f t="shared" si="1"/>
      </c>
      <c r="J21" s="147"/>
      <c r="K21" s="145">
        <f t="shared" si="2"/>
      </c>
      <c r="L21" s="145">
        <f t="shared" si="3"/>
      </c>
      <c r="M21" s="155">
        <f t="shared" si="0"/>
      </c>
      <c r="N21" s="103">
        <v>9</v>
      </c>
      <c r="O21" s="104">
        <v>8</v>
      </c>
      <c r="P21" s="101"/>
    </row>
    <row r="22" spans="1:16" ht="30.75" customHeight="1">
      <c r="A22" s="183"/>
      <c r="B22" s="514"/>
      <c r="C22" s="515"/>
      <c r="D22" s="515"/>
      <c r="E22" s="94"/>
      <c r="F22" s="72"/>
      <c r="G22" s="170"/>
      <c r="H22" s="163"/>
      <c r="I22" s="145">
        <f t="shared" si="1"/>
      </c>
      <c r="J22" s="147"/>
      <c r="K22" s="145">
        <f t="shared" si="2"/>
      </c>
      <c r="L22" s="145">
        <f t="shared" si="3"/>
      </c>
      <c r="M22" s="155">
        <f t="shared" si="0"/>
      </c>
      <c r="N22" s="105">
        <v>10</v>
      </c>
      <c r="O22" s="104">
        <v>8</v>
      </c>
      <c r="P22" s="101"/>
    </row>
    <row r="23" spans="1:16" ht="30.75" customHeight="1">
      <c r="A23" s="182"/>
      <c r="B23" s="514"/>
      <c r="C23" s="515"/>
      <c r="D23" s="515"/>
      <c r="E23" s="94"/>
      <c r="F23" s="72"/>
      <c r="G23" s="170"/>
      <c r="H23" s="163"/>
      <c r="I23" s="145">
        <f t="shared" si="1"/>
      </c>
      <c r="J23" s="147"/>
      <c r="K23" s="145">
        <f t="shared" si="2"/>
      </c>
      <c r="L23" s="145">
        <f t="shared" si="3"/>
      </c>
      <c r="M23" s="155">
        <f t="shared" si="0"/>
      </c>
      <c r="N23" s="103">
        <v>11</v>
      </c>
      <c r="O23" s="104">
        <v>8</v>
      </c>
      <c r="P23" s="101"/>
    </row>
    <row r="24" spans="1:16" ht="30.75" customHeight="1">
      <c r="A24" s="183"/>
      <c r="B24" s="514"/>
      <c r="C24" s="515"/>
      <c r="D24" s="515"/>
      <c r="E24" s="94"/>
      <c r="F24" s="72"/>
      <c r="G24" s="170"/>
      <c r="H24" s="163"/>
      <c r="I24" s="145">
        <f t="shared" si="1"/>
      </c>
      <c r="J24" s="147"/>
      <c r="K24" s="145">
        <f t="shared" si="2"/>
      </c>
      <c r="L24" s="145">
        <f t="shared" si="3"/>
      </c>
      <c r="M24" s="155">
        <f t="shared" si="0"/>
      </c>
      <c r="N24" s="105">
        <v>12</v>
      </c>
      <c r="O24" s="104">
        <v>8</v>
      </c>
      <c r="P24" s="101"/>
    </row>
    <row r="25" spans="1:16" ht="30.75" customHeight="1">
      <c r="A25" s="182"/>
      <c r="B25" s="514"/>
      <c r="C25" s="515"/>
      <c r="D25" s="515"/>
      <c r="E25" s="94"/>
      <c r="F25" s="72"/>
      <c r="G25" s="170"/>
      <c r="H25" s="163"/>
      <c r="I25" s="145">
        <f t="shared" si="1"/>
      </c>
      <c r="J25" s="147"/>
      <c r="K25" s="145">
        <f t="shared" si="2"/>
      </c>
      <c r="L25" s="145">
        <f t="shared" si="3"/>
      </c>
      <c r="M25" s="155">
        <f t="shared" si="0"/>
      </c>
      <c r="N25" s="103">
        <v>13</v>
      </c>
      <c r="O25" s="104">
        <v>8</v>
      </c>
      <c r="P25" s="101"/>
    </row>
    <row r="26" spans="1:16" ht="30.75" customHeight="1">
      <c r="A26" s="183"/>
      <c r="B26" s="514"/>
      <c r="C26" s="515"/>
      <c r="D26" s="515"/>
      <c r="E26" s="116"/>
      <c r="F26" s="72"/>
      <c r="G26" s="170"/>
      <c r="H26" s="163"/>
      <c r="I26" s="145">
        <f t="shared" si="1"/>
      </c>
      <c r="J26" s="147"/>
      <c r="K26" s="145">
        <f t="shared" si="2"/>
      </c>
      <c r="L26" s="145">
        <f t="shared" si="3"/>
      </c>
      <c r="M26" s="155">
        <f t="shared" si="0"/>
      </c>
      <c r="N26" s="105">
        <v>14</v>
      </c>
      <c r="O26" s="104">
        <v>8</v>
      </c>
      <c r="P26" s="101"/>
    </row>
    <row r="27" spans="1:16" ht="30.75" customHeight="1">
      <c r="A27" s="182"/>
      <c r="B27" s="514"/>
      <c r="C27" s="515"/>
      <c r="D27" s="515"/>
      <c r="E27" s="116"/>
      <c r="F27" s="72"/>
      <c r="G27" s="170"/>
      <c r="H27" s="163"/>
      <c r="I27" s="145">
        <f t="shared" si="1"/>
      </c>
      <c r="J27" s="147"/>
      <c r="K27" s="145">
        <f t="shared" si="2"/>
      </c>
      <c r="L27" s="145">
        <f t="shared" si="3"/>
      </c>
      <c r="M27" s="155">
        <f t="shared" si="0"/>
      </c>
      <c r="N27" s="103">
        <v>15</v>
      </c>
      <c r="O27" s="104">
        <v>8</v>
      </c>
      <c r="P27" s="101"/>
    </row>
    <row r="28" spans="1:16" ht="30.75" customHeight="1">
      <c r="A28" s="183"/>
      <c r="B28" s="514"/>
      <c r="C28" s="515"/>
      <c r="D28" s="515"/>
      <c r="E28" s="94"/>
      <c r="F28" s="72"/>
      <c r="G28" s="170"/>
      <c r="H28" s="163"/>
      <c r="I28" s="145">
        <f t="shared" si="1"/>
      </c>
      <c r="J28" s="147"/>
      <c r="K28" s="145">
        <f t="shared" si="2"/>
      </c>
      <c r="L28" s="145">
        <f t="shared" si="3"/>
      </c>
      <c r="M28" s="155">
        <f t="shared" si="0"/>
      </c>
      <c r="N28" s="105">
        <v>16</v>
      </c>
      <c r="O28" s="104">
        <v>8</v>
      </c>
      <c r="P28" s="101"/>
    </row>
    <row r="29" spans="1:16" ht="30.75" customHeight="1">
      <c r="A29" s="182"/>
      <c r="B29" s="514"/>
      <c r="C29" s="515"/>
      <c r="D29" s="515"/>
      <c r="E29" s="94"/>
      <c r="F29" s="72"/>
      <c r="G29" s="170"/>
      <c r="H29" s="163"/>
      <c r="I29" s="145">
        <f t="shared" si="1"/>
      </c>
      <c r="J29" s="147"/>
      <c r="K29" s="145">
        <f t="shared" si="2"/>
      </c>
      <c r="L29" s="145">
        <f t="shared" si="3"/>
      </c>
      <c r="M29" s="155">
        <f t="shared" si="0"/>
      </c>
      <c r="N29" s="103">
        <v>17</v>
      </c>
      <c r="O29" s="104">
        <v>8</v>
      </c>
      <c r="P29" s="101"/>
    </row>
    <row r="30" spans="1:16" ht="30.75" customHeight="1">
      <c r="A30" s="183"/>
      <c r="B30" s="514"/>
      <c r="C30" s="515"/>
      <c r="D30" s="515"/>
      <c r="E30" s="94"/>
      <c r="F30" s="72"/>
      <c r="G30" s="170"/>
      <c r="H30" s="163"/>
      <c r="I30" s="145">
        <f t="shared" si="1"/>
      </c>
      <c r="J30" s="147"/>
      <c r="K30" s="145">
        <f t="shared" si="2"/>
      </c>
      <c r="L30" s="145">
        <f t="shared" si="3"/>
      </c>
      <c r="M30" s="155">
        <f t="shared" si="0"/>
      </c>
      <c r="N30" s="105">
        <v>18</v>
      </c>
      <c r="O30" s="104">
        <v>8</v>
      </c>
      <c r="P30" s="101"/>
    </row>
    <row r="31" spans="1:16" ht="30.75" customHeight="1">
      <c r="A31" s="182"/>
      <c r="B31" s="514"/>
      <c r="C31" s="515"/>
      <c r="D31" s="515"/>
      <c r="E31" s="116"/>
      <c r="F31" s="72"/>
      <c r="G31" s="170"/>
      <c r="H31" s="163"/>
      <c r="I31" s="145">
        <f t="shared" si="1"/>
      </c>
      <c r="J31" s="147"/>
      <c r="K31" s="145">
        <f t="shared" si="2"/>
      </c>
      <c r="L31" s="145">
        <f t="shared" si="3"/>
      </c>
      <c r="M31" s="155">
        <f t="shared" si="0"/>
      </c>
      <c r="N31" s="103">
        <v>19</v>
      </c>
      <c r="O31" s="104">
        <v>8</v>
      </c>
      <c r="P31" s="101"/>
    </row>
    <row r="32" spans="1:16" ht="30.75" customHeight="1" thickBot="1">
      <c r="A32" s="184"/>
      <c r="B32" s="521"/>
      <c r="C32" s="522"/>
      <c r="D32" s="522"/>
      <c r="E32" s="97"/>
      <c r="F32" s="76"/>
      <c r="G32" s="173"/>
      <c r="H32" s="165"/>
      <c r="I32" s="148">
        <f t="shared" si="1"/>
      </c>
      <c r="J32" s="149"/>
      <c r="K32" s="148">
        <f t="shared" si="2"/>
      </c>
      <c r="L32" s="148">
        <f t="shared" si="3"/>
      </c>
      <c r="M32" s="156">
        <f t="shared" si="0"/>
      </c>
      <c r="N32" s="106">
        <v>20</v>
      </c>
      <c r="O32" s="107">
        <v>8</v>
      </c>
      <c r="P32" s="101"/>
    </row>
    <row r="33" spans="1:16" ht="21" customHeight="1" thickBot="1">
      <c r="A33" s="516" t="s">
        <v>16</v>
      </c>
      <c r="B33" s="517"/>
      <c r="C33" s="517"/>
      <c r="D33" s="517"/>
      <c r="E33" s="517"/>
      <c r="F33" s="517"/>
      <c r="G33" s="517"/>
      <c r="H33" s="517"/>
      <c r="I33" s="517"/>
      <c r="J33" s="79"/>
      <c r="K33" s="144">
        <f>SUM(K13:K32)</f>
        <v>0</v>
      </c>
      <c r="L33" s="157">
        <f>SUM(L13:L32)</f>
        <v>0</v>
      </c>
      <c r="M33" s="158">
        <f>SUM(M13:M32)</f>
        <v>0</v>
      </c>
      <c r="N33" s="14"/>
      <c r="P33" s="14"/>
    </row>
    <row r="34" spans="1:16" ht="13.5" customHeight="1">
      <c r="A34" s="87"/>
      <c r="N34" s="11"/>
      <c r="P34" s="11"/>
    </row>
    <row r="35" spans="2:16" ht="13.5" customHeight="1">
      <c r="B35" s="1" t="s">
        <v>18</v>
      </c>
      <c r="D35" s="87"/>
      <c r="E35" s="77" t="s">
        <v>33</v>
      </c>
      <c r="N35" s="11"/>
      <c r="P35" s="11"/>
    </row>
    <row r="36" spans="1:16" s="77" customFormat="1" ht="13.5" customHeight="1">
      <c r="A36" s="1"/>
      <c r="B36" s="1"/>
      <c r="C36" s="1"/>
      <c r="D36" s="1"/>
      <c r="E36" s="77" t="s">
        <v>34</v>
      </c>
      <c r="G36" s="1"/>
      <c r="H36" s="1"/>
      <c r="I36" s="1"/>
      <c r="J36" s="1"/>
      <c r="K36" s="1"/>
      <c r="L36" s="1"/>
      <c r="M36" s="1"/>
      <c r="N36" s="15"/>
      <c r="O36" s="5"/>
      <c r="P36" s="15"/>
    </row>
    <row r="37" spans="1:16" s="77" customFormat="1" ht="13.5" customHeight="1">
      <c r="A37" s="1"/>
      <c r="B37" s="1" t="s">
        <v>19</v>
      </c>
      <c r="C37" s="1"/>
      <c r="D37" s="1"/>
      <c r="E37" s="77" t="s">
        <v>35</v>
      </c>
      <c r="G37" s="1"/>
      <c r="H37" s="1"/>
      <c r="I37" s="1"/>
      <c r="J37" s="1"/>
      <c r="K37" s="1"/>
      <c r="L37" s="1"/>
      <c r="M37" s="1"/>
      <c r="N37" s="5"/>
      <c r="O37" s="5"/>
      <c r="P37" s="5"/>
    </row>
    <row r="38" spans="1:16" s="77" customFormat="1" ht="13.5" customHeight="1">
      <c r="A38" s="1"/>
      <c r="B38" s="1" t="s">
        <v>20</v>
      </c>
      <c r="C38" s="1"/>
      <c r="D38" s="1"/>
      <c r="E38" s="77" t="s">
        <v>36</v>
      </c>
      <c r="G38" s="1"/>
      <c r="H38" s="1"/>
      <c r="I38" s="1"/>
      <c r="J38" s="1"/>
      <c r="K38" s="1"/>
      <c r="L38" s="1"/>
      <c r="M38" s="1"/>
      <c r="N38" s="5"/>
      <c r="O38" s="5"/>
      <c r="P38" s="5"/>
    </row>
  </sheetData>
  <sheetProtection sheet="1" objects="1" scenarios="1"/>
  <mergeCells count="27">
    <mergeCell ref="A4:E4"/>
    <mergeCell ref="A11:A12"/>
    <mergeCell ref="B11:D11"/>
    <mergeCell ref="K11:L11"/>
    <mergeCell ref="N11:N12"/>
    <mergeCell ref="O11:O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31:D31"/>
    <mergeCell ref="B32:D32"/>
    <mergeCell ref="A33:I33"/>
    <mergeCell ref="B25:D25"/>
    <mergeCell ref="B26:D26"/>
    <mergeCell ref="B27:D27"/>
    <mergeCell ref="B28:D28"/>
    <mergeCell ref="B29:D29"/>
    <mergeCell ref="B30:D30"/>
  </mergeCells>
  <dataValidations count="2">
    <dataValidation allowBlank="1" showInputMessage="1" showErrorMessage="1" imeMode="halfAlpha" sqref="I13:M32"/>
    <dataValidation allowBlank="1" showInputMessage="1" showErrorMessage="1" imeMode="hiragana" sqref="L9"/>
  </dataValidations>
  <hyperlinks>
    <hyperlink ref="B2" location="経費明細表!A1" display="戻る"/>
  </hyperlinks>
  <printOptions/>
  <pageMargins left="0.8661417322834646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bara</dc:creator>
  <cp:keywords/>
  <dc:description/>
  <cp:lastModifiedBy>高村 育子</cp:lastModifiedBy>
  <cp:lastPrinted>2016-07-14T00:53:05Z</cp:lastPrinted>
  <dcterms:created xsi:type="dcterms:W3CDTF">2013-05-03T10:01:41Z</dcterms:created>
  <dcterms:modified xsi:type="dcterms:W3CDTF">2016-08-05T09:38:18Z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