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770" windowHeight="5850" tabRatio="726"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クラウド利用費" sheetId="15" r:id="rId15"/>
  </sheets>
  <definedNames>
    <definedName name="_xlfn.IFERROR" hidden="1">#NAME?</definedName>
    <definedName name="_xlfn.SHEETS" hidden="1">#NAME?</definedName>
    <definedName name="_xlfn.SUMIFS" hidden="1">#NAME?</definedName>
    <definedName name="_xlnm.Print_Area" localSheetId="14">'クラウド利用費'!$A$4:$O$38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3">'経費明細表'!$A$4:$N$64</definedName>
    <definedName name="_xlnm.Print_Area" localSheetId="7">'原材料費'!$A$4:$O$38</definedName>
    <definedName name="_xlnm.Print_Area" localSheetId="13">'専門家経費'!$A$4:$O$38</definedName>
    <definedName name="_xlnm.Print_Area" localSheetId="11">'知的財産権等関連経費'!$A$4:$O$38</definedName>
    <definedName name="事業類型" localSheetId="3">'経費明細表'!$Q$49</definedName>
    <definedName name="消費税率" localSheetId="3">'経費明細表'!$Q$48</definedName>
    <definedName name="補助下限額">'経費明細表'!$Q$52</definedName>
    <definedName name="補助上限額" localSheetId="3">'経費明細表'!$Q$51</definedName>
  </definedNames>
  <calcPr fullCalcOnLoad="1"/>
</workbook>
</file>

<file path=xl/comments4.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B25" authorId="0">
      <text>
        <r>
          <rPr>
            <sz val="11"/>
            <rFont val="ＭＳ Ｐゴシック"/>
            <family val="3"/>
          </rPr>
          <t>判定１～７、「実績額の総額についての判定」がすべて「○」のとき、総合判定は「○」</t>
        </r>
      </text>
    </comment>
    <comment ref="W32"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3"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<sst xmlns="http://schemas.openxmlformats.org/spreadsheetml/2006/main" count="1308" uniqueCount="754">
  <si>
    <t>（単位：円）</t>
  </si>
  <si>
    <t>単価</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</si>
  <si>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</si>
  <si>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</si>
  <si>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</si>
  <si>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</si>
  <si>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</si>
  <si>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</si>
  <si>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</si>
  <si>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</si>
  <si>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</si>
  <si>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</si>
  <si>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</si>
  <si>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</si>
  <si>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</si>
  <si>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</si>
  <si>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</si>
  <si>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</si>
  <si>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(注1)</t>
  </si>
  <si>
    <t>(注2)</t>
  </si>
  <si>
    <t>(注3)</t>
  </si>
  <si>
    <t>(単位:円)</t>
  </si>
  <si>
    <t>B×2/3以内</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</si>
  <si>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</si>
  <si>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</si>
  <si>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</si>
  <si>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</si>
  <si>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</si>
  <si>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</si>
  <si>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</si>
  <si>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</si>
  <si>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</si>
  <si>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</si>
  <si>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</si>
  <si>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</si>
  <si>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</si>
  <si>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</si>
  <si>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</si>
  <si>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</si>
  <si>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</si>
  <si>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</si>
  <si>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</si>
  <si>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</si>
  <si>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</si>
  <si>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</si>
  <si>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</si>
  <si>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</si>
  <si>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</si>
  <si>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</si>
  <si>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</si>
  <si>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</si>
  <si>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これで準備は終了しました。</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</si>
  <si>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</si>
  <si>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</si>
  <si>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</si>
  <si>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</si>
  <si>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</si>
  <si>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</si>
  <si>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</si>
  <si>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</si>
  <si>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</si>
  <si>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</si>
  <si>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</si>
  <si>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</si>
  <si>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</si>
  <si>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</si>
  <si>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</si>
  <si>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</si>
  <si>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</si>
  <si>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</si>
  <si>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</si>
  <si>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</si>
  <si>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</si>
  <si>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</si>
  <si>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</si>
  <si>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</si>
  <si>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</si>
  <si>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</si>
  <si>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</si>
  <si>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</si>
  <si>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</si>
  <si>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</si>
  <si>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</si>
  <si>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</si>
  <si>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</si>
  <si>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</si>
  <si>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</si>
  <si>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</si>
  <si>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</si>
  <si>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</si>
  <si>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</si>
  <si>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</si>
  <si>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</si>
  <si>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</si>
  <si>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</si>
  <si>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</si>
  <si>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</si>
  <si>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</si>
  <si>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</si>
  <si>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</si>
  <si>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</si>
  <si>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</si>
  <si>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</si>
  <si>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</si>
  <si>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</si>
  <si>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</si>
  <si>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</si>
  <si>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</si>
  <si>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</si>
  <si>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</si>
  <si>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</si>
  <si>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</si>
  <si>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</si>
  <si>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</si>
  <si>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</si>
  <si>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</si>
  <si>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</si>
  <si>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</si>
  <si>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</si>
  <si>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</si>
  <si>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</si>
  <si>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</si>
  <si>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</si>
  <si>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</si>
  <si>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</si>
  <si>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</si>
  <si>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</si>
  <si>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</si>
  <si>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</si>
  <si>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</si>
  <si>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</si>
  <si>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</si>
  <si>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</si>
  <si>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</si>
  <si>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</si>
  <si>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</si>
  <si>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</si>
  <si>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</si>
  <si>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</si>
  <si>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</si>
  <si>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</si>
  <si>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</si>
  <si>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</si>
  <si>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</si>
  <si>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</si>
  <si>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</si>
  <si>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</si>
  <si>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</si>
  <si>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</si>
  <si>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</si>
  <si>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</si>
  <si>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</si>
  <si>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</si>
  <si>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</si>
  <si>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</si>
  <si>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</si>
  <si>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</si>
  <si>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</si>
  <si>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</si>
  <si>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</si>
  <si>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</si>
  <si>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</si>
  <si>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</si>
  <si>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</si>
  <si>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</si>
  <si>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</si>
  <si>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</si>
  <si>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</si>
  <si>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</si>
  <si>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</si>
  <si>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</si>
  <si>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</si>
  <si>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</si>
  <si>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</si>
  <si>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</si>
  <si>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</si>
  <si>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</si>
  <si>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</si>
  <si>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</si>
  <si>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</si>
  <si>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</si>
  <si>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</si>
  <si>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</si>
  <si>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</si>
  <si>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</si>
  <si>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</si>
  <si>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</si>
  <si>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</si>
  <si>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</si>
  <si>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</si>
  <si>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</si>
  <si>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</si>
  <si>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</si>
  <si>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</si>
  <si>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</si>
  <si>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</si>
  <si>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</si>
  <si>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</si>
  <si>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</si>
  <si>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</si>
  <si>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</si>
  <si>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</si>
  <si>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</si>
  <si>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</si>
  <si>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</si>
  <si>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</si>
  <si>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</si>
  <si>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</si>
  <si>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</si>
  <si>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</si>
  <si>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</si>
  <si>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</si>
  <si>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</si>
  <si>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</si>
  <si>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</si>
  <si>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</si>
  <si>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</si>
  <si>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</si>
  <si>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</si>
  <si>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</si>
  <si>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</si>
  <si>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</si>
  <si>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</si>
  <si>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</si>
  <si>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</si>
  <si>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</si>
  <si>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</si>
  <si>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</si>
  <si>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</si>
  <si>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</si>
  <si>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</si>
  <si>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</si>
  <si>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</si>
  <si>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</si>
  <si>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</si>
  <si>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</si>
  <si>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</si>
  <si>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</si>
  <si>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</si>
  <si>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</si>
  <si>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</si>
  <si>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</si>
  <si>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</si>
  <si>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</si>
  <si>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</si>
  <si>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</si>
  <si>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</si>
  <si>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</si>
  <si>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</si>
  <si>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</si>
  <si>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</si>
  <si>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</si>
  <si>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</si>
  <si>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</si>
  <si>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</si>
  <si>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</si>
  <si>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</si>
  <si>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</si>
  <si>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</si>
  <si>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</si>
  <si>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</si>
  <si>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</si>
  <si>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</si>
  <si>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</si>
  <si>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</si>
  <si>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</si>
  <si>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</si>
  <si>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</si>
  <si>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</si>
  <si>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</si>
  <si>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</si>
  <si>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</si>
  <si>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</si>
  <si>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</si>
  <si>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</si>
  <si>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</si>
  <si>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</si>
  <si>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</si>
  <si>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</si>
  <si>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</si>
  <si>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</si>
  <si>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</si>
  <si>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</si>
  <si>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</si>
  <si>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</si>
  <si>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</si>
  <si>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</si>
  <si>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</si>
  <si>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</si>
  <si>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</si>
  <si>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</si>
  <si>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</si>
  <si>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</si>
  <si>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</si>
  <si>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</si>
  <si>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</si>
  <si>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</si>
  <si>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</si>
  <si>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</si>
  <si>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</si>
  <si>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</si>
  <si>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</si>
  <si>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</si>
  <si>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</si>
  <si>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</si>
  <si>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</si>
  <si>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</si>
  <si>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</si>
  <si>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</si>
  <si>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</si>
  <si>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</si>
  <si>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</si>
  <si>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</si>
  <si>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</si>
  <si>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</si>
  <si>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</si>
  <si>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</si>
  <si>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</si>
  <si>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</si>
  <si>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</si>
  <si>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</si>
  <si>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</si>
  <si>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</si>
  <si>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</si>
  <si>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</si>
  <si>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</si>
  <si>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</si>
  <si>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</si>
  <si>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</si>
  <si>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</si>
  <si>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</si>
  <si>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</si>
  <si>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</si>
  <si>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</si>
  <si>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</si>
  <si>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</si>
  <si>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</si>
  <si>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</si>
  <si>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</si>
  <si>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</si>
  <si>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</si>
  <si>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</si>
  <si>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</si>
  <si>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</si>
  <si>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</si>
  <si>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</si>
  <si>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</si>
  <si>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</si>
  <si>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</si>
  <si>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</si>
  <si>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</si>
  <si>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</si>
  <si>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</si>
  <si>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</si>
  <si>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</si>
  <si>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</si>
  <si>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</si>
  <si>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</si>
  <si>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</si>
  <si>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</si>
  <si>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</si>
  <si>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</si>
  <si>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</si>
  <si>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</si>
  <si>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</si>
  <si>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</si>
  <si>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</si>
  <si>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</si>
  <si>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</si>
  <si>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</si>
  <si>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</si>
  <si>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</si>
  <si>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</si>
  <si>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</si>
  <si>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</si>
  <si>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</si>
  <si>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</si>
  <si>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</si>
  <si>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</si>
  <si>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</si>
  <si>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</si>
  <si>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</si>
  <si>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</si>
  <si>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</si>
  <si>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</si>
  <si>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</si>
  <si>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</si>
  <si>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</si>
  <si>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</si>
  <si>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</si>
  <si>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</si>
  <si>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</si>
  <si>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</si>
  <si>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</si>
  <si>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</si>
  <si>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</si>
  <si>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</si>
  <si>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</si>
  <si>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</si>
  <si>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</si>
  <si>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</si>
  <si>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</si>
  <si>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</si>
  <si>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</si>
  <si>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</si>
  <si>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</si>
  <si>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</si>
  <si>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</si>
  <si>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</si>
  <si>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</si>
  <si>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</si>
  <si>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</si>
  <si>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</si>
  <si>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</si>
  <si>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</si>
  <si>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</si>
  <si>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</si>
  <si>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</si>
  <si>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</si>
  <si>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</si>
  <si>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</si>
  <si>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</si>
  <si>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</si>
  <si>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</si>
  <si>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</si>
  <si>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</si>
  <si>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</si>
  <si>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</si>
  <si>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</si>
  <si>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</si>
  <si>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</si>
  <si>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</si>
  <si>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</si>
  <si>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</si>
  <si>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</si>
  <si>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</si>
  <si>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</si>
  <si>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</si>
  <si>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</si>
  <si>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</si>
  <si>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</si>
  <si>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</si>
  <si>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</si>
  <si>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</si>
  <si>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</si>
  <si>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</si>
  <si>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</si>
  <si>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</si>
  <si>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</si>
  <si>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</si>
  <si>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</si>
  <si>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</si>
  <si>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</si>
  <si>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</si>
  <si>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</si>
  <si>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</si>
  <si>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</si>
  <si>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</si>
  <si>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</si>
  <si>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</si>
  <si>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</si>
  <si>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</si>
  <si>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</si>
  <si>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</si>
  <si>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</si>
  <si>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</si>
  <si>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</si>
  <si>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</si>
  <si>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</si>
  <si>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</si>
  <si>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</si>
  <si>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</si>
  <si>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</si>
  <si>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</si>
  <si>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</si>
  <si>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</si>
  <si>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</si>
  <si>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</si>
  <si>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</si>
  <si>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</si>
  <si>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</si>
  <si>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</si>
  <si>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</si>
  <si>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</si>
  <si>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</si>
  <si>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</si>
  <si>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</si>
  <si>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</si>
  <si>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</si>
  <si>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</si>
  <si>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</si>
  <si>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</si>
  <si>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</si>
  <si>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</si>
  <si>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</si>
  <si>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</si>
  <si>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</si>
  <si>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</si>
  <si>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</si>
  <si>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</si>
  <si>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</si>
  <si>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</si>
  <si>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</si>
  <si>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</si>
  <si>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</si>
  <si>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</si>
  <si>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</si>
  <si>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</si>
  <si>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</si>
  <si>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</si>
  <si>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</si>
  <si>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</si>
  <si>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</si>
  <si>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</si>
  <si>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</si>
  <si>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</si>
  <si>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</si>
  <si>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</si>
  <si>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</si>
  <si>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</si>
  <si>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</si>
  <si>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</si>
  <si>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</si>
  <si>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</si>
  <si>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</si>
  <si>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</si>
  <si>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</si>
  <si>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</si>
  <si>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</si>
  <si>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</si>
  <si>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</si>
  <si>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</si>
  <si>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</si>
  <si>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事業者名：</t>
  </si>
  <si>
    <t>以下の判定結果をもとに数値を見直してください。</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</si>
  <si>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</si>
  <si>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</si>
  <si>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</si>
  <si>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</si>
  <si>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</si>
  <si>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</si>
  <si>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</si>
  <si>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外、委、知は補助対象経費総額の1/2・1/2・1/3以内か</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</si>
  <si>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</si>
  <si>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</si>
  <si>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</si>
  <si>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</si>
  <si>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</si>
  <si>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</si>
  <si>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</si>
  <si>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</si>
  <si>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</si>
  <si>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</si>
  <si>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</si>
  <si>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</si>
  <si>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</si>
  <si>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</si>
  <si>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</si>
  <si>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</si>
  <si>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</si>
  <si>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</si>
  <si>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</si>
  <si>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</si>
  <si>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</si>
  <si>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</si>
  <si>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</si>
  <si>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</si>
  <si>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</si>
  <si>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</si>
  <si>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</si>
  <si>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</si>
  <si>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</si>
  <si>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</si>
  <si>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</si>
  <si>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</si>
  <si>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</si>
  <si>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</si>
  <si>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</si>
  <si>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（切捨て）</t>
  </si>
  <si>
    <t>補助対象経費</t>
  </si>
  <si>
    <t>補助対象経費の（2/3）</t>
  </si>
  <si>
    <t>■操作手順</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</si>
  <si>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</si>
  <si>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</si>
  <si>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</si>
  <si>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</si>
  <si>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</si>
  <si>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</si>
  <si>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</si>
  <si>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</si>
  <si>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</si>
  <si>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</si>
  <si>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</si>
  <si>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</si>
  <si>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機械装置費を優先した残りの補助金交付申請額</t>
  </si>
  <si>
    <t xml:space="preserve">機械装置費を除く合計額の補助金交付申請額の上限 </t>
  </si>
  <si>
    <t>この申請の事業類型は、</t>
  </si>
  <si>
    <t>積算基礎</t>
  </si>
  <si>
    <t>要対応は　　× 並びに</t>
  </si>
  <si>
    <t>色の変わったセル(総額違反)</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</si>
  <si>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</si>
  <si>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</si>
  <si>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</si>
  <si>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</si>
  <si>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</si>
  <si>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日</t>
  </si>
  <si>
    <t>判定１</t>
  </si>
  <si>
    <t>判定２</t>
  </si>
  <si>
    <t>判定３</t>
  </si>
  <si>
    <t>目次</t>
  </si>
  <si>
    <t>シート名</t>
  </si>
  <si>
    <t>日本標準産業分類</t>
  </si>
  <si>
    <t>【様式第１の別紙】①費目別経費支出明細書</t>
  </si>
  <si>
    <t>戻る</t>
  </si>
  <si>
    <t>下記の各費用項目をクリックすると対象のシートに移動します。</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</si>
  <si>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</si>
  <si>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</si>
  <si>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</si>
  <si>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</si>
  <si>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</si>
  <si>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</si>
  <si>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</si>
  <si>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</si>
  <si>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</si>
  <si>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</si>
  <si>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</si>
  <si>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</si>
  <si>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</si>
  <si>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</si>
  <si>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</si>
  <si>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ＣＣ株式会社</t>
  </si>
  <si>
    <t>金属Ａ</t>
  </si>
  <si>
    <t>ｋｇ</t>
  </si>
  <si>
    <t>金属Ｂ</t>
  </si>
  <si>
    <t>ｇ</t>
  </si>
  <si>
    <t>合金Ａ</t>
  </si>
  <si>
    <t>ｇ</t>
  </si>
  <si>
    <t>合金Ｂ</t>
  </si>
  <si>
    <t>ｇ</t>
  </si>
  <si>
    <t>Ｄ株式会社</t>
  </si>
  <si>
    <t>○○指導</t>
  </si>
  <si>
    <t>Ｅ株式会社</t>
  </si>
  <si>
    <t>切削加工</t>
  </si>
  <si>
    <t>件</t>
  </si>
  <si>
    <t>○○市工業研究所</t>
  </si>
  <si>
    <t>○○の委託研究開発</t>
  </si>
  <si>
    <t>○○研究所</t>
  </si>
  <si>
    <t>○○技術について</t>
  </si>
  <si>
    <t>○○運輸</t>
  </si>
  <si>
    <t>○○機材</t>
  </si>
  <si>
    <t>個</t>
  </si>
  <si>
    <t>○○弁理士</t>
  </si>
  <si>
    <t>○○株式会社</t>
  </si>
  <si>
    <t>○○作業
（20日）</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</si>
  <si>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</si>
  <si>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</si>
  <si>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</si>
  <si>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</si>
  <si>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</si>
  <si>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</si>
  <si>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</si>
  <si>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</si>
  <si>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</si>
  <si>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</si>
  <si>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</si>
  <si>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</si>
  <si>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</si>
  <si>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</si>
  <si>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</si>
  <si>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</si>
  <si>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</si>
  <si>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</si>
  <si>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</si>
  <si>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</si>
  <si>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様式第1の別紙　経費明細表を作成して下さい。</t>
  </si>
  <si>
    <t>●「(５）資金調達内訳」は一部自動算出されるため、各事業者の計画に合わせ変更してください。</t>
  </si>
  <si>
    <t>「機械装置費（50万円以上）」から「クラウド利用費」まで該当の「費目別経費支出明細書」へ見積書等の証拠書類をもとに入力してください。</t>
  </si>
  <si>
    <t>小規模型</t>
  </si>
  <si>
    <t>高度生産性向上型</t>
  </si>
  <si>
    <t>一般型</t>
  </si>
  <si>
    <t>設備投資のみ</t>
  </si>
  <si>
    <t>試作開発＋設備投資</t>
  </si>
  <si>
    <t>補助上限額</t>
  </si>
  <si>
    <t>事業類型</t>
  </si>
  <si>
    <t>№</t>
  </si>
  <si>
    <t>事業内容</t>
  </si>
  <si>
    <t>条件</t>
  </si>
  <si>
    <t>照合金額</t>
  </si>
  <si>
    <t>判定</t>
  </si>
  <si>
    <t>結果</t>
  </si>
  <si>
    <t>委託費</t>
  </si>
  <si>
    <t>判定対象外</t>
  </si>
  <si>
    <t>判定内容</t>
  </si>
  <si>
    <t>試作開発等</t>
  </si>
  <si>
    <t>事業内容（小規模）</t>
  </si>
  <si>
    <t>革新的サービス</t>
  </si>
  <si>
    <t>ものづくり技術</t>
  </si>
  <si>
    <t>外注加工費（小規模型のみ）</t>
  </si>
  <si>
    <t>補助下限額</t>
  </si>
  <si>
    <t>（試作開発等）</t>
  </si>
  <si>
    <t>（設備投資のみ）</t>
  </si>
  <si>
    <t>（ＩｏＴ）</t>
  </si>
  <si>
    <t>（最新モデル）</t>
  </si>
  <si>
    <t>原材料費（小規模型のみ）</t>
  </si>
  <si>
    <t>経費明細表</t>
  </si>
  <si>
    <t>委託費(小規模型のみ）</t>
  </si>
  <si>
    <t>知的財産権等関連経費(小規模型のみ）</t>
  </si>
  <si>
    <t>クラウド利用費（小規模型のみ）</t>
  </si>
  <si>
    <t>原材料費(※）</t>
  </si>
  <si>
    <t>外注加工費(※）</t>
  </si>
  <si>
    <t>委託費(※）</t>
  </si>
  <si>
    <t>知的財産権等関連経費(※）</t>
  </si>
  <si>
    <t>クラウド利用費(※）</t>
  </si>
  <si>
    <t>※は小規模型の「試作開発等」のみ使用可</t>
  </si>
  <si>
    <t>機械装置費で補助対象経費にして単価５０万円以上の設備投資が必要</t>
  </si>
  <si>
    <t>①費目別経費支出明細書</t>
  </si>
  <si>
    <t>原材料費、外注加工費、委託費、知的財産権等関連経費、クラウド利用費</t>
  </si>
  <si>
    <t>知的財産権等関連経費</t>
  </si>
  <si>
    <t>外注加工費は補助対象経費の1/2を超えていないか※１</t>
  </si>
  <si>
    <t>委託費は補助対象経費の1/2を超えていないか※１</t>
  </si>
  <si>
    <t>上記の合計額が補助対象経費の1/2を超えていないか。※１</t>
  </si>
  <si>
    <t>知的財産権関連経費が補助対象経費の1/3を超えていないか</t>
  </si>
  <si>
    <t>事業対象外の経費を使用していないか</t>
  </si>
  <si>
    <t>対象項目</t>
  </si>
  <si>
    <t>※１：小規模型（試作開発等）が対象</t>
  </si>
  <si>
    <t>事業対象外の経費を使用していないか※２</t>
  </si>
  <si>
    <t>※２：小規模型（試作開発等）以外が対象</t>
  </si>
  <si>
    <r>
      <rPr>
        <sz val="9.5"/>
        <rFont val="ＭＳ Ｐゴシック"/>
        <family val="3"/>
      </rPr>
      <t>補助事業に要した
経費</t>
    </r>
    <r>
      <rPr>
        <sz val="10"/>
        <rFont val="ＭＳ Ｐゴシック"/>
        <family val="3"/>
      </rPr>
      <t>（税込）
≧</t>
    </r>
    <r>
      <rPr>
        <sz val="9.5"/>
        <rFont val="ＭＳ Ｐゴシック"/>
        <family val="3"/>
      </rPr>
      <t>補助事業に要した
経費</t>
    </r>
    <r>
      <rPr>
        <sz val="10"/>
        <rFont val="ＭＳ Ｐゴシック"/>
        <family val="3"/>
      </rPr>
      <t>（税抜）
≧補助対象経費</t>
    </r>
  </si>
  <si>
    <t>機械装置費（単価50万円以上）</t>
  </si>
  <si>
    <t>機械装置費（単価50万円未満）</t>
  </si>
  <si>
    <t>その他経費の制限に
抵触していないか</t>
  </si>
  <si>
    <t xml:space="preserve"> </t>
  </si>
  <si>
    <t>補助事業に要した経費（税込）≧補助事業に要した経費（税抜）
補助事業に要した経費（税抜）≧補助対象経費</t>
  </si>
  <si>
    <t>判定1</t>
  </si>
  <si>
    <t>判定2</t>
  </si>
  <si>
    <t>判定3</t>
  </si>
  <si>
    <t>外、委、知は補助対象経費総額の1/2・1/2・1/3以内か。</t>
  </si>
  <si>
    <t>その他経費の制限に抵触していないか</t>
  </si>
  <si>
    <t>判定４</t>
  </si>
  <si>
    <t>技術導入費</t>
  </si>
  <si>
    <t>運搬費</t>
  </si>
  <si>
    <t>専門家経費</t>
  </si>
  <si>
    <r>
      <t>●</t>
    </r>
    <r>
      <rPr>
        <sz val="11"/>
        <rFont val="ＭＳ Ｐゴシック"/>
        <family val="3"/>
      </rPr>
      <t>画面（セルK2～M3）の「経費明細印刷（1/2）」「経費明細印刷（2/2）」をクリックして（4）経費明細表と計算シートを出力してください。</t>
    </r>
  </si>
  <si>
    <t>判定５</t>
  </si>
  <si>
    <t>設備投資の制限</t>
  </si>
  <si>
    <t>設備投資の制限に抵触していないか</t>
  </si>
  <si>
    <t>事業に要する経費(円)</t>
  </si>
  <si>
    <t>設備投資にウエイトをおいて補助金額を按分しています。</t>
  </si>
  <si>
    <t>「×」の場合、判定１～判定5参照</t>
  </si>
  <si>
    <t>注．事業に要する経費(A.税込みの額)</t>
  </si>
  <si>
    <t xml:space="preserve">（４）経費明細表 
 （注１）費目を使用する場合、補助事業に要する経費欄、補助対象経費欄及び補助金交付申請額欄に数字を必ず記入してください。（０円不可）
 （注２）「一般型」「高度生産性向上型」については、設備投資が必要です。また、「機械装置費」以外の経費については、
　　　　 総額で５００万円（税抜き）までを補助上限額とします。
 （注３）設置場所の設備工事や基礎工事については、補助対象として認めておりません。
 （注４）経費区分ごとに、事業に要する経費、補助対象経費、補助金交付申請額、積算基礎（補助事業に要する経費）を
　　　　 記入してください。
 （注５） 合計のみではなく、経費区分ごとに記載してください。
 （注６）「補助事業に要する経費」とは、当該事業を遂行するために必要な経費を意味し、ここでは消費税を加算した税込み金額と
         消費税を抜いた税抜き金額を併記してください。
 （注７）「補助対象経費（税抜き）」とは、「補助事業に要する経費（税込み）」のうちで補助対象となる経費について、
　　　　 消費税を差し引いた金額を記載してください。
　　　 　なお、本事業で使用する汎用性があり目的外使用になり得るもの（例えば、事務用のパソコン・プリンタ・タブレット端末・
　　　 　スマートフォン及びデジタル複合機など）については「補助事業に要する経費（税込み）」となりますが、補助対象外であるため、
　　　　 「補助対象経費（税抜き）」にはなりません。
 （注８）「補助金交付申請額（税抜き）」は、「補助対象経費（税抜き）」のうちで補助金の交付を希望する額で、その限度は、
         「補助対象経費」に補助率（２／３）を乗じた額（１円未満は切捨て）をいいます。
 （注９）「経費区分」には上限が設定（外注加工費、委託費、知的財産権等関連経費）されているものがありますのでご注意ください。
</t>
  </si>
  <si>
    <t>※補助金の支払は、原則として事業終了後の精算払となりますので、事業実施期間中、補助金相当分の資金を確保する必要があります。</t>
  </si>
  <si>
    <t>円</t>
  </si>
  <si>
    <t>Ｂ金属株式会社</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</si>
</sst>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s>
  <fonts count="12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u val="single"/>
      <sz val="18"/>
      <name val="ＭＳ Ｐ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8"/>
      <name val="ＭＳ 明朝"/>
      <family val="1"/>
    </font>
    <font>
      <b/>
      <sz val="11"/>
      <color indexed="8"/>
      <name val="ＭＳ ゴシック"/>
      <family val="3"/>
    </font>
    <font>
      <sz val="12"/>
      <color indexed="8"/>
      <name val="ＭＳ Ｐゴシック"/>
      <family val="3"/>
    </font>
    <font>
      <sz val="12"/>
      <color indexed="8"/>
      <name val="ＭＳ ゴシック"/>
      <family val="3"/>
    </font>
    <font>
      <b/>
      <sz val="12"/>
      <color indexed="8"/>
      <name val="ＭＳ ゴシック"/>
      <family val="3"/>
    </font>
    <font>
      <u val="single"/>
      <sz val="12"/>
      <color indexed="8"/>
      <name val="ＭＳ ゴシック"/>
      <family val="3"/>
    </font>
    <font>
      <sz val="12"/>
      <color indexed="9"/>
      <name val="ＭＳ ゴシック"/>
      <family val="3"/>
    </font>
    <font>
      <b/>
      <sz val="9"/>
      <color indexed="10"/>
      <name val="ＭＳ Ｐゴシック"/>
      <family val="3"/>
    </font>
    <font>
      <sz val="12"/>
      <color indexed="10"/>
      <name val="ＭＳ ゴシック"/>
      <family val="3"/>
    </font>
    <font>
      <sz val="12"/>
      <color indexed="47"/>
      <name val="ＭＳ ゴシック"/>
      <family val="3"/>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u val="single"/>
      <sz val="18"/>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b/>
      <sz val="11"/>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b/>
      <sz val="11"/>
      <name val="Calibri"/>
      <family val="3"/>
    </font>
    <font>
      <sz val="11"/>
      <name val="Calibri"/>
      <family val="3"/>
    </font>
    <font>
      <sz val="9"/>
      <name val="Calibri"/>
      <family val="3"/>
    </font>
    <font>
      <sz val="12"/>
      <color theme="0"/>
      <name val="ＭＳ ゴシック"/>
      <family val="3"/>
    </font>
    <font>
      <sz val="10"/>
      <name val="Calibri"/>
      <family val="3"/>
    </font>
    <font>
      <b/>
      <sz val="9"/>
      <color rgb="FFFF0000"/>
      <name val="Calibri"/>
      <family val="3"/>
    </font>
    <font>
      <sz val="12"/>
      <color rgb="FFFF0000"/>
      <name val="ＭＳ ゴシック"/>
      <family val="3"/>
    </font>
    <font>
      <sz val="12"/>
      <color theme="9" tint="0.7999799847602844"/>
      <name val="ＭＳ ゴシック"/>
      <family val="3"/>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u val="single"/>
      <sz val="18"/>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b/>
      <sz val="14"/>
      <color rgb="FF002060"/>
      <name val="ＭＳ Ｐゴシック"/>
      <family val="3"/>
    </font>
    <font>
      <b/>
      <sz val="14"/>
      <color theme="1"/>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thin"/>
      <top style="thin"/>
      <bottom style="medium"/>
    </border>
    <border>
      <left>
        <color indexed="63"/>
      </left>
      <right style="thin"/>
      <top style="thin"/>
      <bottom style="medium"/>
    </border>
    <border>
      <left/>
      <right style="thin"/>
      <top/>
      <bottom style="mediu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bottom style="medium"/>
    </border>
    <border>
      <left style="thin"/>
      <right/>
      <top style="medium"/>
      <bottom/>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medium"/>
      <right style="medium"/>
      <top style="medium"/>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thin"/>
      <top style="thin"/>
      <bottom style="double"/>
    </border>
    <border>
      <left style="thin"/>
      <right style="thin"/>
      <top style="double"/>
      <bottom style="thin"/>
    </border>
    <border>
      <left style="thin"/>
      <right style="thin"/>
      <top style="medium"/>
      <bottom style="medium"/>
    </border>
    <border>
      <left style="thin"/>
      <right/>
      <top style="thin"/>
      <bottom style="medium"/>
    </border>
    <border>
      <left style="thin"/>
      <right style="medium"/>
      <top style="medium"/>
      <bottom style="medium"/>
    </border>
    <border>
      <left style="medium"/>
      <right/>
      <top/>
      <bottom/>
    </border>
    <border>
      <left style="medium"/>
      <right style="thin"/>
      <top style="medium"/>
      <bottom style="thin"/>
    </border>
    <border>
      <left style="medium"/>
      <right style="medium"/>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right/>
      <top style="thin"/>
      <bottom/>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ck"/>
      <right style="thin"/>
      <top style="thick"/>
      <bottom style="hair"/>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thin"/>
      <right style="thin"/>
      <top style="thin"/>
      <bottom/>
    </border>
    <border>
      <left>
        <color indexed="63"/>
      </left>
      <right style="thin"/>
      <top style="thin"/>
      <bottom style="hair"/>
    </border>
    <border>
      <left/>
      <right style="thin"/>
      <top style="hair"/>
      <bottom style="hair"/>
    </border>
    <border>
      <left style="thin"/>
      <right style="thin"/>
      <top/>
      <bottom/>
    </border>
    <border>
      <left>
        <color indexed="63"/>
      </left>
      <right style="thin"/>
      <top style="hair"/>
      <bottom style="thin"/>
    </border>
    <border>
      <left/>
      <right/>
      <top style="thin"/>
      <bottom style="thin"/>
    </border>
    <border>
      <left style="thin"/>
      <right style="thick">
        <color theme="8" tint="-0.4999699890613556"/>
      </right>
      <top style="thin"/>
      <bottom/>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style="thin"/>
      <right style="double"/>
      <top style="thin"/>
      <bottom style="thin"/>
    </border>
    <border>
      <left style="double"/>
      <right style="thin"/>
      <top/>
      <bottom style="thin"/>
    </border>
    <border diagonalUp="1">
      <left style="thin"/>
      <right style="thin"/>
      <top style="thin"/>
      <bottom style="thin"/>
      <diagonal style="thin"/>
    </border>
    <border>
      <left>
        <color indexed="63"/>
      </left>
      <right style="thick"/>
      <top style="hair"/>
      <bottom style="thick"/>
    </border>
    <border>
      <left>
        <color indexed="63"/>
      </left>
      <right style="thick"/>
      <top style="hair"/>
      <bottom style="hair"/>
    </border>
    <border>
      <left style="thin"/>
      <right>
        <color indexed="63"/>
      </right>
      <top style="hair"/>
      <bottom style="thick"/>
    </border>
    <border>
      <left>
        <color indexed="63"/>
      </left>
      <right>
        <color indexed="63"/>
      </right>
      <top style="hair"/>
      <bottom style="thick"/>
    </border>
    <border>
      <left>
        <color indexed="63"/>
      </left>
      <right>
        <color indexed="63"/>
      </right>
      <top style="hair"/>
      <bottom style="hair"/>
    </border>
    <border>
      <left style="double"/>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color theme="8" tint="-0.4999699890613556"/>
      </right>
      <top/>
      <bottom/>
    </border>
    <border>
      <left style="thin"/>
      <right style="thick">
        <color theme="8" tint="-0.4999699890613556"/>
      </right>
      <top>
        <color indexed="63"/>
      </top>
      <bottom style="thin"/>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right/>
      <top style="medium"/>
      <bottom/>
    </border>
    <border>
      <left/>
      <right style="thin"/>
      <top style="medium"/>
      <bottom/>
    </border>
    <border>
      <left style="thin"/>
      <right style="medium"/>
      <top style="medium"/>
      <bottom>
        <color indexed="63"/>
      </bottom>
    </border>
    <border>
      <left style="medium"/>
      <right/>
      <top style="medium"/>
      <bottom style="medium"/>
    </border>
    <border>
      <left/>
      <right/>
      <top style="medium"/>
      <bottom style="medium"/>
    </border>
    <border>
      <left style="medium"/>
      <right style="thin"/>
      <top style="medium"/>
      <bottom>
        <color indexed="63"/>
      </bottom>
    </border>
    <border>
      <left style="medium"/>
      <right style="thin"/>
      <top/>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604">
    <xf numFmtId="0" fontId="0"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93" fillId="0" borderId="10" xfId="0" applyFont="1" applyBorder="1" applyAlignment="1" applyProtection="1">
      <alignment horizontal="center" vertical="top" wrapText="1"/>
      <protection locked="0"/>
    </xf>
    <xf numFmtId="0" fontId="93" fillId="0" borderId="11"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184" fontId="7"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38" fontId="0" fillId="0" borderId="0" xfId="0" applyNumberFormat="1" applyFont="1" applyAlignment="1" applyProtection="1">
      <alignment vertical="center"/>
      <protection locked="0"/>
    </xf>
    <xf numFmtId="0" fontId="0" fillId="33" borderId="0" xfId="0" applyFont="1" applyFill="1" applyAlignment="1" applyProtection="1">
      <alignment vertical="center"/>
      <protection locked="0"/>
    </xf>
    <xf numFmtId="0" fontId="93" fillId="0" borderId="0" xfId="0" applyFont="1" applyAlignment="1" applyProtection="1">
      <alignment horizontal="center" vertical="center"/>
      <protection locked="0"/>
    </xf>
    <xf numFmtId="0" fontId="93" fillId="0" borderId="12" xfId="0" applyFont="1" applyBorder="1" applyAlignment="1" applyProtection="1">
      <alignment horizontal="center" vertical="center" wrapText="1"/>
      <protection locked="0"/>
    </xf>
    <xf numFmtId="0" fontId="93" fillId="0" borderId="13" xfId="0" applyFont="1" applyBorder="1" applyAlignment="1" applyProtection="1">
      <alignment horizontal="center" vertical="center" wrapText="1"/>
      <protection locked="0"/>
    </xf>
    <xf numFmtId="186" fontId="94"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93" fillId="0" borderId="14" xfId="0" applyFont="1" applyBorder="1" applyAlignment="1" applyProtection="1">
      <alignment horizontal="center" vertical="center" wrapText="1"/>
      <protection locked="0"/>
    </xf>
    <xf numFmtId="0" fontId="93" fillId="0" borderId="15" xfId="0" applyFont="1" applyBorder="1" applyAlignment="1" applyProtection="1">
      <alignment horizontal="center" vertical="center" wrapText="1"/>
      <protection locked="0"/>
    </xf>
    <xf numFmtId="0" fontId="93" fillId="33" borderId="13" xfId="0" applyFont="1" applyFill="1" applyBorder="1" applyAlignment="1" applyProtection="1">
      <alignment horizontal="center" vertical="center" wrapText="1"/>
      <protection locked="0"/>
    </xf>
    <xf numFmtId="0" fontId="93" fillId="33" borderId="12" xfId="0" applyFont="1" applyFill="1" applyBorder="1" applyAlignment="1" applyProtection="1">
      <alignment horizontal="center" vertical="center" wrapText="1"/>
      <protection locked="0"/>
    </xf>
    <xf numFmtId="38" fontId="95" fillId="33" borderId="16" xfId="5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96"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97" fillId="0" borderId="0" xfId="0" applyFont="1" applyAlignment="1" applyProtection="1">
      <alignment horizontal="left" vertical="center"/>
      <protection locked="0"/>
    </xf>
    <xf numFmtId="0" fontId="98" fillId="0" borderId="0" xfId="0" applyFont="1" applyAlignment="1" applyProtection="1">
      <alignment horizontal="left" vertical="center"/>
      <protection locked="0"/>
    </xf>
    <xf numFmtId="0" fontId="99" fillId="33" borderId="0" xfId="0" applyFont="1" applyFill="1" applyAlignment="1" applyProtection="1">
      <alignment vertical="center"/>
      <protection locked="0"/>
    </xf>
    <xf numFmtId="0" fontId="93" fillId="0" borderId="17" xfId="0" applyFont="1" applyBorder="1" applyAlignment="1" applyProtection="1">
      <alignment horizontal="center" vertical="center" wrapText="1"/>
      <protection locked="0"/>
    </xf>
    <xf numFmtId="0" fontId="93" fillId="0" borderId="18" xfId="0" applyFont="1" applyBorder="1" applyAlignment="1" applyProtection="1">
      <alignment horizontal="center" vertical="center" wrapText="1"/>
      <protection locked="0"/>
    </xf>
    <xf numFmtId="0" fontId="100" fillId="0" borderId="0" xfId="0" applyFont="1" applyBorder="1" applyAlignment="1">
      <alignment horizontal="center" vertical="center" wrapText="1"/>
    </xf>
    <xf numFmtId="0" fontId="100" fillId="0" borderId="0" xfId="0" applyFont="1" applyBorder="1" applyAlignment="1">
      <alignment vertical="center" wrapText="1"/>
    </xf>
    <xf numFmtId="0" fontId="100" fillId="0" borderId="0" xfId="0" applyFont="1" applyAlignment="1">
      <alignment horizontal="center" vertical="center" wrapText="1"/>
    </xf>
    <xf numFmtId="0" fontId="101" fillId="0" borderId="0" xfId="0" applyFont="1" applyAlignment="1">
      <alignment vertical="center"/>
    </xf>
    <xf numFmtId="0" fontId="101" fillId="0" borderId="0"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wrapText="1"/>
    </xf>
    <xf numFmtId="49" fontId="101" fillId="0" borderId="0" xfId="0" applyNumberFormat="1" applyFont="1" applyBorder="1" applyAlignment="1" quotePrefix="1">
      <alignment horizontal="right" vertical="center"/>
    </xf>
    <xf numFmtId="0" fontId="101" fillId="0" borderId="0" xfId="0" applyFont="1" applyAlignment="1">
      <alignment horizontal="center" vertical="center"/>
    </xf>
    <xf numFmtId="49" fontId="101" fillId="0" borderId="0" xfId="0" applyNumberFormat="1" applyFont="1" applyBorder="1" applyAlignment="1">
      <alignment horizontal="right" vertical="center"/>
    </xf>
    <xf numFmtId="0" fontId="101" fillId="0" borderId="0" xfId="0" applyFont="1" applyBorder="1" applyAlignment="1">
      <alignment horizontal="left" vertical="center" indent="1"/>
    </xf>
    <xf numFmtId="0" fontId="101" fillId="33" borderId="0" xfId="0" applyFont="1" applyFill="1" applyBorder="1" applyAlignment="1">
      <alignment vertical="center"/>
    </xf>
    <xf numFmtId="0" fontId="93" fillId="0" borderId="19" xfId="0" applyFont="1" applyBorder="1" applyAlignment="1" applyProtection="1">
      <alignment horizontal="center" vertical="center" wrapText="1"/>
      <protection locked="0"/>
    </xf>
    <xf numFmtId="38" fontId="9" fillId="0" borderId="0" xfId="53" applyFont="1" applyFill="1" applyBorder="1" applyAlignment="1" applyProtection="1">
      <alignment vertical="top" wrapText="1"/>
      <protection locked="0"/>
    </xf>
    <xf numFmtId="0" fontId="102" fillId="0" borderId="0" xfId="0" applyFont="1" applyAlignment="1" applyProtection="1">
      <alignment vertical="center"/>
      <protection locked="0"/>
    </xf>
    <xf numFmtId="0" fontId="12" fillId="0" borderId="0" xfId="0" applyFont="1" applyBorder="1" applyAlignment="1" applyProtection="1">
      <alignment vertical="center"/>
      <protection locked="0"/>
    </xf>
    <xf numFmtId="38" fontId="10" fillId="0" borderId="20" xfId="50" applyFont="1" applyFill="1" applyBorder="1" applyAlignment="1" applyProtection="1">
      <alignment vertical="center"/>
      <protection/>
    </xf>
    <xf numFmtId="184" fontId="10" fillId="0" borderId="20" xfId="0" applyNumberFormat="1" applyFont="1" applyBorder="1" applyAlignment="1" applyProtection="1">
      <alignment horizontal="right" vertical="center"/>
      <protection/>
    </xf>
    <xf numFmtId="184" fontId="10" fillId="0" borderId="21" xfId="0" applyNumberFormat="1" applyFont="1" applyFill="1" applyBorder="1" applyAlignment="1" applyProtection="1">
      <alignment horizontal="right" vertical="center" wrapText="1"/>
      <protection/>
    </xf>
    <xf numFmtId="38" fontId="10" fillId="0" borderId="21" xfId="50" applyFont="1" applyFill="1" applyBorder="1" applyAlignment="1" applyProtection="1">
      <alignment vertical="center"/>
      <protection/>
    </xf>
    <xf numFmtId="184" fontId="10" fillId="0" borderId="21" xfId="0" applyNumberFormat="1" applyFont="1" applyBorder="1" applyAlignment="1" applyProtection="1">
      <alignment horizontal="right" vertical="center"/>
      <protection/>
    </xf>
    <xf numFmtId="184" fontId="10" fillId="0" borderId="22" xfId="0" applyNumberFormat="1" applyFont="1" applyFill="1" applyBorder="1" applyAlignment="1" applyProtection="1">
      <alignment horizontal="right" vertical="center" wrapText="1"/>
      <protection/>
    </xf>
    <xf numFmtId="184" fontId="10" fillId="0" borderId="21" xfId="0" applyNumberFormat="1" applyFont="1" applyFill="1" applyBorder="1" applyAlignment="1" applyProtection="1">
      <alignment horizontal="right" vertical="center"/>
      <protection/>
    </xf>
    <xf numFmtId="184" fontId="10" fillId="0" borderId="23" xfId="0" applyNumberFormat="1" applyFont="1" applyFill="1" applyBorder="1" applyAlignment="1" applyProtection="1">
      <alignment horizontal="right" vertical="center" wrapText="1"/>
      <protection/>
    </xf>
    <xf numFmtId="38" fontId="10" fillId="0" borderId="23" xfId="50" applyFont="1" applyFill="1" applyBorder="1" applyAlignment="1" applyProtection="1">
      <alignment vertical="center"/>
      <protection/>
    </xf>
    <xf numFmtId="184" fontId="10" fillId="0" borderId="24" xfId="0" applyNumberFormat="1" applyFont="1" applyFill="1" applyBorder="1" applyAlignment="1" applyProtection="1">
      <alignment horizontal="right" vertical="center" wrapText="1"/>
      <protection/>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90" fontId="10" fillId="0" borderId="22" xfId="50" applyNumberFormat="1" applyFont="1" applyFill="1" applyBorder="1" applyAlignment="1" applyProtection="1">
      <alignment vertical="center"/>
      <protection/>
    </xf>
    <xf numFmtId="191" fontId="10" fillId="0" borderId="22" xfId="50" applyNumberFormat="1" applyFont="1" applyFill="1" applyBorder="1" applyAlignment="1" applyProtection="1">
      <alignment vertical="center"/>
      <protection/>
    </xf>
    <xf numFmtId="0" fontId="101" fillId="0" borderId="0" xfId="0" applyFont="1" applyBorder="1" applyAlignment="1" applyProtection="1">
      <alignment vertical="center"/>
      <protection locked="0"/>
    </xf>
    <xf numFmtId="0" fontId="97" fillId="0" borderId="0" xfId="0" applyFont="1" applyAlignment="1" applyProtection="1">
      <alignment vertical="center"/>
      <protection locked="0"/>
    </xf>
    <xf numFmtId="14" fontId="97" fillId="0" borderId="0" xfId="0" applyNumberFormat="1" applyFont="1" applyAlignment="1" applyProtection="1">
      <alignment vertical="center"/>
      <protection locked="0"/>
    </xf>
    <xf numFmtId="0" fontId="97" fillId="0" borderId="0" xfId="0" applyFont="1" applyAlignment="1" applyProtection="1">
      <alignment vertical="center"/>
      <protection locked="0"/>
    </xf>
    <xf numFmtId="189" fontId="5" fillId="33" borderId="0" xfId="0" applyNumberFormat="1" applyFont="1" applyFill="1" applyBorder="1" applyAlignment="1" applyProtection="1">
      <alignment horizontal="left" vertical="center"/>
      <protection locked="0"/>
    </xf>
    <xf numFmtId="0" fontId="97" fillId="33" borderId="0" xfId="0" applyFont="1" applyFill="1" applyAlignment="1" applyProtection="1">
      <alignment vertical="center"/>
      <protection locked="0"/>
    </xf>
    <xf numFmtId="0" fontId="5" fillId="0" borderId="0" xfId="0" applyFont="1" applyAlignment="1" applyProtection="1">
      <alignment vertical="center"/>
      <protection locked="0"/>
    </xf>
    <xf numFmtId="0" fontId="97" fillId="0" borderId="0" xfId="0" applyFont="1" applyFill="1" applyAlignment="1" applyProtection="1">
      <alignment vertical="center"/>
      <protection locked="0"/>
    </xf>
    <xf numFmtId="0" fontId="103" fillId="0" borderId="0" xfId="0" applyFont="1" applyAlignment="1" applyProtection="1">
      <alignment vertical="center"/>
      <protection locked="0"/>
    </xf>
    <xf numFmtId="0" fontId="5" fillId="0" borderId="0" xfId="0" applyFont="1" applyAlignment="1" applyProtection="1">
      <alignment vertical="center"/>
      <protection locked="0"/>
    </xf>
    <xf numFmtId="0" fontId="97" fillId="0" borderId="0" xfId="0" applyFont="1" applyAlignment="1">
      <alignment vertical="center"/>
    </xf>
    <xf numFmtId="0" fontId="5" fillId="0" borderId="0" xfId="0" applyFont="1" applyBorder="1" applyAlignment="1" applyProtection="1">
      <alignment horizontal="center" vertical="center"/>
      <protection locked="0"/>
    </xf>
    <xf numFmtId="0" fontId="97" fillId="34" borderId="0" xfId="0" applyFont="1" applyFill="1" applyAlignment="1" applyProtection="1">
      <alignment vertical="center"/>
      <protection locked="0"/>
    </xf>
    <xf numFmtId="0" fontId="79" fillId="34" borderId="0" xfId="44" applyFill="1" applyAlignment="1" applyProtection="1">
      <alignment vertical="center"/>
      <protection locked="0"/>
    </xf>
    <xf numFmtId="0" fontId="94" fillId="7" borderId="25" xfId="0" applyFont="1" applyFill="1" applyBorder="1" applyAlignment="1" applyProtection="1">
      <alignment horizontal="left" vertical="center" wrapText="1"/>
      <protection locked="0"/>
    </xf>
    <xf numFmtId="0" fontId="94" fillId="7" borderId="26" xfId="0" applyFont="1" applyFill="1" applyBorder="1" applyAlignment="1" applyProtection="1">
      <alignment horizontal="left" vertical="center" wrapText="1"/>
      <protection locked="0"/>
    </xf>
    <xf numFmtId="0" fontId="94" fillId="7" borderId="22" xfId="0" applyFont="1" applyFill="1" applyBorder="1" applyAlignment="1" applyProtection="1">
      <alignment horizontal="left" vertical="center" wrapText="1"/>
      <protection locked="0"/>
    </xf>
    <xf numFmtId="0" fontId="94" fillId="7" borderId="22" xfId="0" applyFont="1" applyFill="1" applyBorder="1" applyAlignment="1" applyProtection="1">
      <alignment horizontal="left" vertical="center" wrapText="1" shrinkToFit="1"/>
      <protection locked="0"/>
    </xf>
    <xf numFmtId="184" fontId="7" fillId="7" borderId="22" xfId="0" applyNumberFormat="1" applyFont="1" applyFill="1" applyBorder="1" applyAlignment="1" applyProtection="1">
      <alignment horizontal="left" vertical="center" wrapText="1"/>
      <protection locked="0"/>
    </xf>
    <xf numFmtId="184" fontId="7" fillId="7" borderId="27" xfId="0" applyNumberFormat="1" applyFont="1" applyFill="1" applyBorder="1" applyAlignment="1" applyProtection="1">
      <alignment horizontal="left" vertical="center" wrapText="1"/>
      <protection locked="0"/>
    </xf>
    <xf numFmtId="0" fontId="94" fillId="7" borderId="27"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93" fillId="0" borderId="28" xfId="0" applyFont="1" applyBorder="1" applyAlignment="1" applyProtection="1">
      <alignment horizontal="center" vertical="center" wrapText="1"/>
      <protection locked="0"/>
    </xf>
    <xf numFmtId="0" fontId="95" fillId="33" borderId="16" xfId="0" applyFont="1" applyFill="1" applyBorder="1" applyAlignment="1" applyProtection="1">
      <alignment horizontal="center" vertical="center" wrapText="1"/>
      <protection locked="0"/>
    </xf>
    <xf numFmtId="0" fontId="93" fillId="0" borderId="29" xfId="0" applyFont="1" applyBorder="1" applyAlignment="1" applyProtection="1">
      <alignment horizontal="center" vertical="top"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93" fillId="0" borderId="0" xfId="0" applyFont="1" applyAlignment="1" applyProtection="1">
      <alignment horizontal="left" vertical="center"/>
      <protection locked="0"/>
    </xf>
    <xf numFmtId="0" fontId="0" fillId="0" borderId="22"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93" fillId="0" borderId="0" xfId="0" applyFont="1" applyAlignment="1" applyProtection="1">
      <alignment horizontal="justify" vertical="center"/>
      <protection locked="0"/>
    </xf>
    <xf numFmtId="0" fontId="101" fillId="0" borderId="0" xfId="0" applyFont="1" applyBorder="1" applyAlignment="1" applyProtection="1">
      <alignment horizontal="right" vertical="center"/>
      <protection locked="0"/>
    </xf>
    <xf numFmtId="0" fontId="0" fillId="0" borderId="16"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93"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top" wrapText="1"/>
      <protection locked="0"/>
    </xf>
    <xf numFmtId="0" fontId="94" fillId="7" borderId="12" xfId="0" applyFont="1" applyFill="1" applyBorder="1" applyAlignment="1" applyProtection="1">
      <alignment horizontal="left" vertical="center" wrapText="1"/>
      <protection locked="0"/>
    </xf>
    <xf numFmtId="0" fontId="94" fillId="7" borderId="13" xfId="0" applyFont="1" applyFill="1" applyBorder="1" applyAlignment="1" applyProtection="1">
      <alignment horizontal="left" vertical="center" wrapText="1"/>
      <protection locked="0"/>
    </xf>
    <xf numFmtId="0" fontId="7" fillId="7" borderId="22" xfId="0" applyFont="1" applyFill="1" applyBorder="1" applyAlignment="1" applyProtection="1">
      <alignment horizontal="left" vertical="center" wrapText="1"/>
      <protection locked="0"/>
    </xf>
    <xf numFmtId="0" fontId="94" fillId="7" borderId="13" xfId="0" applyFont="1" applyFill="1" applyBorder="1" applyAlignment="1" applyProtection="1">
      <alignment horizontal="left" vertical="center" shrinkToFit="1"/>
      <protection locked="0"/>
    </xf>
    <xf numFmtId="0" fontId="94" fillId="7" borderId="18"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93" fillId="0" borderId="10" xfId="50" applyFont="1" applyBorder="1" applyAlignment="1" applyProtection="1">
      <alignment horizontal="center" vertical="top" wrapText="1"/>
      <protection locked="0"/>
    </xf>
    <xf numFmtId="38" fontId="93" fillId="0" borderId="28" xfId="50" applyFont="1" applyBorder="1" applyAlignment="1" applyProtection="1">
      <alignment horizontal="center" vertical="center" wrapText="1"/>
      <protection locked="0"/>
    </xf>
    <xf numFmtId="0" fontId="93" fillId="0" borderId="0" xfId="0" applyFont="1" applyBorder="1" applyAlignment="1" applyProtection="1">
      <alignment horizontal="center" vertical="center" wrapText="1"/>
      <protection locked="0"/>
    </xf>
    <xf numFmtId="0" fontId="94" fillId="7" borderId="22" xfId="0" applyFont="1" applyFill="1" applyBorder="1" applyAlignment="1" applyProtection="1">
      <alignment horizontal="left" vertical="center" shrinkToFit="1"/>
      <protection locked="0"/>
    </xf>
    <xf numFmtId="0" fontId="93" fillId="0" borderId="26" xfId="0" applyFont="1" applyBorder="1" applyAlignment="1" applyProtection="1">
      <alignment horizontal="center" vertical="center" wrapText="1"/>
      <protection locked="0"/>
    </xf>
    <xf numFmtId="0" fontId="0" fillId="7" borderId="30" xfId="0" applyFont="1" applyFill="1" applyBorder="1" applyAlignment="1" applyProtection="1">
      <alignment horizontal="center" vertical="center"/>
      <protection locked="0"/>
    </xf>
    <xf numFmtId="0" fontId="93" fillId="0" borderId="22" xfId="0" applyFont="1" applyBorder="1" applyAlignment="1" applyProtection="1">
      <alignment horizontal="center" vertical="center" wrapText="1"/>
      <protection locked="0"/>
    </xf>
    <xf numFmtId="0" fontId="93" fillId="0" borderId="27" xfId="0" applyFont="1" applyBorder="1" applyAlignment="1" applyProtection="1">
      <alignment horizontal="center" vertical="center" wrapText="1"/>
      <protection locked="0"/>
    </xf>
    <xf numFmtId="0" fontId="0" fillId="7" borderId="31" xfId="0" applyFont="1" applyFill="1" applyBorder="1" applyAlignment="1" applyProtection="1">
      <alignment horizontal="center" vertical="center"/>
      <protection locked="0"/>
    </xf>
    <xf numFmtId="0" fontId="93" fillId="0" borderId="0" xfId="0" applyFont="1" applyAlignment="1" applyProtection="1">
      <alignment horizontal="left" vertical="center" shrinkToFit="1"/>
      <protection locked="0"/>
    </xf>
    <xf numFmtId="0" fontId="93" fillId="0" borderId="10" xfId="0" applyFont="1" applyBorder="1" applyAlignment="1" applyProtection="1">
      <alignment horizontal="center" vertical="top" shrinkToFit="1"/>
      <protection locked="0"/>
    </xf>
    <xf numFmtId="0" fontId="93" fillId="0" borderId="28" xfId="0" applyFont="1" applyBorder="1" applyAlignment="1" applyProtection="1">
      <alignment horizontal="left" vertical="center" shrinkToFit="1"/>
      <protection locked="0"/>
    </xf>
    <xf numFmtId="0" fontId="0" fillId="7" borderId="32" xfId="0" applyFont="1" applyFill="1" applyBorder="1" applyAlignment="1" applyProtection="1">
      <alignment horizontal="center" vertical="center"/>
      <protection locked="0"/>
    </xf>
    <xf numFmtId="0" fontId="0" fillId="7" borderId="33" xfId="0" applyFont="1" applyFill="1" applyBorder="1" applyAlignment="1" applyProtection="1">
      <alignment horizontal="center" vertical="center"/>
      <protection locked="0"/>
    </xf>
    <xf numFmtId="0" fontId="93" fillId="33" borderId="22" xfId="0" applyFont="1" applyFill="1" applyBorder="1" applyAlignment="1" applyProtection="1">
      <alignment horizontal="center" vertical="center" wrapText="1"/>
      <protection locked="0"/>
    </xf>
    <xf numFmtId="0" fontId="93" fillId="33" borderId="0" xfId="0" applyFont="1" applyFill="1" applyBorder="1" applyAlignment="1" applyProtection="1">
      <alignment horizontal="center" vertical="center" wrapText="1"/>
      <protection locked="0"/>
    </xf>
    <xf numFmtId="0" fontId="93" fillId="33" borderId="26" xfId="0" applyFont="1" applyFill="1" applyBorder="1" applyAlignment="1" applyProtection="1">
      <alignment horizontal="center" vertical="center" wrapText="1"/>
      <protection locked="0"/>
    </xf>
    <xf numFmtId="0" fontId="94" fillId="7" borderId="13" xfId="0" applyFont="1" applyFill="1" applyBorder="1" applyAlignment="1" applyProtection="1">
      <alignment horizontal="left" vertical="center" wrapText="1" shrinkToFit="1"/>
      <protection locked="0"/>
    </xf>
    <xf numFmtId="0" fontId="93" fillId="0" borderId="12" xfId="0" applyFont="1" applyBorder="1" applyAlignment="1" applyProtection="1" quotePrefix="1">
      <alignment horizontal="center" vertical="center" wrapText="1"/>
      <protection locked="0"/>
    </xf>
    <xf numFmtId="0" fontId="93" fillId="33" borderId="15" xfId="0" applyFont="1" applyFill="1" applyBorder="1" applyAlignment="1" applyProtection="1">
      <alignment horizontal="center" vertical="center" wrapText="1"/>
      <protection locked="0"/>
    </xf>
    <xf numFmtId="0" fontId="93" fillId="33" borderId="12" xfId="0" applyFont="1" applyFill="1" applyBorder="1" applyAlignment="1" applyProtection="1" quotePrefix="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93" fillId="0" borderId="19" xfId="0" applyFont="1" applyBorder="1" applyAlignment="1" applyProtection="1" quotePrefix="1">
      <alignment horizontal="center" vertical="center" wrapText="1"/>
      <protection locked="0"/>
    </xf>
    <xf numFmtId="0" fontId="93" fillId="33" borderId="14" xfId="0" applyFont="1" applyFill="1" applyBorder="1" applyAlignment="1" applyProtection="1">
      <alignment horizontal="center" vertical="center" wrapText="1"/>
      <protection locked="0"/>
    </xf>
    <xf numFmtId="38" fontId="10" fillId="0" borderId="21" xfId="50" applyFont="1" applyFill="1" applyBorder="1" applyAlignment="1" applyProtection="1">
      <alignment horizontal="center" vertical="center"/>
      <protection/>
    </xf>
    <xf numFmtId="184" fontId="10" fillId="0" borderId="23" xfId="0" applyNumberFormat="1" applyFont="1" applyFill="1" applyBorder="1" applyAlignment="1" applyProtection="1">
      <alignment horizontal="right" vertical="center"/>
      <protection/>
    </xf>
    <xf numFmtId="0" fontId="93" fillId="0" borderId="34" xfId="0" applyFont="1" applyBorder="1" applyAlignment="1" applyProtection="1">
      <alignment horizontal="center" vertical="top" wrapText="1"/>
      <protection locked="0"/>
    </xf>
    <xf numFmtId="0" fontId="93" fillId="0" borderId="35" xfId="0" applyFont="1" applyBorder="1" applyAlignment="1" applyProtection="1">
      <alignment horizontal="center" vertical="center" wrapText="1"/>
      <protection locked="0"/>
    </xf>
    <xf numFmtId="0" fontId="104"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04" fillId="0" borderId="0" xfId="0" applyFont="1" applyFill="1" applyAlignment="1" applyProtection="1">
      <alignment vertical="center"/>
      <protection locked="0"/>
    </xf>
    <xf numFmtId="0" fontId="0" fillId="0" borderId="22" xfId="0" applyFont="1" applyBorder="1" applyAlignment="1" applyProtection="1">
      <alignment horizontal="center" vertical="center" shrinkToFit="1"/>
      <protection locked="0"/>
    </xf>
    <xf numFmtId="38" fontId="10" fillId="0" borderId="22" xfId="50" applyFont="1" applyFill="1" applyBorder="1" applyAlignment="1" applyProtection="1">
      <alignment vertical="center"/>
      <protection/>
    </xf>
    <xf numFmtId="0" fontId="0" fillId="7" borderId="36" xfId="0" applyFont="1" applyFill="1" applyBorder="1" applyAlignment="1" applyProtection="1">
      <alignment horizontal="center" vertical="center"/>
      <protection locked="0"/>
    </xf>
    <xf numFmtId="0" fontId="0" fillId="7" borderId="37" xfId="0" applyFont="1" applyFill="1" applyBorder="1" applyAlignment="1" applyProtection="1">
      <alignment horizontal="center" vertical="center"/>
      <protection locked="0"/>
    </xf>
    <xf numFmtId="0" fontId="98" fillId="0" borderId="0" xfId="0" applyFont="1" applyAlignment="1" applyProtection="1">
      <alignment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xf>
    <xf numFmtId="0" fontId="0" fillId="0" borderId="22" xfId="0" applyBorder="1" applyAlignment="1">
      <alignment horizontal="center" vertical="center"/>
    </xf>
    <xf numFmtId="0" fontId="79" fillId="0" borderId="22" xfId="44" applyBorder="1" applyAlignment="1" applyProtection="1">
      <alignment vertical="center"/>
      <protection/>
    </xf>
    <xf numFmtId="184" fontId="94" fillId="0" borderId="28" xfId="0" applyNumberFormat="1" applyFont="1" applyBorder="1" applyAlignment="1" applyProtection="1">
      <alignment vertical="center" shrinkToFit="1"/>
      <protection/>
    </xf>
    <xf numFmtId="186" fontId="94" fillId="33" borderId="33" xfId="0" applyNumberFormat="1" applyFont="1" applyFill="1" applyBorder="1" applyAlignment="1" applyProtection="1">
      <alignment vertical="center" shrinkToFit="1"/>
      <protection/>
    </xf>
    <xf numFmtId="184" fontId="94" fillId="7" borderId="25" xfId="0" applyNumberFormat="1" applyFont="1" applyFill="1" applyBorder="1" applyAlignment="1" applyProtection="1">
      <alignment vertical="center" shrinkToFit="1"/>
      <protection locked="0"/>
    </xf>
    <xf numFmtId="186" fontId="94" fillId="33" borderId="28" xfId="0" applyNumberFormat="1" applyFont="1" applyFill="1" applyBorder="1" applyAlignment="1" applyProtection="1">
      <alignment vertical="center" shrinkToFit="1"/>
      <protection/>
    </xf>
    <xf numFmtId="184" fontId="7" fillId="0" borderId="26" xfId="0" applyNumberFormat="1" applyFont="1" applyBorder="1" applyAlignment="1" applyProtection="1">
      <alignment vertical="center" shrinkToFit="1"/>
      <protection/>
    </xf>
    <xf numFmtId="184" fontId="7" fillId="0" borderId="22" xfId="0" applyNumberFormat="1" applyFont="1" applyBorder="1" applyAlignment="1" applyProtection="1">
      <alignment vertical="center" shrinkToFit="1"/>
      <protection/>
    </xf>
    <xf numFmtId="184" fontId="7" fillId="7" borderId="26" xfId="0" applyNumberFormat="1" applyFont="1" applyFill="1" applyBorder="1" applyAlignment="1" applyProtection="1">
      <alignment vertical="center" shrinkToFit="1"/>
      <protection locked="0"/>
    </xf>
    <xf numFmtId="184" fontId="7" fillId="0" borderId="28" xfId="0" applyNumberFormat="1" applyFont="1" applyBorder="1" applyAlignment="1" applyProtection="1">
      <alignment vertical="center" shrinkToFit="1"/>
      <protection/>
    </xf>
    <xf numFmtId="184" fontId="7" fillId="7" borderId="28" xfId="0" applyNumberFormat="1" applyFont="1" applyFill="1" applyBorder="1" applyAlignment="1" applyProtection="1">
      <alignment vertical="center" shrinkToFit="1"/>
      <protection locked="0"/>
    </xf>
    <xf numFmtId="184" fontId="7" fillId="0" borderId="27" xfId="0" applyNumberFormat="1" applyFont="1" applyBorder="1" applyAlignment="1" applyProtection="1">
      <alignment vertical="center" shrinkToFit="1"/>
      <protection/>
    </xf>
    <xf numFmtId="184" fontId="94" fillId="0" borderId="40" xfId="0" applyNumberFormat="1" applyFont="1" applyBorder="1" applyAlignment="1" applyProtection="1">
      <alignment vertical="center" shrinkToFit="1"/>
      <protection/>
    </xf>
    <xf numFmtId="184" fontId="94" fillId="0" borderId="33" xfId="0" applyNumberFormat="1" applyFont="1" applyBorder="1" applyAlignment="1" applyProtection="1">
      <alignment vertical="center" shrinkToFit="1"/>
      <protection/>
    </xf>
    <xf numFmtId="184" fontId="7" fillId="0" borderId="25" xfId="0" applyNumberFormat="1" applyFont="1" applyBorder="1" applyAlignment="1" applyProtection="1">
      <alignment vertical="center" shrinkToFit="1"/>
      <protection/>
    </xf>
    <xf numFmtId="184" fontId="7" fillId="7" borderId="25" xfId="0" applyNumberFormat="1" applyFont="1" applyFill="1" applyBorder="1" applyAlignment="1" applyProtection="1">
      <alignment vertical="center" shrinkToFit="1"/>
      <protection locked="0"/>
    </xf>
    <xf numFmtId="184" fontId="7" fillId="0" borderId="24" xfId="0" applyNumberFormat="1" applyFont="1" applyBorder="1" applyAlignment="1" applyProtection="1">
      <alignment vertical="center" shrinkToFit="1"/>
      <protection/>
    </xf>
    <xf numFmtId="184" fontId="7" fillId="0" borderId="41" xfId="0" applyNumberFormat="1" applyFont="1" applyBorder="1" applyAlignment="1" applyProtection="1">
      <alignment vertical="center" shrinkToFit="1"/>
      <protection/>
    </xf>
    <xf numFmtId="186" fontId="94" fillId="33" borderId="40" xfId="0" applyNumberFormat="1" applyFont="1" applyFill="1" applyBorder="1" applyAlignment="1" applyProtection="1">
      <alignment vertical="center" shrinkToFit="1"/>
      <protection/>
    </xf>
    <xf numFmtId="186" fontId="94" fillId="33" borderId="31" xfId="0" applyNumberFormat="1" applyFont="1" applyFill="1" applyBorder="1" applyAlignment="1" applyProtection="1">
      <alignment vertical="center" shrinkToFit="1"/>
      <protection/>
    </xf>
    <xf numFmtId="186" fontId="94" fillId="33" borderId="16" xfId="0" applyNumberFormat="1" applyFont="1" applyFill="1" applyBorder="1" applyAlignment="1" applyProtection="1">
      <alignment vertical="center" shrinkToFit="1"/>
      <protection/>
    </xf>
    <xf numFmtId="186" fontId="94" fillId="33" borderId="42" xfId="0" applyNumberFormat="1" applyFont="1" applyFill="1" applyBorder="1" applyAlignment="1" applyProtection="1">
      <alignment vertical="center" shrinkToFit="1"/>
      <protection/>
    </xf>
    <xf numFmtId="184" fontId="7" fillId="7" borderId="22" xfId="0" applyNumberFormat="1" applyFont="1" applyFill="1" applyBorder="1" applyAlignment="1" applyProtection="1">
      <alignment vertical="center" shrinkToFit="1"/>
      <protection locked="0"/>
    </xf>
    <xf numFmtId="184" fontId="7" fillId="7" borderId="27" xfId="0" applyNumberFormat="1" applyFont="1" applyFill="1" applyBorder="1" applyAlignment="1" applyProtection="1">
      <alignment vertical="center" shrinkToFit="1"/>
      <protection locked="0"/>
    </xf>
    <xf numFmtId="185" fontId="7" fillId="7" borderId="26" xfId="0" applyNumberFormat="1" applyFont="1" applyFill="1" applyBorder="1" applyAlignment="1" applyProtection="1">
      <alignment horizontal="center" vertical="center" shrinkToFit="1"/>
      <protection locked="0"/>
    </xf>
    <xf numFmtId="185" fontId="7" fillId="7" borderId="27" xfId="0" applyNumberFormat="1" applyFont="1" applyFill="1" applyBorder="1" applyAlignment="1" applyProtection="1">
      <alignment horizontal="center" vertical="center" shrinkToFit="1"/>
      <protection locked="0"/>
    </xf>
    <xf numFmtId="185" fontId="7" fillId="7" borderId="28" xfId="0" applyNumberFormat="1" applyFont="1" applyFill="1" applyBorder="1" applyAlignment="1" applyProtection="1">
      <alignment horizontal="center" vertical="center" shrinkToFit="1"/>
      <protection locked="0"/>
    </xf>
    <xf numFmtId="185" fontId="7" fillId="7" borderId="25" xfId="0" applyNumberFormat="1" applyFont="1" applyFill="1" applyBorder="1" applyAlignment="1" applyProtection="1">
      <alignment horizontal="center" vertical="center" shrinkToFit="1"/>
      <protection locked="0"/>
    </xf>
    <xf numFmtId="185" fontId="7" fillId="7" borderId="22" xfId="0" applyNumberFormat="1" applyFont="1" applyFill="1" applyBorder="1" applyAlignment="1" applyProtection="1">
      <alignment horizontal="center" vertical="center" shrinkToFit="1"/>
      <protection locked="0"/>
    </xf>
    <xf numFmtId="184" fontId="7" fillId="7" borderId="22" xfId="0" applyNumberFormat="1" applyFont="1" applyFill="1" applyBorder="1" applyAlignment="1" applyProtection="1">
      <alignment horizontal="center" vertical="center" shrinkToFit="1"/>
      <protection locked="0"/>
    </xf>
    <xf numFmtId="184" fontId="7" fillId="7" borderId="27" xfId="0" applyNumberFormat="1" applyFont="1" applyFill="1" applyBorder="1" applyAlignment="1" applyProtection="1">
      <alignment horizontal="center" vertical="center" shrinkToFit="1"/>
      <protection locked="0"/>
    </xf>
    <xf numFmtId="188" fontId="7" fillId="7" borderId="26" xfId="0" applyNumberFormat="1" applyFont="1" applyFill="1" applyBorder="1" applyAlignment="1" applyProtection="1">
      <alignment vertical="center" shrinkToFit="1"/>
      <protection locked="0"/>
    </xf>
    <xf numFmtId="188" fontId="7" fillId="7" borderId="22" xfId="0" applyNumberFormat="1" applyFont="1" applyFill="1" applyBorder="1" applyAlignment="1" applyProtection="1">
      <alignment vertical="center" shrinkToFit="1"/>
      <protection locked="0"/>
    </xf>
    <xf numFmtId="188" fontId="7" fillId="7" borderId="27" xfId="0" applyNumberFormat="1" applyFont="1" applyFill="1" applyBorder="1" applyAlignment="1" applyProtection="1">
      <alignment vertical="center" shrinkToFit="1"/>
      <protection locked="0"/>
    </xf>
    <xf numFmtId="188" fontId="7" fillId="7" borderId="28" xfId="0" applyNumberFormat="1" applyFont="1" applyFill="1" applyBorder="1" applyAlignment="1" applyProtection="1">
      <alignment vertical="center" shrinkToFit="1"/>
      <protection locked="0"/>
    </xf>
    <xf numFmtId="188" fontId="7" fillId="7" borderId="25" xfId="0" applyNumberFormat="1" applyFont="1" applyFill="1" applyBorder="1" applyAlignment="1" applyProtection="1">
      <alignment vertical="center" shrinkToFit="1"/>
      <protection locked="0"/>
    </xf>
    <xf numFmtId="187" fontId="7" fillId="7" borderId="22" xfId="0" applyNumberFormat="1" applyFont="1" applyFill="1" applyBorder="1" applyAlignment="1" applyProtection="1">
      <alignment vertical="center" shrinkToFit="1"/>
      <protection locked="0"/>
    </xf>
    <xf numFmtId="187" fontId="7" fillId="7" borderId="27" xfId="0" applyNumberFormat="1" applyFont="1" applyFill="1" applyBorder="1" applyAlignment="1" applyProtection="1">
      <alignment vertical="center" shrinkToFit="1"/>
      <protection locked="0"/>
    </xf>
    <xf numFmtId="14" fontId="97" fillId="0" borderId="0" xfId="0" applyNumberFormat="1" applyFont="1" applyFill="1" applyAlignment="1" applyProtection="1">
      <alignment vertical="center"/>
      <protection locked="0"/>
    </xf>
    <xf numFmtId="186" fontId="94" fillId="34" borderId="35" xfId="0" applyNumberFormat="1" applyFont="1" applyFill="1" applyBorder="1" applyAlignment="1" applyProtection="1">
      <alignment horizontal="right" vertical="center" wrapText="1"/>
      <protection/>
    </xf>
    <xf numFmtId="184" fontId="10" fillId="34" borderId="21" xfId="0" applyNumberFormat="1" applyFont="1" applyFill="1" applyBorder="1" applyAlignment="1" applyProtection="1">
      <alignment horizontal="right" vertical="center" wrapText="1"/>
      <protection/>
    </xf>
    <xf numFmtId="38" fontId="105" fillId="0" borderId="43" xfId="50" applyFont="1" applyFill="1" applyBorder="1" applyAlignment="1">
      <alignment vertical="center"/>
    </xf>
    <xf numFmtId="38" fontId="105" fillId="0" borderId="43" xfId="50" applyFont="1" applyFill="1" applyBorder="1" applyAlignment="1" applyProtection="1">
      <alignment vertical="center"/>
      <protection locked="0"/>
    </xf>
    <xf numFmtId="0" fontId="93" fillId="7" borderId="14" xfId="0" applyFont="1" applyFill="1" applyBorder="1" applyAlignment="1" applyProtection="1">
      <alignment horizontal="center" vertical="center" wrapText="1"/>
      <protection locked="0"/>
    </xf>
    <xf numFmtId="0" fontId="93" fillId="7" borderId="15" xfId="0" applyFont="1" applyFill="1" applyBorder="1" applyAlignment="1" applyProtection="1">
      <alignment horizontal="center" vertical="center" wrapText="1"/>
      <protection locked="0"/>
    </xf>
    <xf numFmtId="0" fontId="93" fillId="7" borderId="17" xfId="0" applyFont="1" applyFill="1" applyBorder="1" applyAlignment="1" applyProtection="1">
      <alignment horizontal="center" vertical="center" wrapText="1"/>
      <protection locked="0"/>
    </xf>
    <xf numFmtId="0" fontId="93" fillId="7" borderId="44" xfId="0" applyFont="1" applyFill="1" applyBorder="1" applyAlignment="1" applyProtection="1">
      <alignment horizontal="center" vertical="center" wrapText="1"/>
      <protection locked="0"/>
    </xf>
    <xf numFmtId="184" fontId="7" fillId="0" borderId="45" xfId="0" applyNumberFormat="1" applyFont="1" applyBorder="1" applyAlignment="1" applyProtection="1">
      <alignment horizontal="right" vertical="center" wrapText="1"/>
      <protection/>
    </xf>
    <xf numFmtId="0" fontId="106" fillId="0" borderId="0" xfId="0" applyFont="1" applyAlignment="1" applyProtection="1">
      <alignment vertical="center"/>
      <protection locked="0"/>
    </xf>
    <xf numFmtId="0" fontId="106" fillId="0" borderId="0" xfId="0" applyFont="1" applyAlignment="1">
      <alignment vertical="center"/>
    </xf>
    <xf numFmtId="0" fontId="107" fillId="0" borderId="0" xfId="0" applyFont="1" applyAlignment="1">
      <alignment vertical="center"/>
    </xf>
    <xf numFmtId="3" fontId="0" fillId="0" borderId="22" xfId="0" applyNumberFormat="1" applyBorder="1" applyAlignment="1">
      <alignment horizontal="center" vertical="center"/>
    </xf>
    <xf numFmtId="0" fontId="0" fillId="0" borderId="22" xfId="0" applyBorder="1" applyAlignment="1">
      <alignment vertical="center"/>
    </xf>
    <xf numFmtId="3" fontId="0" fillId="0" borderId="22" xfId="0" applyNumberFormat="1" applyBorder="1" applyAlignment="1">
      <alignment vertical="center"/>
    </xf>
    <xf numFmtId="0" fontId="0" fillId="0" borderId="22" xfId="0" applyBorder="1" applyAlignment="1">
      <alignment horizontal="center" vertical="center"/>
    </xf>
    <xf numFmtId="0" fontId="106" fillId="7" borderId="46" xfId="0" applyFont="1" applyFill="1" applyBorder="1" applyAlignment="1" applyProtection="1">
      <alignment vertical="center"/>
      <protection locked="0"/>
    </xf>
    <xf numFmtId="0" fontId="97" fillId="7" borderId="46" xfId="0" applyFont="1" applyFill="1" applyBorder="1" applyAlignment="1" applyProtection="1">
      <alignment vertical="center"/>
      <protection locked="0"/>
    </xf>
    <xf numFmtId="0" fontId="97" fillId="7" borderId="47" xfId="0" applyFont="1" applyFill="1" applyBorder="1" applyAlignment="1" applyProtection="1">
      <alignment vertical="center"/>
      <protection locked="0"/>
    </xf>
    <xf numFmtId="0" fontId="107" fillId="7" borderId="48" xfId="0" applyFont="1" applyFill="1" applyBorder="1" applyAlignment="1" applyProtection="1">
      <alignment vertical="center"/>
      <protection locked="0"/>
    </xf>
    <xf numFmtId="0" fontId="106" fillId="7" borderId="0" xfId="0" applyFont="1" applyFill="1" applyBorder="1" applyAlignment="1" applyProtection="1">
      <alignment vertical="center"/>
      <protection locked="0"/>
    </xf>
    <xf numFmtId="0" fontId="97" fillId="7" borderId="0" xfId="0" applyFont="1" applyFill="1" applyBorder="1" applyAlignment="1" applyProtection="1">
      <alignment vertical="center"/>
      <protection locked="0"/>
    </xf>
    <xf numFmtId="0" fontId="97" fillId="7" borderId="49" xfId="0" applyFont="1" applyFill="1" applyBorder="1" applyAlignment="1" applyProtection="1">
      <alignment vertical="center"/>
      <protection locked="0"/>
    </xf>
    <xf numFmtId="0" fontId="97" fillId="7" borderId="50" xfId="0" applyFont="1" applyFill="1" applyBorder="1" applyAlignment="1" applyProtection="1">
      <alignment vertical="center"/>
      <protection locked="0"/>
    </xf>
    <xf numFmtId="0" fontId="97" fillId="7" borderId="51" xfId="0" applyFont="1" applyFill="1" applyBorder="1" applyAlignment="1" applyProtection="1">
      <alignment vertical="center"/>
      <protection locked="0"/>
    </xf>
    <xf numFmtId="0" fontId="97" fillId="7" borderId="12" xfId="0"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97" fillId="0" borderId="0" xfId="0" applyFont="1" applyFill="1" applyAlignment="1">
      <alignment vertical="center"/>
    </xf>
    <xf numFmtId="0" fontId="5" fillId="3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22"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0" fontId="107" fillId="7" borderId="52" xfId="0" applyFont="1" applyFill="1" applyBorder="1" applyAlignment="1" applyProtection="1">
      <alignment horizontal="left" vertical="center"/>
      <protection locked="0"/>
    </xf>
    <xf numFmtId="184" fontId="10" fillId="34" borderId="20" xfId="0" applyNumberFormat="1" applyFont="1" applyFill="1" applyBorder="1" applyAlignment="1" applyProtection="1">
      <alignment horizontal="right" vertical="center" wrapText="1"/>
      <protection/>
    </xf>
    <xf numFmtId="38" fontId="10" fillId="0" borderId="20" xfId="50" applyFont="1" applyFill="1" applyBorder="1" applyAlignment="1" applyProtection="1">
      <alignment horizontal="center" vertical="center"/>
      <protection/>
    </xf>
    <xf numFmtId="38" fontId="10" fillId="0" borderId="23" xfId="50" applyFont="1" applyFill="1" applyBorder="1" applyAlignment="1" applyProtection="1">
      <alignment horizontal="center" vertical="center"/>
      <protection/>
    </xf>
    <xf numFmtId="0" fontId="24" fillId="33" borderId="50" xfId="0" applyFont="1" applyFill="1" applyBorder="1" applyAlignment="1" applyProtection="1">
      <alignment horizontal="center" vertical="center"/>
      <protection/>
    </xf>
    <xf numFmtId="190" fontId="24" fillId="33" borderId="26" xfId="0" applyNumberFormat="1" applyFont="1" applyFill="1" applyBorder="1" applyAlignment="1" applyProtection="1">
      <alignment horizontal="center" vertical="center"/>
      <protection/>
    </xf>
    <xf numFmtId="190" fontId="24" fillId="33" borderId="50"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1" fillId="0" borderId="39" xfId="50" applyNumberFormat="1" applyFont="1" applyFill="1" applyBorder="1" applyAlignment="1" applyProtection="1">
      <alignment vertical="center" wrapText="1"/>
      <protection/>
    </xf>
    <xf numFmtId="0" fontId="19" fillId="0" borderId="20" xfId="0" applyFont="1" applyBorder="1" applyAlignment="1" applyProtection="1">
      <alignment horizontal="center" vertical="center"/>
      <protection/>
    </xf>
    <xf numFmtId="190" fontId="19" fillId="0" borderId="53" xfId="0" applyNumberFormat="1" applyFont="1" applyBorder="1" applyAlignment="1" applyProtection="1">
      <alignment horizontal="center" vertical="center"/>
      <protection/>
    </xf>
    <xf numFmtId="190" fontId="21" fillId="0" borderId="22" xfId="50" applyNumberFormat="1" applyFont="1" applyFill="1" applyBorder="1" applyAlignment="1" applyProtection="1">
      <alignment vertical="center" wrapText="1"/>
      <protection/>
    </xf>
    <xf numFmtId="0" fontId="19" fillId="0" borderId="21" xfId="0" applyFont="1" applyBorder="1" applyAlignment="1" applyProtection="1">
      <alignment horizontal="center" vertical="center"/>
      <protection/>
    </xf>
    <xf numFmtId="190" fontId="19" fillId="0" borderId="54" xfId="0" applyNumberFormat="1"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190" fontId="19" fillId="0" borderId="55" xfId="0" applyNumberFormat="1" applyFont="1" applyBorder="1" applyAlignment="1" applyProtection="1">
      <alignment horizontal="center" vertical="center"/>
      <protection/>
    </xf>
    <xf numFmtId="0" fontId="108" fillId="0" borderId="46" xfId="0" applyFont="1" applyFill="1" applyBorder="1" applyAlignment="1" applyProtection="1">
      <alignment horizontal="center" vertical="center" wrapText="1" shrinkToFit="1"/>
      <protection/>
    </xf>
    <xf numFmtId="0" fontId="108" fillId="0" borderId="0" xfId="0" applyFont="1" applyFill="1" applyBorder="1" applyAlignment="1" applyProtection="1">
      <alignment horizontal="center" vertical="center" wrapText="1" shrinkToFit="1"/>
      <protection/>
    </xf>
    <xf numFmtId="0" fontId="108"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9"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1" fillId="0" borderId="0" xfId="50" applyNumberFormat="1" applyFont="1" applyFill="1" applyBorder="1" applyAlignment="1" applyProtection="1">
      <alignment vertical="center" wrapText="1"/>
      <protection/>
    </xf>
    <xf numFmtId="0" fontId="21" fillId="0" borderId="0" xfId="0" applyFont="1" applyFill="1" applyBorder="1" applyAlignment="1" applyProtection="1">
      <alignment horizontal="center" vertical="center" wrapText="1"/>
      <protection/>
    </xf>
    <xf numFmtId="190" fontId="20" fillId="0" borderId="0" xfId="50" applyNumberFormat="1" applyFont="1" applyFill="1" applyBorder="1" applyAlignment="1" applyProtection="1">
      <alignment horizontal="right" vertical="center"/>
      <protection/>
    </xf>
    <xf numFmtId="0" fontId="11" fillId="33" borderId="56" xfId="0" applyFont="1" applyFill="1" applyBorder="1" applyAlignment="1" applyProtection="1">
      <alignment vertical="center"/>
      <protection/>
    </xf>
    <xf numFmtId="0" fontId="11" fillId="33" borderId="57" xfId="0" applyFont="1" applyFill="1" applyBorder="1" applyAlignment="1" applyProtection="1">
      <alignment vertical="center"/>
      <protection/>
    </xf>
    <xf numFmtId="0" fontId="11" fillId="0" borderId="57" xfId="0" applyFont="1" applyFill="1" applyBorder="1" applyAlignment="1" applyProtection="1">
      <alignment horizontal="left" vertical="center"/>
      <protection/>
    </xf>
    <xf numFmtId="0" fontId="11" fillId="0" borderId="58" xfId="0" applyFont="1" applyFill="1" applyBorder="1" applyAlignment="1" applyProtection="1">
      <alignment horizontal="left" vertical="center"/>
      <protection/>
    </xf>
    <xf numFmtId="0" fontId="93" fillId="0" borderId="0" xfId="0" applyFont="1" applyFill="1" applyAlignment="1" applyProtection="1">
      <alignment vertical="center"/>
      <protection locked="0"/>
    </xf>
    <xf numFmtId="0" fontId="93" fillId="0" borderId="0" xfId="0" applyFont="1" applyFill="1" applyAlignment="1" applyProtection="1">
      <alignment horizontal="left" vertical="center"/>
      <protection locked="0"/>
    </xf>
    <xf numFmtId="0" fontId="93" fillId="0" borderId="0" xfId="0" applyFont="1" applyFill="1" applyAlignment="1" applyProtection="1">
      <alignment horizontal="center" vertical="center"/>
      <protection locked="0"/>
    </xf>
    <xf numFmtId="0" fontId="93" fillId="0" borderId="0" xfId="0" applyFont="1" applyFill="1" applyAlignment="1" applyProtection="1">
      <alignment horizontal="left" vertical="center" shrinkToFit="1"/>
      <protection locked="0"/>
    </xf>
    <xf numFmtId="190" fontId="16" fillId="0" borderId="12" xfId="50" applyNumberFormat="1" applyFont="1" applyFill="1" applyBorder="1" applyAlignment="1" applyProtection="1">
      <alignment horizontal="right" vertical="center" wrapText="1"/>
      <protection/>
    </xf>
    <xf numFmtId="190" fontId="19" fillId="0" borderId="59" xfId="0" applyNumberFormat="1" applyFont="1" applyBorder="1" applyAlignment="1" applyProtection="1">
      <alignment horizontal="center" vertical="center"/>
      <protection/>
    </xf>
    <xf numFmtId="190" fontId="19" fillId="0" borderId="60" xfId="0" applyNumberFormat="1" applyFont="1" applyBorder="1" applyAlignment="1" applyProtection="1">
      <alignment horizontal="center" vertical="center"/>
      <protection/>
    </xf>
    <xf numFmtId="190" fontId="19" fillId="0" borderId="61" xfId="0" applyNumberFormat="1" applyFont="1" applyBorder="1" applyAlignment="1" applyProtection="1">
      <alignment horizontal="center" vertical="center"/>
      <protection/>
    </xf>
    <xf numFmtId="0" fontId="79" fillId="0" borderId="0" xfId="44" applyAlignment="1" applyProtection="1">
      <alignment vertical="center"/>
      <protection/>
    </xf>
    <xf numFmtId="0" fontId="109" fillId="0" borderId="0" xfId="0" applyFont="1" applyBorder="1" applyAlignment="1" applyProtection="1">
      <alignment vertical="center"/>
      <protection/>
    </xf>
    <xf numFmtId="0" fontId="19" fillId="0" borderId="21" xfId="0" applyFont="1" applyFill="1" applyBorder="1" applyAlignment="1" applyProtection="1">
      <alignment horizontal="center" vertical="center"/>
      <protection/>
    </xf>
    <xf numFmtId="190" fontId="19" fillId="0" borderId="21" xfId="0" applyNumberFormat="1" applyFont="1" applyFill="1" applyBorder="1" applyAlignment="1" applyProtection="1">
      <alignment horizontal="center" vertical="center"/>
      <protection/>
    </xf>
    <xf numFmtId="0" fontId="110" fillId="0" borderId="0" xfId="0" applyFont="1" applyAlignment="1" applyProtection="1">
      <alignment horizontal="center" vertical="center"/>
      <protection/>
    </xf>
    <xf numFmtId="0" fontId="110" fillId="0" borderId="0" xfId="0" applyFont="1" applyAlignment="1" applyProtection="1">
      <alignment vertical="center"/>
      <protection/>
    </xf>
    <xf numFmtId="0" fontId="110" fillId="0" borderId="0" xfId="0" applyFont="1" applyAlignment="1" applyProtection="1">
      <alignment horizontal="left" vertical="center" shrinkToFit="1"/>
      <protection/>
    </xf>
    <xf numFmtId="0" fontId="110" fillId="0" borderId="0" xfId="0" applyFont="1" applyAlignment="1" applyProtection="1">
      <alignment horizontal="left" vertical="center"/>
      <protection/>
    </xf>
    <xf numFmtId="0" fontId="110" fillId="0" borderId="0"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21"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Fill="1" applyAlignment="1" applyProtection="1">
      <alignment vertical="center"/>
      <protection/>
    </xf>
    <xf numFmtId="0" fontId="21" fillId="0" borderId="0" xfId="0" applyNumberFormat="1" applyFont="1" applyAlignment="1" applyProtection="1">
      <alignment vertical="center"/>
      <protection/>
    </xf>
    <xf numFmtId="0" fontId="19"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Border="1" applyAlignment="1" applyProtection="1">
      <alignment vertical="center"/>
      <protection/>
    </xf>
    <xf numFmtId="0" fontId="22" fillId="35" borderId="0" xfId="0" applyFont="1" applyFill="1" applyBorder="1" applyAlignment="1" applyProtection="1">
      <alignment vertical="center"/>
      <protection/>
    </xf>
    <xf numFmtId="0" fontId="21" fillId="35" borderId="0" xfId="0" applyFont="1" applyFill="1" applyAlignment="1" applyProtection="1">
      <alignment vertical="center"/>
      <protection/>
    </xf>
    <xf numFmtId="0" fontId="23" fillId="0" borderId="0" xfId="0" applyFont="1" applyAlignment="1" applyProtection="1">
      <alignment vertical="center"/>
      <protection/>
    </xf>
    <xf numFmtId="0" fontId="6" fillId="0" borderId="0" xfId="0" applyFont="1" applyAlignment="1" applyProtection="1">
      <alignment vertical="center"/>
      <protection/>
    </xf>
    <xf numFmtId="0" fontId="23" fillId="0" borderId="0" xfId="0" applyFont="1" applyBorder="1" applyAlignment="1" applyProtection="1">
      <alignment horizontal="right" vertical="center"/>
      <protection/>
    </xf>
    <xf numFmtId="0" fontId="19" fillId="0" borderId="52" xfId="0" applyFont="1" applyBorder="1" applyAlignment="1" applyProtection="1">
      <alignment vertical="center"/>
      <protection/>
    </xf>
    <xf numFmtId="0" fontId="19" fillId="0" borderId="46" xfId="0" applyFont="1" applyBorder="1" applyAlignment="1" applyProtection="1">
      <alignment horizontal="right"/>
      <protection/>
    </xf>
    <xf numFmtId="0" fontId="23" fillId="0" borderId="47" xfId="0" applyFont="1" applyBorder="1" applyAlignment="1" applyProtection="1">
      <alignment horizontal="center" vertical="center"/>
      <protection/>
    </xf>
    <xf numFmtId="0" fontId="24" fillId="33" borderId="52" xfId="0" applyFont="1" applyFill="1" applyBorder="1" applyAlignment="1" applyProtection="1">
      <alignment horizontal="center" vertical="center"/>
      <protection/>
    </xf>
    <xf numFmtId="0" fontId="23" fillId="0" borderId="46" xfId="0" applyFont="1" applyBorder="1" applyAlignment="1" applyProtection="1">
      <alignment vertical="center"/>
      <protection/>
    </xf>
    <xf numFmtId="190" fontId="16" fillId="0" borderId="47" xfId="50" applyNumberFormat="1" applyFont="1" applyFill="1" applyBorder="1" applyAlignment="1" applyProtection="1">
      <alignment horizontal="right" vertical="center" wrapText="1"/>
      <protection/>
    </xf>
    <xf numFmtId="0" fontId="24" fillId="33" borderId="62" xfId="0" applyFont="1" applyFill="1" applyBorder="1" applyAlignment="1" applyProtection="1">
      <alignment horizontal="center" vertical="center"/>
      <protection/>
    </xf>
    <xf numFmtId="0" fontId="11" fillId="0" borderId="59" xfId="0" applyFont="1" applyFill="1" applyBorder="1" applyAlignment="1" applyProtection="1">
      <alignment vertical="center" wrapText="1"/>
      <protection/>
    </xf>
    <xf numFmtId="38" fontId="10" fillId="0" borderId="63" xfId="50" applyFont="1" applyFill="1" applyBorder="1" applyAlignment="1" applyProtection="1">
      <alignment horizontal="right" vertical="center"/>
      <protection/>
    </xf>
    <xf numFmtId="38" fontId="10" fillId="0" borderId="59" xfId="50" applyFont="1" applyFill="1" applyBorder="1" applyAlignment="1" applyProtection="1">
      <alignment horizontal="right" vertical="center"/>
      <protection/>
    </xf>
    <xf numFmtId="184" fontId="10" fillId="0" borderId="63" xfId="0" applyNumberFormat="1" applyFont="1" applyFill="1" applyBorder="1" applyAlignment="1" applyProtection="1">
      <alignment horizontal="right" vertical="center" wrapText="1"/>
      <protection/>
    </xf>
    <xf numFmtId="184" fontId="10" fillId="0" borderId="59" xfId="0" applyNumberFormat="1" applyFont="1" applyFill="1" applyBorder="1" applyAlignment="1" applyProtection="1">
      <alignment horizontal="right" vertical="center" wrapText="1"/>
      <protection/>
    </xf>
    <xf numFmtId="0" fontId="11" fillId="0" borderId="46" xfId="0" applyFont="1" applyBorder="1" applyAlignment="1" applyProtection="1">
      <alignment vertical="center"/>
      <protection/>
    </xf>
    <xf numFmtId="0" fontId="23" fillId="0" borderId="46" xfId="0" applyFont="1" applyBorder="1" applyAlignment="1" applyProtection="1">
      <alignment vertical="center"/>
      <protection/>
    </xf>
    <xf numFmtId="0" fontId="23" fillId="0" borderId="47" xfId="0" applyFont="1" applyBorder="1" applyAlignment="1" applyProtection="1">
      <alignment vertical="center"/>
      <protection/>
    </xf>
    <xf numFmtId="0" fontId="19" fillId="0" borderId="50" xfId="0" applyFont="1" applyBorder="1" applyAlignment="1" applyProtection="1">
      <alignment vertical="center"/>
      <protection/>
    </xf>
    <xf numFmtId="0" fontId="23" fillId="0" borderId="51" xfId="0" applyFont="1" applyBorder="1" applyAlignment="1" applyProtection="1">
      <alignment vertical="center"/>
      <protection/>
    </xf>
    <xf numFmtId="0" fontId="11" fillId="0" borderId="60" xfId="0" applyFont="1" applyFill="1" applyBorder="1" applyAlignment="1" applyProtection="1">
      <alignment vertical="center" wrapText="1"/>
      <protection/>
    </xf>
    <xf numFmtId="38" fontId="10" fillId="0" borderId="64" xfId="50" applyFont="1" applyFill="1" applyBorder="1" applyAlignment="1" applyProtection="1">
      <alignment horizontal="right" vertical="center"/>
      <protection/>
    </xf>
    <xf numFmtId="38" fontId="10" fillId="0" borderId="60" xfId="50" applyFont="1" applyFill="1" applyBorder="1" applyAlignment="1" applyProtection="1">
      <alignment horizontal="right" vertical="center"/>
      <protection/>
    </xf>
    <xf numFmtId="184" fontId="10" fillId="0" borderId="64" xfId="0" applyNumberFormat="1" applyFont="1" applyFill="1" applyBorder="1" applyAlignment="1" applyProtection="1">
      <alignment horizontal="right" vertical="center" wrapText="1"/>
      <protection/>
    </xf>
    <xf numFmtId="184" fontId="10" fillId="0" borderId="60"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49" xfId="0" applyFont="1" applyBorder="1" applyAlignment="1" applyProtection="1">
      <alignment vertical="center"/>
      <protection/>
    </xf>
    <xf numFmtId="0" fontId="24" fillId="33" borderId="65" xfId="0" applyFont="1" applyFill="1" applyBorder="1" applyAlignment="1" applyProtection="1">
      <alignment horizontal="center" vertical="center"/>
      <protection/>
    </xf>
    <xf numFmtId="0" fontId="19" fillId="0" borderId="0" xfId="0" applyNumberFormat="1" applyFont="1" applyBorder="1" applyAlignment="1" applyProtection="1">
      <alignment vertical="center" shrinkToFit="1"/>
      <protection/>
    </xf>
    <xf numFmtId="0" fontId="23" fillId="0" borderId="0" xfId="0" applyFont="1" applyBorder="1" applyAlignment="1" applyProtection="1">
      <alignment vertical="center"/>
      <protection/>
    </xf>
    <xf numFmtId="0" fontId="24" fillId="33" borderId="48" xfId="0" applyFont="1" applyFill="1" applyBorder="1" applyAlignment="1" applyProtection="1">
      <alignment horizontal="center" vertical="center"/>
      <protection/>
    </xf>
    <xf numFmtId="190" fontId="16" fillId="33" borderId="47" xfId="50" applyNumberFormat="1" applyFont="1" applyFill="1" applyBorder="1" applyAlignment="1" applyProtection="1">
      <alignment horizontal="right" vertical="center"/>
      <protection/>
    </xf>
    <xf numFmtId="0" fontId="111" fillId="0" borderId="49"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3" fillId="0" borderId="49" xfId="0" applyFont="1" applyBorder="1" applyAlignment="1" applyProtection="1">
      <alignment vertical="center"/>
      <protection/>
    </xf>
    <xf numFmtId="0" fontId="21" fillId="0" borderId="0" xfId="0" applyFont="1" applyFill="1" applyBorder="1" applyAlignment="1" applyProtection="1">
      <alignment vertical="center"/>
      <protection/>
    </xf>
    <xf numFmtId="0" fontId="11" fillId="0" borderId="61" xfId="0" applyFont="1" applyFill="1" applyBorder="1" applyAlignment="1" applyProtection="1">
      <alignment vertical="center" wrapText="1"/>
      <protection/>
    </xf>
    <xf numFmtId="38" fontId="10" fillId="0" borderId="66" xfId="50" applyFont="1" applyFill="1" applyBorder="1" applyAlignment="1" applyProtection="1">
      <alignment horizontal="right" vertical="center"/>
      <protection/>
    </xf>
    <xf numFmtId="38" fontId="10" fillId="0" borderId="61" xfId="50" applyFont="1" applyFill="1" applyBorder="1" applyAlignment="1" applyProtection="1">
      <alignment horizontal="right" vertical="center"/>
      <protection/>
    </xf>
    <xf numFmtId="184" fontId="10" fillId="0" borderId="66" xfId="0" applyNumberFormat="1" applyFont="1" applyFill="1" applyBorder="1" applyAlignment="1" applyProtection="1">
      <alignment horizontal="right" vertical="center" wrapText="1"/>
      <protection/>
    </xf>
    <xf numFmtId="184" fontId="10" fillId="0" borderId="61" xfId="0" applyNumberFormat="1" applyFont="1" applyFill="1" applyBorder="1" applyAlignment="1" applyProtection="1">
      <alignment horizontal="right" vertical="center" wrapText="1"/>
      <protection/>
    </xf>
    <xf numFmtId="0" fontId="21" fillId="0" borderId="51" xfId="0" applyFont="1" applyBorder="1" applyAlignment="1" applyProtection="1">
      <alignment vertical="center"/>
      <protection/>
    </xf>
    <xf numFmtId="0" fontId="21" fillId="0" borderId="12" xfId="0" applyFont="1" applyBorder="1" applyAlignment="1" applyProtection="1">
      <alignment vertical="center"/>
      <protection/>
    </xf>
    <xf numFmtId="0" fontId="10" fillId="0" borderId="50" xfId="0" applyFont="1" applyFill="1" applyBorder="1" applyAlignment="1" applyProtection="1" quotePrefix="1">
      <alignment horizontal="center" vertical="center" wrapText="1"/>
      <protection/>
    </xf>
    <xf numFmtId="184" fontId="10" fillId="0" borderId="12" xfId="0" applyNumberFormat="1" applyFont="1" applyFill="1" applyBorder="1" applyAlignment="1" applyProtection="1">
      <alignment horizontal="right" vertical="center" wrapText="1"/>
      <protection/>
    </xf>
    <xf numFmtId="184" fontId="10" fillId="0" borderId="50" xfId="0" applyNumberFormat="1" applyFont="1" applyFill="1" applyBorder="1" applyAlignment="1" applyProtection="1">
      <alignment horizontal="right" vertical="center" wrapText="1"/>
      <protection/>
    </xf>
    <xf numFmtId="0" fontId="23" fillId="0" borderId="67" xfId="0" applyFont="1" applyBorder="1" applyAlignment="1" applyProtection="1">
      <alignment horizontal="center" vertical="center"/>
      <protection/>
    </xf>
    <xf numFmtId="0" fontId="23" fillId="0" borderId="13" xfId="0" applyFont="1" applyBorder="1" applyAlignment="1" applyProtection="1">
      <alignment horizontal="center" vertical="center"/>
      <protection/>
    </xf>
    <xf numFmtId="0" fontId="11" fillId="0" borderId="0" xfId="0" applyFont="1" applyAlignment="1" applyProtection="1">
      <alignment vertical="center"/>
      <protection/>
    </xf>
    <xf numFmtId="0" fontId="112" fillId="0" borderId="0" xfId="0" applyFont="1" applyAlignment="1" applyProtection="1">
      <alignment horizontal="left"/>
      <protection/>
    </xf>
    <xf numFmtId="0" fontId="113" fillId="0" borderId="0" xfId="0" applyFont="1" applyAlignment="1" applyProtection="1">
      <alignment vertical="center"/>
      <protection/>
    </xf>
    <xf numFmtId="184" fontId="21" fillId="0" borderId="0" xfId="0" applyNumberFormat="1" applyFont="1" applyAlignment="1" applyProtection="1">
      <alignment vertical="center"/>
      <protection/>
    </xf>
    <xf numFmtId="0" fontId="114" fillId="0" borderId="0" xfId="0" applyFont="1" applyAlignment="1" applyProtection="1">
      <alignment horizontal="left" vertical="center" indent="2"/>
      <protection/>
    </xf>
    <xf numFmtId="0" fontId="115" fillId="0" borderId="0" xfId="0" applyFont="1" applyAlignment="1" applyProtection="1">
      <alignment vertical="center"/>
      <protection/>
    </xf>
    <xf numFmtId="0" fontId="19" fillId="0" borderId="0" xfId="0" applyFont="1" applyFill="1" applyAlignment="1" applyProtection="1">
      <alignment vertical="center"/>
      <protection/>
    </xf>
    <xf numFmtId="0" fontId="13" fillId="0" borderId="0" xfId="0" applyFont="1" applyFill="1" applyAlignment="1" applyProtection="1">
      <alignment vertical="center"/>
      <protection/>
    </xf>
    <xf numFmtId="0" fontId="116" fillId="0" borderId="0" xfId="0" applyFont="1" applyFill="1" applyAlignment="1" applyProtection="1">
      <alignment vertical="center"/>
      <protection/>
    </xf>
    <xf numFmtId="0" fontId="116" fillId="0" borderId="0" xfId="0" applyFont="1" applyAlignment="1" applyProtection="1">
      <alignment horizontal="center" vertical="center"/>
      <protection/>
    </xf>
    <xf numFmtId="0" fontId="20" fillId="0" borderId="0" xfId="0" applyFont="1" applyAlignment="1" applyProtection="1">
      <alignment vertical="center"/>
      <protection/>
    </xf>
    <xf numFmtId="0" fontId="19" fillId="0" borderId="0" xfId="0" applyFont="1" applyAlignment="1" applyProtection="1">
      <alignment vertical="center"/>
      <protection/>
    </xf>
    <xf numFmtId="0" fontId="20" fillId="0" borderId="0" xfId="0" applyFont="1" applyAlignment="1" applyProtection="1">
      <alignment horizontal="center" vertical="center"/>
      <protection/>
    </xf>
    <xf numFmtId="0" fontId="117" fillId="0" borderId="0" xfId="0" applyFont="1" applyAlignment="1" applyProtection="1">
      <alignment horizontal="left" vertical="center"/>
      <protection/>
    </xf>
    <xf numFmtId="0" fontId="11" fillId="0" borderId="22" xfId="0" applyFont="1" applyFill="1" applyBorder="1" applyAlignment="1" applyProtection="1">
      <alignment horizontal="center" vertical="center"/>
      <protection/>
    </xf>
    <xf numFmtId="0" fontId="6" fillId="36" borderId="62" xfId="0" applyFont="1" applyFill="1" applyBorder="1" applyAlignment="1" applyProtection="1">
      <alignment horizontal="center" vertical="center"/>
      <protection/>
    </xf>
    <xf numFmtId="0" fontId="6" fillId="36" borderId="52" xfId="0" applyFont="1" applyFill="1" applyBorder="1" applyAlignment="1" applyProtection="1">
      <alignment horizontal="center" vertical="center"/>
      <protection/>
    </xf>
    <xf numFmtId="0" fontId="6" fillId="36" borderId="68"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10" fillId="0" borderId="0" xfId="0" applyFont="1" applyBorder="1" applyAlignment="1" applyProtection="1">
      <alignment horizontal="left" vertical="center"/>
      <protection/>
    </xf>
    <xf numFmtId="0" fontId="11" fillId="0" borderId="62" xfId="0" applyFont="1" applyFill="1" applyBorder="1" applyAlignment="1" applyProtection="1">
      <alignment horizontal="center" vertical="top" wrapText="1"/>
      <protection/>
    </xf>
    <xf numFmtId="0" fontId="11" fillId="0" borderId="65" xfId="0" applyFont="1" applyFill="1" applyBorder="1" applyAlignment="1" applyProtection="1">
      <alignment horizontal="center" vertical="center" wrapText="1"/>
      <protection/>
    </xf>
    <xf numFmtId="0" fontId="21" fillId="0" borderId="69" xfId="0" applyFont="1" applyFill="1" applyBorder="1" applyAlignment="1" applyProtection="1">
      <alignment horizontal="center" vertical="center" wrapText="1"/>
      <protection/>
    </xf>
    <xf numFmtId="0" fontId="21" fillId="0" borderId="38" xfId="0" applyFont="1" applyFill="1" applyBorder="1" applyAlignment="1" applyProtection="1">
      <alignment horizontal="center" vertical="center" wrapText="1"/>
      <protection/>
    </xf>
    <xf numFmtId="0" fontId="21" fillId="0" borderId="70" xfId="0" applyFont="1" applyFill="1" applyBorder="1" applyAlignment="1" applyProtection="1">
      <alignment horizontal="center" vertical="center" wrapText="1"/>
      <protection/>
    </xf>
    <xf numFmtId="0" fontId="21" fillId="0" borderId="71" xfId="0" applyFont="1" applyFill="1" applyBorder="1" applyAlignment="1" applyProtection="1">
      <alignment horizontal="center" vertical="center" wrapText="1"/>
      <protection/>
    </xf>
    <xf numFmtId="0" fontId="110" fillId="0" borderId="0" xfId="0" applyFont="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21" fillId="0" borderId="72" xfId="0" applyFont="1" applyFill="1" applyBorder="1" applyAlignment="1" applyProtection="1">
      <alignment vertical="center"/>
      <protection/>
    </xf>
    <xf numFmtId="190" fontId="21" fillId="0" borderId="73" xfId="50" applyNumberFormat="1" applyFont="1" applyFill="1" applyBorder="1" applyAlignment="1" applyProtection="1">
      <alignment vertical="center" wrapText="1"/>
      <protection/>
    </xf>
    <xf numFmtId="0" fontId="21" fillId="0" borderId="39" xfId="0" applyNumberFormat="1" applyFont="1" applyFill="1" applyBorder="1" applyAlignment="1" applyProtection="1">
      <alignment horizontal="center" vertical="center"/>
      <protection/>
    </xf>
    <xf numFmtId="0" fontId="21" fillId="0" borderId="72" xfId="0" applyNumberFormat="1" applyFont="1" applyFill="1" applyBorder="1" applyAlignment="1" applyProtection="1">
      <alignment horizontal="center" vertical="center"/>
      <protection/>
    </xf>
    <xf numFmtId="190" fontId="21" fillId="0" borderId="12" xfId="50" applyNumberFormat="1" applyFont="1" applyFill="1" applyBorder="1" applyAlignment="1" applyProtection="1">
      <alignment vertical="center" wrapText="1"/>
      <protection/>
    </xf>
    <xf numFmtId="190" fontId="21" fillId="0" borderId="26" xfId="50" applyNumberFormat="1" applyFont="1" applyFill="1" applyBorder="1" applyAlignment="1" applyProtection="1">
      <alignment vertical="center" wrapText="1"/>
      <protection/>
    </xf>
    <xf numFmtId="0" fontId="21" fillId="0" borderId="26" xfId="50" applyNumberFormat="1" applyFont="1" applyFill="1" applyBorder="1" applyAlignment="1" applyProtection="1">
      <alignment horizontal="center" vertical="center" wrapText="1"/>
      <protection/>
    </xf>
    <xf numFmtId="0" fontId="112" fillId="0" borderId="0" xfId="0" applyFont="1" applyAlignment="1" applyProtection="1">
      <alignment horizontal="right" vertical="center"/>
      <protection/>
    </xf>
    <xf numFmtId="0" fontId="19" fillId="0" borderId="0" xfId="0" applyFont="1" applyBorder="1" applyAlignment="1" applyProtection="1">
      <alignment horizontal="center" vertical="center"/>
      <protection/>
    </xf>
    <xf numFmtId="0" fontId="21" fillId="0" borderId="74" xfId="0" applyFont="1" applyFill="1" applyBorder="1" applyAlignment="1" applyProtection="1">
      <alignment vertical="center"/>
      <protection/>
    </xf>
    <xf numFmtId="190" fontId="21" fillId="0" borderId="13" xfId="5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horizontal="center" vertical="center"/>
      <protection/>
    </xf>
    <xf numFmtId="0" fontId="21" fillId="0" borderId="75" xfId="0" applyNumberFormat="1" applyFont="1" applyFill="1" applyBorder="1" applyAlignment="1" applyProtection="1">
      <alignment horizontal="center" vertical="center"/>
      <protection/>
    </xf>
    <xf numFmtId="0" fontId="113" fillId="0" borderId="0" xfId="0" applyFont="1" applyBorder="1" applyAlignment="1" applyProtection="1">
      <alignment horizontal="left" vertical="center" wrapText="1"/>
      <protection/>
    </xf>
    <xf numFmtId="0" fontId="21" fillId="0" borderId="75" xfId="0" applyFont="1" applyFill="1" applyBorder="1" applyAlignment="1" applyProtection="1">
      <alignment vertical="center"/>
      <protection/>
    </xf>
    <xf numFmtId="0" fontId="21" fillId="0" borderId="13" xfId="0" applyFont="1" applyFill="1" applyBorder="1" applyAlignment="1" applyProtection="1">
      <alignment vertical="center" wrapText="1"/>
      <protection/>
    </xf>
    <xf numFmtId="184" fontId="21" fillId="0" borderId="22" xfId="0" applyNumberFormat="1" applyFont="1" applyFill="1" applyBorder="1" applyAlignment="1" applyProtection="1">
      <alignment vertical="center"/>
      <protection/>
    </xf>
    <xf numFmtId="0" fontId="21" fillId="37" borderId="22" xfId="0" applyFont="1" applyFill="1" applyBorder="1" applyAlignment="1" applyProtection="1" quotePrefix="1">
      <alignment horizontal="center" vertical="center" wrapText="1"/>
      <protection/>
    </xf>
    <xf numFmtId="0" fontId="21" fillId="37" borderId="22" xfId="0" applyNumberFormat="1" applyFont="1" applyFill="1" applyBorder="1" applyAlignment="1" applyProtection="1" quotePrefix="1">
      <alignment horizontal="center" vertical="center" wrapText="1"/>
      <protection/>
    </xf>
    <xf numFmtId="0" fontId="21" fillId="0" borderId="22" xfId="0" applyFont="1" applyFill="1" applyBorder="1" applyAlignment="1" applyProtection="1">
      <alignment vertical="center" wrapText="1"/>
      <protection/>
    </xf>
    <xf numFmtId="0" fontId="113" fillId="33" borderId="0" xfId="0" applyFont="1" applyFill="1" applyBorder="1" applyAlignment="1" applyProtection="1">
      <alignment horizontal="left" vertical="center" wrapText="1"/>
      <protection/>
    </xf>
    <xf numFmtId="0" fontId="113" fillId="0" borderId="0" xfId="0" applyFont="1" applyFill="1" applyBorder="1" applyAlignment="1" applyProtection="1">
      <alignment horizontal="left" vertical="center" wrapText="1"/>
      <protection/>
    </xf>
    <xf numFmtId="0" fontId="21" fillId="0" borderId="75" xfId="0" applyFont="1" applyFill="1" applyBorder="1" applyAlignment="1" applyProtection="1">
      <alignment vertical="center" wrapText="1"/>
      <protection/>
    </xf>
    <xf numFmtId="0" fontId="21" fillId="37" borderId="13" xfId="0" applyFont="1" applyFill="1" applyBorder="1" applyAlignment="1" applyProtection="1" quotePrefix="1">
      <alignment horizontal="center" vertical="center" wrapText="1"/>
      <protection/>
    </xf>
    <xf numFmtId="0" fontId="21" fillId="37" borderId="75" xfId="0" applyNumberFormat="1" applyFont="1" applyFill="1" applyBorder="1" applyAlignment="1" applyProtection="1" quotePrefix="1">
      <alignment horizontal="center" vertical="center" wrapText="1"/>
      <protection/>
    </xf>
    <xf numFmtId="190" fontId="21" fillId="0" borderId="76" xfId="50" applyNumberFormat="1" applyFont="1" applyFill="1" applyBorder="1" applyAlignment="1" applyProtection="1">
      <alignment vertical="center" wrapText="1"/>
      <protection/>
    </xf>
    <xf numFmtId="0" fontId="113"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vertical="center"/>
      <protection/>
    </xf>
    <xf numFmtId="0" fontId="118" fillId="0" borderId="0" xfId="0" applyFont="1" applyAlignment="1" applyProtection="1">
      <alignment vertical="center"/>
      <protection/>
    </xf>
    <xf numFmtId="0" fontId="112" fillId="0" borderId="0" xfId="0" applyFont="1" applyAlignment="1" applyProtection="1">
      <alignment horizontal="right" vertical="center" wrapText="1"/>
      <protection/>
    </xf>
    <xf numFmtId="0" fontId="119" fillId="0" borderId="0" xfId="0" applyFont="1" applyAlignment="1" applyProtection="1">
      <alignment vertical="center"/>
      <protection/>
    </xf>
    <xf numFmtId="0" fontId="118" fillId="0" borderId="0" xfId="0" applyFont="1" applyAlignment="1" applyProtection="1">
      <alignment vertical="center" shrinkToFit="1"/>
      <protection/>
    </xf>
    <xf numFmtId="0" fontId="120" fillId="0" borderId="0" xfId="0" applyFont="1" applyFill="1" applyAlignment="1" applyProtection="1">
      <alignment vertical="center"/>
      <protection/>
    </xf>
    <xf numFmtId="0" fontId="21" fillId="0" borderId="24"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27" fillId="0" borderId="0" xfId="0" applyFont="1" applyFill="1" applyAlignment="1" applyProtection="1">
      <alignment vertical="center"/>
      <protection/>
    </xf>
    <xf numFmtId="0" fontId="11" fillId="0" borderId="22" xfId="0" applyFont="1" applyBorder="1" applyAlignment="1" applyProtection="1">
      <alignment horizontal="center" vertical="center"/>
      <protection/>
    </xf>
    <xf numFmtId="184" fontId="10" fillId="0" borderId="77" xfId="0" applyNumberFormat="1" applyFont="1" applyFill="1" applyBorder="1" applyAlignment="1" applyProtection="1">
      <alignment horizontal="right" vertical="center" wrapText="1"/>
      <protection/>
    </xf>
    <xf numFmtId="0" fontId="10" fillId="0" borderId="77" xfId="0" applyFont="1" applyBorder="1" applyAlignment="1" applyProtection="1">
      <alignment horizontal="center" vertical="center"/>
      <protection/>
    </xf>
    <xf numFmtId="0" fontId="112" fillId="0" borderId="46" xfId="0" applyFont="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22" xfId="0" applyNumberFormat="1" applyFont="1" applyFill="1" applyBorder="1" applyAlignment="1" applyProtection="1">
      <alignment vertical="center" wrapText="1"/>
      <protection/>
    </xf>
    <xf numFmtId="184" fontId="10" fillId="0" borderId="22"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12" fillId="0" borderId="0" xfId="0" applyFont="1" applyAlignment="1" applyProtection="1">
      <alignment vertical="center"/>
      <protection/>
    </xf>
    <xf numFmtId="0" fontId="21" fillId="0" borderId="0" xfId="0" applyFont="1" applyAlignment="1" applyProtection="1">
      <alignment horizontal="center" vertical="center"/>
      <protection/>
    </xf>
    <xf numFmtId="0" fontId="23" fillId="0" borderId="0" xfId="0" applyFont="1" applyFill="1" applyAlignment="1" applyProtection="1">
      <alignment vertical="center"/>
      <protection/>
    </xf>
    <xf numFmtId="0" fontId="121" fillId="0" borderId="0" xfId="0" applyFont="1" applyFill="1" applyAlignment="1" applyProtection="1">
      <alignment vertical="center"/>
      <protection/>
    </xf>
    <xf numFmtId="0" fontId="121"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22" xfId="0" applyFont="1" applyFill="1" applyBorder="1" applyAlignment="1" applyProtection="1">
      <alignment vertical="center"/>
      <protection/>
    </xf>
    <xf numFmtId="0" fontId="110" fillId="0" borderId="0" xfId="0" applyFont="1" applyFill="1" applyAlignment="1" applyProtection="1">
      <alignment vertical="center"/>
      <protection/>
    </xf>
    <xf numFmtId="0" fontId="11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190" fontId="20" fillId="0" borderId="0" xfId="50" applyNumberFormat="1" applyFont="1" applyFill="1" applyBorder="1" applyAlignment="1" applyProtection="1">
      <alignment horizontal="center" vertical="center"/>
      <protection/>
    </xf>
    <xf numFmtId="190" fontId="11" fillId="0" borderId="78" xfId="0" applyNumberFormat="1" applyFont="1" applyFill="1" applyBorder="1" applyAlignment="1" applyProtection="1">
      <alignment horizontal="center" vertical="center"/>
      <protection/>
    </xf>
    <xf numFmtId="0" fontId="28" fillId="0" borderId="0" xfId="0" applyFont="1" applyAlignment="1" applyProtection="1">
      <alignment vertical="top" wrapText="1"/>
      <protection/>
    </xf>
    <xf numFmtId="190" fontId="11" fillId="7" borderId="79" xfId="0" applyNumberFormat="1" applyFont="1" applyFill="1" applyBorder="1" applyAlignment="1" applyProtection="1">
      <alignment horizontal="center" vertical="center"/>
      <protection/>
    </xf>
    <xf numFmtId="0" fontId="22" fillId="0" borderId="0" xfId="0" applyFont="1" applyAlignment="1" applyProtection="1">
      <alignment vertical="center"/>
      <protection/>
    </xf>
    <xf numFmtId="0" fontId="122" fillId="0" borderId="0" xfId="0" applyFont="1" applyAlignment="1" applyProtection="1">
      <alignment horizontal="left"/>
      <protection/>
    </xf>
    <xf numFmtId="0" fontId="112" fillId="0" borderId="0" xfId="0" applyFont="1" applyAlignment="1" applyProtection="1">
      <alignment horizontal="left" vertical="center" indent="2"/>
      <protection/>
    </xf>
    <xf numFmtId="0" fontId="123" fillId="0" borderId="0" xfId="0" applyFont="1" applyAlignment="1" applyProtection="1">
      <alignment vertical="center"/>
      <protection/>
    </xf>
    <xf numFmtId="189" fontId="5" fillId="7" borderId="24" xfId="0" applyNumberFormat="1" applyFont="1" applyFill="1" applyBorder="1" applyAlignment="1" applyProtection="1">
      <alignment vertical="center" shrinkToFit="1"/>
      <protection locked="0"/>
    </xf>
    <xf numFmtId="189" fontId="5" fillId="7" borderId="67" xfId="0" applyNumberFormat="1" applyFont="1" applyFill="1" applyBorder="1" applyAlignment="1" applyProtection="1">
      <alignment vertical="center" shrinkToFit="1"/>
      <protection locked="0"/>
    </xf>
    <xf numFmtId="189" fontId="5" fillId="7" borderId="13" xfId="0" applyNumberFormat="1" applyFont="1" applyFill="1" applyBorder="1" applyAlignment="1" applyProtection="1">
      <alignment vertical="center" shrinkToFit="1"/>
      <protection locked="0"/>
    </xf>
    <xf numFmtId="0" fontId="97" fillId="7" borderId="24" xfId="0" applyFont="1" applyFill="1" applyBorder="1" applyAlignment="1" applyProtection="1">
      <alignment vertical="center"/>
      <protection locked="0"/>
    </xf>
    <xf numFmtId="0" fontId="97" fillId="7" borderId="67" xfId="0" applyFont="1" applyFill="1" applyBorder="1" applyAlignment="1" applyProtection="1">
      <alignment vertical="center"/>
      <protection locked="0"/>
    </xf>
    <xf numFmtId="0" fontId="97" fillId="7" borderId="13" xfId="0" applyFont="1" applyFill="1" applyBorder="1" applyAlignment="1" applyProtection="1">
      <alignment vertical="center"/>
      <protection locked="0"/>
    </xf>
    <xf numFmtId="0" fontId="97" fillId="7" borderId="24" xfId="0" applyFont="1" applyFill="1" applyBorder="1" applyAlignment="1" applyProtection="1">
      <alignment vertical="center" shrinkToFit="1"/>
      <protection locked="0"/>
    </xf>
    <xf numFmtId="0" fontId="97" fillId="7" borderId="67" xfId="0" applyFont="1" applyFill="1" applyBorder="1" applyAlignment="1" applyProtection="1">
      <alignment vertical="center" shrinkToFit="1"/>
      <protection locked="0"/>
    </xf>
    <xf numFmtId="0" fontId="97" fillId="7" borderId="13" xfId="0" applyFont="1" applyFill="1" applyBorder="1" applyAlignment="1" applyProtection="1">
      <alignment vertical="center" shrinkToFit="1"/>
      <protection locked="0"/>
    </xf>
    <xf numFmtId="0" fontId="5" fillId="7" borderId="22" xfId="0" applyFont="1" applyFill="1" applyBorder="1" applyAlignment="1" applyProtection="1">
      <alignment horizontal="center" vertical="center"/>
      <protection locked="0"/>
    </xf>
    <xf numFmtId="0" fontId="107" fillId="7" borderId="22" xfId="0"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13" xfId="0" applyBorder="1" applyAlignment="1">
      <alignment horizontal="center" vertical="center"/>
    </xf>
    <xf numFmtId="0" fontId="123" fillId="0" borderId="0" xfId="0" applyFont="1" applyAlignment="1" applyProtection="1">
      <alignment horizontal="right" vertical="center"/>
      <protection/>
    </xf>
    <xf numFmtId="3" fontId="11" fillId="0" borderId="80" xfId="0" applyNumberFormat="1" applyFont="1" applyFill="1" applyBorder="1" applyAlignment="1" applyProtection="1">
      <alignment vertical="center"/>
      <protection/>
    </xf>
    <xf numFmtId="3" fontId="11" fillId="0" borderId="81" xfId="0" applyNumberFormat="1" applyFont="1" applyFill="1" applyBorder="1" applyAlignment="1" applyProtection="1">
      <alignment vertical="center"/>
      <protection/>
    </xf>
    <xf numFmtId="3" fontId="11" fillId="7" borderId="60" xfId="0" applyNumberFormat="1" applyFont="1" applyFill="1" applyBorder="1" applyAlignment="1" applyProtection="1">
      <alignment vertical="center"/>
      <protection locked="0"/>
    </xf>
    <xf numFmtId="3" fontId="11" fillId="7" borderId="82" xfId="0" applyNumberFormat="1" applyFont="1" applyFill="1" applyBorder="1" applyAlignment="1" applyProtection="1">
      <alignment vertical="center"/>
      <protection locked="0"/>
    </xf>
    <xf numFmtId="0" fontId="124" fillId="0" borderId="0" xfId="0" applyFont="1" applyBorder="1" applyAlignment="1" applyProtection="1">
      <alignment horizontal="center" vertical="center"/>
      <protection/>
    </xf>
    <xf numFmtId="0" fontId="11" fillId="0" borderId="60" xfId="0" applyFont="1" applyFill="1" applyBorder="1" applyAlignment="1" applyProtection="1">
      <alignment vertical="center" wrapText="1"/>
      <protection/>
    </xf>
    <xf numFmtId="0" fontId="11" fillId="0" borderId="64" xfId="0" applyFont="1" applyFill="1" applyBorder="1" applyAlignment="1" applyProtection="1">
      <alignment vertical="center" wrapText="1"/>
      <protection/>
    </xf>
    <xf numFmtId="0" fontId="110" fillId="0" borderId="52" xfId="0" applyFont="1" applyFill="1" applyBorder="1" applyAlignment="1" applyProtection="1">
      <alignment horizontal="center" vertical="center" wrapText="1"/>
      <protection/>
    </xf>
    <xf numFmtId="0" fontId="110" fillId="0" borderId="47" xfId="0" applyFont="1" applyFill="1" applyBorder="1" applyAlignment="1" applyProtection="1">
      <alignment horizontal="center" vertical="center" wrapText="1"/>
      <protection/>
    </xf>
    <xf numFmtId="0" fontId="110" fillId="0" borderId="50" xfId="0" applyFont="1" applyFill="1" applyBorder="1" applyAlignment="1" applyProtection="1">
      <alignment horizontal="center" vertical="center" wrapText="1"/>
      <protection/>
    </xf>
    <xf numFmtId="0" fontId="110" fillId="0" borderId="12" xfId="0" applyFont="1" applyFill="1" applyBorder="1" applyAlignment="1" applyProtection="1">
      <alignment horizontal="center" vertical="center" wrapText="1"/>
      <protection/>
    </xf>
    <xf numFmtId="0" fontId="23" fillId="0" borderId="52" xfId="0" applyFont="1" applyBorder="1" applyAlignment="1" applyProtection="1">
      <alignment horizontal="center" vertical="center"/>
      <protection/>
    </xf>
    <xf numFmtId="0" fontId="23" fillId="0" borderId="46" xfId="0" applyFont="1" applyBorder="1" applyAlignment="1" applyProtection="1">
      <alignment horizontal="center" vertical="center"/>
      <protection/>
    </xf>
    <xf numFmtId="0" fontId="23" fillId="0" borderId="47" xfId="0" applyFont="1" applyBorder="1" applyAlignment="1" applyProtection="1">
      <alignment horizontal="center" vertical="center"/>
      <protection/>
    </xf>
    <xf numFmtId="0" fontId="23" fillId="0" borderId="52" xfId="0" applyFont="1" applyBorder="1" applyAlignment="1" applyProtection="1">
      <alignment horizontal="center" vertical="center" wrapText="1"/>
      <protection/>
    </xf>
    <xf numFmtId="0" fontId="23" fillId="0" borderId="47" xfId="0" applyFont="1" applyBorder="1" applyAlignment="1" applyProtection="1">
      <alignment horizontal="center" vertical="center" wrapText="1"/>
      <protection/>
    </xf>
    <xf numFmtId="0" fontId="23" fillId="0" borderId="5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21" fillId="0" borderId="67" xfId="0" applyFont="1" applyFill="1" applyBorder="1" applyAlignment="1" applyProtection="1">
      <alignment horizontal="center" vertical="center" wrapText="1"/>
      <protection/>
    </xf>
    <xf numFmtId="0" fontId="21" fillId="0" borderId="13" xfId="0" applyFont="1" applyFill="1" applyBorder="1" applyAlignment="1" applyProtection="1">
      <alignment horizontal="center" vertical="center" wrapText="1"/>
      <protection/>
    </xf>
    <xf numFmtId="190" fontId="19" fillId="0" borderId="52" xfId="0" applyNumberFormat="1" applyFont="1" applyBorder="1" applyAlignment="1" applyProtection="1">
      <alignment vertical="center" wrapText="1" shrinkToFit="1"/>
      <protection/>
    </xf>
    <xf numFmtId="190" fontId="19" fillId="0" borderId="46" xfId="0" applyNumberFormat="1" applyFont="1" applyBorder="1" applyAlignment="1" applyProtection="1">
      <alignment vertical="center" wrapText="1" shrinkToFit="1"/>
      <protection/>
    </xf>
    <xf numFmtId="190" fontId="19" fillId="0" borderId="47" xfId="0" applyNumberFormat="1" applyFont="1" applyBorder="1" applyAlignment="1" applyProtection="1">
      <alignment vertical="center" wrapText="1" shrinkToFit="1"/>
      <protection/>
    </xf>
    <xf numFmtId="0" fontId="6" fillId="38" borderId="65" xfId="0" applyFont="1" applyFill="1" applyBorder="1" applyAlignment="1" applyProtection="1">
      <alignment horizontal="center" vertical="center" wrapText="1"/>
      <protection/>
    </xf>
    <xf numFmtId="0" fontId="6" fillId="38" borderId="26" xfId="0" applyFont="1" applyFill="1" applyBorder="1" applyAlignment="1" applyProtection="1">
      <alignment horizontal="center" vertical="center" wrapText="1"/>
      <protection/>
    </xf>
    <xf numFmtId="190" fontId="19" fillId="0" borderId="50" xfId="0" applyNumberFormat="1" applyFont="1" applyBorder="1" applyAlignment="1" applyProtection="1">
      <alignment horizontal="center" vertical="center" shrinkToFit="1"/>
      <protection/>
    </xf>
    <xf numFmtId="190" fontId="19" fillId="0" borderId="51" xfId="0" applyNumberFormat="1" applyFont="1" applyBorder="1" applyAlignment="1" applyProtection="1">
      <alignment horizontal="center" vertical="center" shrinkToFit="1"/>
      <protection/>
    </xf>
    <xf numFmtId="190" fontId="19" fillId="0" borderId="12" xfId="0" applyNumberFormat="1" applyFont="1" applyBorder="1" applyAlignment="1" applyProtection="1">
      <alignment horizontal="center" vertical="center" shrinkToFit="1"/>
      <protection/>
    </xf>
    <xf numFmtId="190" fontId="19" fillId="0" borderId="52" xfId="0" applyNumberFormat="1" applyFont="1" applyBorder="1" applyAlignment="1" applyProtection="1">
      <alignment vertical="center" shrinkToFit="1"/>
      <protection/>
    </xf>
    <xf numFmtId="190" fontId="19" fillId="0" borderId="46" xfId="0" applyNumberFormat="1" applyFont="1" applyBorder="1" applyAlignment="1" applyProtection="1">
      <alignment vertical="center" shrinkToFit="1"/>
      <protection/>
    </xf>
    <xf numFmtId="190" fontId="19" fillId="0" borderId="47" xfId="0" applyNumberFormat="1" applyFont="1" applyBorder="1" applyAlignment="1" applyProtection="1">
      <alignment vertical="center" shrinkToFit="1"/>
      <protection/>
    </xf>
    <xf numFmtId="190" fontId="19" fillId="0" borderId="50" xfId="0" applyNumberFormat="1" applyFont="1" applyBorder="1" applyAlignment="1" applyProtection="1">
      <alignment vertical="center" shrinkToFit="1"/>
      <protection/>
    </xf>
    <xf numFmtId="190" fontId="19" fillId="0" borderId="51" xfId="0" applyNumberFormat="1" applyFont="1" applyBorder="1" applyAlignment="1" applyProtection="1">
      <alignment vertical="center" shrinkToFit="1"/>
      <protection/>
    </xf>
    <xf numFmtId="190" fontId="19" fillId="0" borderId="12" xfId="0" applyNumberFormat="1" applyFont="1" applyBorder="1" applyAlignment="1" applyProtection="1">
      <alignment vertical="center" shrinkToFit="1"/>
      <protection/>
    </xf>
    <xf numFmtId="0" fontId="125" fillId="0" borderId="51" xfId="0" applyFont="1" applyBorder="1" applyAlignment="1" applyProtection="1">
      <alignment horizontal="left" vertical="center"/>
      <protection/>
    </xf>
    <xf numFmtId="0" fontId="21" fillId="0" borderId="83" xfId="0" applyFont="1" applyFill="1" applyBorder="1" applyAlignment="1" applyProtection="1">
      <alignment horizontal="center" vertical="center"/>
      <protection/>
    </xf>
    <xf numFmtId="0" fontId="21" fillId="0" borderId="67"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1" fillId="0" borderId="84" xfId="0" applyFont="1" applyFill="1" applyBorder="1" applyAlignment="1" applyProtection="1">
      <alignment horizontal="center" vertical="center" wrapText="1"/>
      <protection/>
    </xf>
    <xf numFmtId="0" fontId="21" fillId="0" borderId="85" xfId="0" applyFont="1" applyFill="1" applyBorder="1" applyAlignment="1" applyProtection="1">
      <alignment horizontal="center" vertical="center" wrapText="1"/>
      <protection/>
    </xf>
    <xf numFmtId="0" fontId="21" fillId="0" borderId="86" xfId="0" applyFont="1" applyFill="1" applyBorder="1" applyAlignment="1" applyProtection="1">
      <alignment horizontal="center" vertical="center" wrapText="1"/>
      <protection/>
    </xf>
    <xf numFmtId="0" fontId="4" fillId="38" borderId="65" xfId="0" applyFont="1" applyFill="1" applyBorder="1" applyAlignment="1" applyProtection="1">
      <alignment horizontal="center" vertical="center" wrapText="1"/>
      <protection/>
    </xf>
    <xf numFmtId="0" fontId="4" fillId="38" borderId="26" xfId="0" applyFont="1" applyFill="1" applyBorder="1" applyAlignment="1" applyProtection="1">
      <alignment horizontal="center" vertical="center" wrapText="1"/>
      <protection/>
    </xf>
    <xf numFmtId="0" fontId="21" fillId="0" borderId="83" xfId="0" applyFont="1" applyFill="1" applyBorder="1" applyAlignment="1" applyProtection="1">
      <alignment horizontal="center" vertical="center" wrapText="1"/>
      <protection/>
    </xf>
    <xf numFmtId="190" fontId="19" fillId="0" borderId="50" xfId="0" applyNumberFormat="1" applyFont="1" applyBorder="1" applyAlignment="1" applyProtection="1">
      <alignment vertical="center" wrapText="1" shrinkToFit="1"/>
      <protection/>
    </xf>
    <xf numFmtId="190" fontId="19" fillId="0" borderId="51" xfId="0" applyNumberFormat="1" applyFont="1" applyBorder="1" applyAlignment="1" applyProtection="1">
      <alignment vertical="center" wrapText="1" shrinkToFit="1"/>
      <protection/>
    </xf>
    <xf numFmtId="190" fontId="19" fillId="0" borderId="12" xfId="0" applyNumberFormat="1" applyFont="1" applyBorder="1" applyAlignment="1" applyProtection="1">
      <alignment vertical="center" wrapText="1" shrinkToFit="1"/>
      <protection/>
    </xf>
    <xf numFmtId="0" fontId="25" fillId="0" borderId="52" xfId="0" applyFont="1" applyBorder="1" applyAlignment="1" applyProtection="1">
      <alignment horizontal="center" vertical="center"/>
      <protection/>
    </xf>
    <xf numFmtId="0" fontId="25" fillId="0" borderId="46" xfId="0" applyFont="1" applyBorder="1" applyAlignment="1" applyProtection="1">
      <alignment horizontal="center" vertical="center"/>
      <protection/>
    </xf>
    <xf numFmtId="0" fontId="25" fillId="0" borderId="47" xfId="0" applyFont="1" applyBorder="1" applyAlignment="1" applyProtection="1">
      <alignment horizontal="center" vertical="center"/>
      <protection/>
    </xf>
    <xf numFmtId="0" fontId="25" fillId="0" borderId="50" xfId="0" applyFont="1" applyBorder="1" applyAlignment="1" applyProtection="1">
      <alignment horizontal="center" vertical="center"/>
      <protection/>
    </xf>
    <xf numFmtId="0" fontId="25" fillId="0" borderId="5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19" fillId="6" borderId="87" xfId="0" applyFont="1" applyFill="1" applyBorder="1" applyAlignment="1" applyProtection="1">
      <alignment horizontal="center" vertical="center" textRotation="255"/>
      <protection/>
    </xf>
    <xf numFmtId="0" fontId="19" fillId="6" borderId="88" xfId="0" applyFont="1" applyFill="1" applyBorder="1" applyAlignment="1" applyProtection="1">
      <alignment horizontal="center" vertical="center" textRotation="255"/>
      <protection/>
    </xf>
    <xf numFmtId="0" fontId="19" fillId="6" borderId="89" xfId="0" applyFont="1" applyFill="1" applyBorder="1" applyAlignment="1" applyProtection="1">
      <alignment horizontal="center" vertical="center" textRotation="255"/>
      <protection/>
    </xf>
    <xf numFmtId="0" fontId="11" fillId="0" borderId="62" xfId="0" applyFont="1" applyFill="1" applyBorder="1" applyAlignment="1" applyProtection="1">
      <alignment horizontal="center" vertical="center" wrapText="1"/>
      <protection/>
    </xf>
    <xf numFmtId="0" fontId="11" fillId="0" borderId="65"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6" fillId="38" borderId="90" xfId="0" applyFont="1" applyFill="1" applyBorder="1" applyAlignment="1" applyProtection="1">
      <alignment horizontal="center" vertical="center" wrapText="1"/>
      <protection/>
    </xf>
    <xf numFmtId="0" fontId="6" fillId="38" borderId="91" xfId="0" applyFont="1" applyFill="1" applyBorder="1" applyAlignment="1" applyProtection="1">
      <alignment horizontal="center" vertical="center" wrapText="1"/>
      <protection/>
    </xf>
    <xf numFmtId="0" fontId="19" fillId="0" borderId="50" xfId="0" applyFont="1" applyBorder="1" applyAlignment="1" applyProtection="1">
      <alignment vertical="center" shrinkToFit="1"/>
      <protection/>
    </xf>
    <xf numFmtId="0" fontId="19" fillId="0" borderId="51" xfId="0" applyFont="1" applyBorder="1" applyAlignment="1" applyProtection="1">
      <alignment vertical="center" shrinkToFit="1"/>
      <protection/>
    </xf>
    <xf numFmtId="0" fontId="19" fillId="0" borderId="12" xfId="0" applyFont="1" applyBorder="1" applyAlignment="1" applyProtection="1">
      <alignment vertical="center" shrinkToFit="1"/>
      <protection/>
    </xf>
    <xf numFmtId="0" fontId="25" fillId="33" borderId="62" xfId="0" applyFont="1" applyFill="1" applyBorder="1" applyAlignment="1" applyProtection="1">
      <alignment horizontal="center" vertical="center"/>
      <protection/>
    </xf>
    <xf numFmtId="0" fontId="25" fillId="33" borderId="26" xfId="0" applyFont="1" applyFill="1" applyBorder="1" applyAlignment="1" applyProtection="1">
      <alignment horizontal="center" vertical="center"/>
      <protection/>
    </xf>
    <xf numFmtId="0" fontId="26" fillId="33" borderId="87" xfId="0" applyFont="1" applyFill="1" applyBorder="1" applyAlignment="1" applyProtection="1">
      <alignment horizontal="center" vertical="center"/>
      <protection/>
    </xf>
    <xf numFmtId="0" fontId="26" fillId="33" borderId="88" xfId="0" applyFont="1" applyFill="1" applyBorder="1" applyAlignment="1" applyProtection="1">
      <alignment horizontal="center" vertical="center"/>
      <protection/>
    </xf>
    <xf numFmtId="0" fontId="26" fillId="33" borderId="89" xfId="0" applyFont="1" applyFill="1" applyBorder="1" applyAlignment="1" applyProtection="1">
      <alignment horizontal="center" vertical="center"/>
      <protection/>
    </xf>
    <xf numFmtId="0" fontId="11" fillId="6" borderId="62" xfId="0" applyFont="1" applyFill="1" applyBorder="1" applyAlignment="1" applyProtection="1">
      <alignment horizontal="center" vertical="center"/>
      <protection/>
    </xf>
    <xf numFmtId="0" fontId="11" fillId="6" borderId="65" xfId="0" applyFont="1" applyFill="1" applyBorder="1" applyAlignment="1" applyProtection="1">
      <alignment horizontal="center" vertical="center"/>
      <protection/>
    </xf>
    <xf numFmtId="0" fontId="11" fillId="6" borderId="26" xfId="0" applyFont="1" applyFill="1" applyBorder="1" applyAlignment="1" applyProtection="1">
      <alignment horizontal="center" vertical="center"/>
      <protection/>
    </xf>
    <xf numFmtId="0" fontId="6" fillId="36" borderId="62" xfId="0" applyFont="1" applyFill="1" applyBorder="1" applyAlignment="1" applyProtection="1">
      <alignment horizontal="center" vertical="center" textRotation="255"/>
      <protection/>
    </xf>
    <xf numFmtId="0" fontId="6" fillId="36" borderId="65" xfId="0" applyFont="1" applyFill="1" applyBorder="1" applyAlignment="1" applyProtection="1">
      <alignment horizontal="center" vertical="center" textRotation="255"/>
      <protection/>
    </xf>
    <xf numFmtId="0" fontId="6" fillId="36" borderId="26" xfId="0" applyFont="1" applyFill="1" applyBorder="1" applyAlignment="1" applyProtection="1">
      <alignment horizontal="center" vertical="center" textRotation="255"/>
      <protection/>
    </xf>
    <xf numFmtId="0" fontId="113" fillId="0" borderId="92" xfId="0" applyFont="1" applyBorder="1" applyAlignment="1" applyProtection="1">
      <alignment horizontal="center" vertical="center" wrapText="1"/>
      <protection/>
    </xf>
    <xf numFmtId="0" fontId="113" fillId="0" borderId="93" xfId="0" applyFont="1" applyBorder="1" applyAlignment="1" applyProtection="1">
      <alignment horizontal="center" vertical="center" wrapText="1"/>
      <protection/>
    </xf>
    <xf numFmtId="0" fontId="113" fillId="0" borderId="24" xfId="0" applyFont="1" applyFill="1" applyBorder="1" applyAlignment="1" applyProtection="1">
      <alignment horizontal="center" vertical="center" wrapText="1"/>
      <protection/>
    </xf>
    <xf numFmtId="0" fontId="113" fillId="0" borderId="13" xfId="0" applyFont="1" applyFill="1" applyBorder="1" applyAlignment="1" applyProtection="1">
      <alignment horizontal="center" vertical="center" wrapText="1"/>
      <protection/>
    </xf>
    <xf numFmtId="0" fontId="126" fillId="0" borderId="0" xfId="0" applyFont="1" applyBorder="1" applyAlignment="1" applyProtection="1">
      <alignment vertical="center" wrapText="1" shrinkToFit="1"/>
      <protection/>
    </xf>
    <xf numFmtId="9" fontId="11" fillId="0" borderId="60" xfId="0" applyNumberFormat="1" applyFont="1" applyFill="1" applyBorder="1" applyAlignment="1" applyProtection="1">
      <alignment horizontal="center" vertical="center"/>
      <protection/>
    </xf>
    <xf numFmtId="9" fontId="11" fillId="0" borderId="82" xfId="0" applyNumberFormat="1" applyFont="1" applyFill="1" applyBorder="1" applyAlignment="1" applyProtection="1">
      <alignment horizontal="center" vertical="center"/>
      <protection/>
    </xf>
    <xf numFmtId="9" fontId="11" fillId="0" borderId="79" xfId="0" applyNumberFormat="1" applyFont="1" applyFill="1" applyBorder="1" applyAlignment="1" applyProtection="1">
      <alignment horizontal="center" vertical="center"/>
      <protection/>
    </xf>
    <xf numFmtId="0" fontId="110" fillId="0" borderId="24" xfId="0" applyFont="1" applyBorder="1" applyAlignment="1" applyProtection="1">
      <alignment horizontal="center" vertical="center" wrapText="1"/>
      <protection/>
    </xf>
    <xf numFmtId="0" fontId="110" fillId="0" borderId="13" xfId="0" applyFont="1" applyBorder="1" applyAlignment="1" applyProtection="1">
      <alignment horizontal="center" vertical="center" wrapText="1"/>
      <protection/>
    </xf>
    <xf numFmtId="0" fontId="24" fillId="33" borderId="62" xfId="0" applyFont="1" applyFill="1" applyBorder="1" applyAlignment="1" applyProtection="1">
      <alignment horizontal="center" vertical="center"/>
      <protection/>
    </xf>
    <xf numFmtId="0" fontId="24" fillId="33" borderId="26" xfId="0" applyFont="1" applyFill="1" applyBorder="1" applyAlignment="1" applyProtection="1">
      <alignment horizontal="center" vertical="center"/>
      <protection/>
    </xf>
    <xf numFmtId="0" fontId="23" fillId="0" borderId="50" xfId="0" applyFont="1" applyBorder="1" applyAlignment="1" applyProtection="1">
      <alignment horizontal="center" vertical="center"/>
      <protection/>
    </xf>
    <xf numFmtId="0" fontId="23" fillId="0" borderId="51"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11" fillId="0" borderId="60" xfId="0" applyNumberFormat="1" applyFont="1" applyFill="1" applyBorder="1" applyAlignment="1" applyProtection="1">
      <alignment horizontal="center" vertical="center"/>
      <protection/>
    </xf>
    <xf numFmtId="0" fontId="11" fillId="0" borderId="82" xfId="0" applyNumberFormat="1" applyFont="1" applyFill="1" applyBorder="1" applyAlignment="1" applyProtection="1">
      <alignment horizontal="center" vertical="center"/>
      <protection/>
    </xf>
    <xf numFmtId="0" fontId="11" fillId="0" borderId="79" xfId="0" applyNumberFormat="1" applyFont="1" applyFill="1" applyBorder="1" applyAlignment="1" applyProtection="1">
      <alignment horizontal="center" vertical="center"/>
      <protection/>
    </xf>
    <xf numFmtId="184" fontId="4" fillId="0" borderId="24" xfId="0" applyNumberFormat="1" applyFont="1" applyFill="1" applyBorder="1" applyAlignment="1" applyProtection="1">
      <alignment horizontal="center" vertical="center" wrapText="1"/>
      <protection/>
    </xf>
    <xf numFmtId="184" fontId="4" fillId="0" borderId="13" xfId="0" applyNumberFormat="1" applyFont="1" applyFill="1" applyBorder="1" applyAlignment="1" applyProtection="1">
      <alignment horizontal="center" vertical="center" wrapText="1"/>
      <protection/>
    </xf>
    <xf numFmtId="0" fontId="110" fillId="0" borderId="24" xfId="0" applyFont="1" applyFill="1" applyBorder="1" applyAlignment="1" applyProtection="1">
      <alignment horizontal="center" vertical="center" wrapText="1"/>
      <protection/>
    </xf>
    <xf numFmtId="0" fontId="110" fillId="0" borderId="13" xfId="0" applyFont="1" applyFill="1" applyBorder="1" applyAlignment="1" applyProtection="1">
      <alignment horizontal="center" vertical="center" wrapText="1"/>
      <protection/>
    </xf>
    <xf numFmtId="184" fontId="10" fillId="0" borderId="24" xfId="0" applyNumberFormat="1" applyFont="1" applyFill="1" applyBorder="1" applyAlignment="1" applyProtection="1">
      <alignment vertical="center" wrapText="1"/>
      <protection/>
    </xf>
    <xf numFmtId="184" fontId="10" fillId="0" borderId="13" xfId="0" applyNumberFormat="1" applyFont="1" applyFill="1" applyBorder="1" applyAlignment="1" applyProtection="1">
      <alignment vertical="center" wrapText="1"/>
      <protection/>
    </xf>
    <xf numFmtId="184" fontId="10" fillId="7" borderId="24" xfId="0" applyNumberFormat="1" applyFont="1" applyFill="1" applyBorder="1" applyAlignment="1" applyProtection="1">
      <alignment vertical="center" wrapText="1"/>
      <protection locked="0"/>
    </xf>
    <xf numFmtId="184" fontId="10" fillId="7" borderId="13" xfId="0" applyNumberFormat="1" applyFont="1" applyFill="1" applyBorder="1" applyAlignment="1" applyProtection="1">
      <alignment vertical="center" wrapText="1"/>
      <protection locked="0"/>
    </xf>
    <xf numFmtId="184" fontId="10" fillId="39" borderId="24" xfId="0" applyNumberFormat="1" applyFont="1" applyFill="1" applyBorder="1" applyAlignment="1" applyProtection="1">
      <alignment horizontal="center" vertical="center" wrapText="1"/>
      <protection/>
    </xf>
    <xf numFmtId="184" fontId="10" fillId="39" borderId="13" xfId="0" applyNumberFormat="1" applyFont="1" applyFill="1" applyBorder="1" applyAlignment="1" applyProtection="1">
      <alignment horizontal="center" vertical="center" wrapText="1"/>
      <protection/>
    </xf>
    <xf numFmtId="184" fontId="10" fillId="0" borderId="92" xfId="0" applyNumberFormat="1" applyFont="1" applyFill="1" applyBorder="1" applyAlignment="1" applyProtection="1">
      <alignment horizontal="center" vertical="center" wrapText="1"/>
      <protection/>
    </xf>
    <xf numFmtId="184" fontId="10" fillId="0" borderId="93" xfId="0" applyNumberFormat="1" applyFont="1" applyFill="1" applyBorder="1" applyAlignment="1" applyProtection="1">
      <alignment horizontal="center" vertical="center" wrapText="1"/>
      <protection/>
    </xf>
    <xf numFmtId="184" fontId="10" fillId="0" borderId="24" xfId="0" applyNumberFormat="1" applyFont="1" applyFill="1" applyBorder="1" applyAlignment="1" applyProtection="1">
      <alignment horizontal="center" vertical="center" wrapText="1"/>
      <protection/>
    </xf>
    <xf numFmtId="184" fontId="10" fillId="0" borderId="13" xfId="0" applyNumberFormat="1" applyFont="1" applyFill="1" applyBorder="1" applyAlignment="1" applyProtection="1">
      <alignment horizontal="center" vertical="center" wrapText="1"/>
      <protection/>
    </xf>
    <xf numFmtId="0" fontId="11" fillId="0" borderId="94" xfId="0" applyFont="1" applyFill="1" applyBorder="1" applyAlignment="1" applyProtection="1">
      <alignment horizontal="center" vertical="center"/>
      <protection/>
    </xf>
    <xf numFmtId="0" fontId="11" fillId="0" borderId="95" xfId="0" applyFont="1" applyFill="1" applyBorder="1" applyAlignment="1" applyProtection="1">
      <alignment horizontal="center" vertical="center"/>
      <protection/>
    </xf>
    <xf numFmtId="0" fontId="11" fillId="0" borderId="96" xfId="0" applyFont="1" applyFill="1" applyBorder="1" applyAlignment="1" applyProtection="1">
      <alignment horizontal="center" vertical="center"/>
      <protection/>
    </xf>
    <xf numFmtId="0" fontId="113" fillId="0" borderId="24" xfId="0" applyFont="1" applyBorder="1" applyAlignment="1" applyProtection="1">
      <alignment horizontal="center" vertical="center" wrapText="1"/>
      <protection/>
    </xf>
    <xf numFmtId="0" fontId="113" fillId="0" borderId="13" xfId="0" applyFont="1" applyBorder="1" applyAlignment="1" applyProtection="1">
      <alignment horizontal="center" vertical="center" wrapText="1"/>
      <protection/>
    </xf>
    <xf numFmtId="192" fontId="23" fillId="0" borderId="46" xfId="0" applyNumberFormat="1" applyFont="1" applyFill="1" applyBorder="1" applyAlignment="1" applyProtection="1">
      <alignment horizontal="right" vertical="center"/>
      <protection/>
    </xf>
    <xf numFmtId="0" fontId="110" fillId="40" borderId="24" xfId="0" applyFont="1" applyFill="1" applyBorder="1" applyAlignment="1" applyProtection="1">
      <alignment horizontal="center" vertical="center" wrapText="1"/>
      <protection/>
    </xf>
    <xf numFmtId="0" fontId="110" fillId="40" borderId="13" xfId="0" applyFont="1" applyFill="1" applyBorder="1" applyAlignment="1" applyProtection="1">
      <alignment horizontal="center" vertical="center" wrapText="1"/>
      <protection/>
    </xf>
    <xf numFmtId="0" fontId="110" fillId="0" borderId="52" xfId="0" applyFont="1" applyBorder="1" applyAlignment="1" applyProtection="1">
      <alignment horizontal="center" vertical="center" wrapText="1"/>
      <protection/>
    </xf>
    <xf numFmtId="0" fontId="110" fillId="0" borderId="47" xfId="0" applyFont="1" applyBorder="1" applyAlignment="1" applyProtection="1">
      <alignment horizontal="center" vertical="center" wrapText="1"/>
      <protection/>
    </xf>
    <xf numFmtId="0" fontId="110" fillId="0" borderId="50" xfId="0" applyFont="1" applyBorder="1" applyAlignment="1" applyProtection="1">
      <alignment horizontal="center" vertical="center" wrapText="1"/>
      <protection/>
    </xf>
    <xf numFmtId="0" fontId="110" fillId="0" borderId="12" xfId="0" applyFont="1" applyBorder="1" applyAlignment="1" applyProtection="1">
      <alignment horizontal="center" vertical="center" wrapText="1"/>
      <protection/>
    </xf>
    <xf numFmtId="0" fontId="28" fillId="0" borderId="0" xfId="0" applyFont="1" applyAlignment="1" applyProtection="1">
      <alignment horizontal="left" vertical="top" wrapText="1"/>
      <protection/>
    </xf>
    <xf numFmtId="0" fontId="10" fillId="0" borderId="51" xfId="0" applyFont="1" applyBorder="1" applyAlignment="1" applyProtection="1">
      <alignment horizontal="left" vertical="center"/>
      <protection/>
    </xf>
    <xf numFmtId="0" fontId="23" fillId="0" borderId="24"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11" fillId="0" borderId="61" xfId="0" applyFont="1" applyFill="1" applyBorder="1" applyAlignment="1" applyProtection="1">
      <alignment vertical="center" wrapText="1"/>
      <protection/>
    </xf>
    <xf numFmtId="0" fontId="11" fillId="0" borderId="66" xfId="0" applyFont="1" applyFill="1" applyBorder="1" applyAlignment="1" applyProtection="1">
      <alignment vertical="center" wrapText="1"/>
      <protection/>
    </xf>
    <xf numFmtId="0" fontId="110" fillId="39" borderId="24" xfId="0" applyFont="1" applyFill="1" applyBorder="1" applyAlignment="1" applyProtection="1">
      <alignment horizontal="center" vertical="center" wrapText="1"/>
      <protection/>
    </xf>
    <xf numFmtId="0" fontId="110" fillId="39" borderId="13" xfId="0" applyFont="1" applyFill="1" applyBorder="1" applyAlignment="1" applyProtection="1">
      <alignment horizontal="center" vertical="center" wrapText="1"/>
      <protection/>
    </xf>
    <xf numFmtId="0" fontId="11" fillId="0" borderId="59" xfId="0" applyFont="1" applyFill="1" applyBorder="1" applyAlignment="1" applyProtection="1">
      <alignment vertical="center" wrapText="1"/>
      <protection/>
    </xf>
    <xf numFmtId="0" fontId="11" fillId="0" borderId="63" xfId="0" applyFont="1" applyFill="1" applyBorder="1" applyAlignment="1" applyProtection="1">
      <alignment vertical="center" wrapText="1"/>
      <protection/>
    </xf>
    <xf numFmtId="0" fontId="125" fillId="0" borderId="51" xfId="0" applyFont="1" applyBorder="1" applyAlignment="1" applyProtection="1">
      <alignment horizontal="left" vertical="center" wrapText="1"/>
      <protection/>
    </xf>
    <xf numFmtId="0" fontId="23" fillId="0" borderId="0" xfId="0" applyFont="1" applyAlignment="1" applyProtection="1">
      <alignment vertical="center"/>
      <protection/>
    </xf>
    <xf numFmtId="184" fontId="10" fillId="39" borderId="24" xfId="0" applyNumberFormat="1" applyFont="1" applyFill="1" applyBorder="1" applyAlignment="1" applyProtection="1">
      <alignment vertical="center" wrapText="1"/>
      <protection/>
    </xf>
    <xf numFmtId="184" fontId="10" fillId="39" borderId="13" xfId="0" applyNumberFormat="1" applyFont="1" applyFill="1" applyBorder="1" applyAlignment="1" applyProtection="1">
      <alignment vertical="center" wrapText="1"/>
      <protection/>
    </xf>
    <xf numFmtId="0" fontId="23" fillId="0" borderId="52" xfId="0" applyFont="1" applyFill="1" applyBorder="1" applyAlignment="1" applyProtection="1">
      <alignment horizontal="center" vertical="center" wrapText="1"/>
      <protection/>
    </xf>
    <xf numFmtId="0" fontId="23" fillId="0" borderId="47" xfId="0" applyFont="1" applyFill="1" applyBorder="1" applyAlignment="1" applyProtection="1">
      <alignment horizontal="center" vertical="center" wrapText="1"/>
      <protection/>
    </xf>
    <xf numFmtId="0" fontId="93" fillId="0" borderId="97" xfId="0" applyFont="1" applyBorder="1" applyAlignment="1" applyProtection="1">
      <alignment horizontal="center" vertical="top" wrapText="1"/>
      <protection locked="0"/>
    </xf>
    <xf numFmtId="0" fontId="93" fillId="0" borderId="98" xfId="0" applyFont="1" applyBorder="1" applyAlignment="1" applyProtection="1">
      <alignment horizontal="center" vertical="top" wrapText="1"/>
      <protection locked="0"/>
    </xf>
    <xf numFmtId="0" fontId="93" fillId="0" borderId="10" xfId="0" applyFont="1" applyBorder="1" applyAlignment="1" applyProtection="1">
      <alignment horizontal="center" vertical="center" wrapText="1"/>
      <protection locked="0"/>
    </xf>
    <xf numFmtId="0" fontId="93" fillId="0" borderId="28" xfId="0" applyFont="1" applyBorder="1" applyAlignment="1" applyProtection="1">
      <alignment horizontal="center" vertical="center" wrapText="1"/>
      <protection locked="0"/>
    </xf>
    <xf numFmtId="0" fontId="93" fillId="0" borderId="99" xfId="0" applyFont="1" applyFill="1" applyBorder="1" applyAlignment="1" applyProtection="1">
      <alignment horizontal="center" vertical="center" wrapText="1"/>
      <protection locked="0"/>
    </xf>
    <xf numFmtId="0" fontId="93" fillId="0" borderId="33" xfId="0" applyFont="1" applyFill="1" applyBorder="1" applyAlignment="1" applyProtection="1">
      <alignment horizontal="center" vertical="center" wrapText="1"/>
      <protection locked="0"/>
    </xf>
    <xf numFmtId="14" fontId="94" fillId="0" borderId="26" xfId="0" applyNumberFormat="1" applyFont="1" applyFill="1" applyBorder="1" applyAlignment="1" applyProtection="1">
      <alignment horizontal="center" vertical="center" wrapText="1"/>
      <protection locked="0"/>
    </xf>
    <xf numFmtId="0" fontId="94" fillId="0" borderId="26" xfId="0" applyFont="1" applyFill="1" applyBorder="1" applyAlignment="1" applyProtection="1">
      <alignment horizontal="center" vertical="center" wrapText="1"/>
      <protection locked="0"/>
    </xf>
    <xf numFmtId="0" fontId="95" fillId="33" borderId="100" xfId="0" applyFont="1" applyFill="1" applyBorder="1" applyAlignment="1" applyProtection="1">
      <alignment horizontal="center" vertical="center" wrapText="1"/>
      <protection locked="0"/>
    </xf>
    <xf numFmtId="0" fontId="95" fillId="33" borderId="101" xfId="0" applyFont="1" applyFill="1" applyBorder="1" applyAlignment="1" applyProtection="1">
      <alignment horizontal="center" vertical="center" wrapText="1"/>
      <protection locked="0"/>
    </xf>
    <xf numFmtId="0" fontId="93" fillId="0" borderId="0" xfId="0" applyFont="1" applyAlignment="1" applyProtection="1">
      <alignment horizontal="left" vertical="center"/>
      <protection locked="0"/>
    </xf>
    <xf numFmtId="0" fontId="93" fillId="0" borderId="102" xfId="0" applyFont="1" applyBorder="1" applyAlignment="1" applyProtection="1">
      <alignment horizontal="center" vertical="center" wrapText="1"/>
      <protection locked="0"/>
    </xf>
    <xf numFmtId="0" fontId="93" fillId="0" borderId="103" xfId="0" applyFont="1" applyBorder="1" applyAlignment="1" applyProtection="1">
      <alignment horizontal="center" vertical="center" wrapText="1"/>
      <protection locked="0"/>
    </xf>
    <xf numFmtId="14" fontId="94" fillId="0" borderId="28" xfId="0" applyNumberFormat="1" applyFont="1" applyFill="1" applyBorder="1" applyAlignment="1" applyProtection="1">
      <alignment horizontal="center" vertical="center" wrapText="1"/>
      <protection locked="0"/>
    </xf>
    <xf numFmtId="0" fontId="94" fillId="0" borderId="28" xfId="0" applyFont="1" applyFill="1" applyBorder="1" applyAlignment="1" applyProtection="1">
      <alignment horizontal="center" vertical="center" wrapText="1"/>
      <protection locked="0"/>
    </xf>
    <xf numFmtId="0" fontId="93" fillId="0" borderId="99" xfId="0" applyFont="1" applyBorder="1" applyAlignment="1" applyProtection="1">
      <alignment horizontal="center" vertical="center" wrapText="1"/>
      <protection locked="0"/>
    </xf>
    <xf numFmtId="0" fontId="93" fillId="0" borderId="33" xfId="0" applyFont="1" applyBorder="1" applyAlignment="1" applyProtection="1">
      <alignment horizontal="center" vertical="center" wrapText="1"/>
      <protection locked="0"/>
    </xf>
    <xf numFmtId="14" fontId="94" fillId="0" borderId="25" xfId="0" applyNumberFormat="1" applyFont="1" applyFill="1" applyBorder="1" applyAlignment="1" applyProtection="1">
      <alignment horizontal="center" vertical="center" wrapText="1"/>
      <protection locked="0"/>
    </xf>
    <xf numFmtId="0" fontId="94" fillId="0" borderId="25" xfId="0" applyFont="1" applyFill="1" applyBorder="1" applyAlignment="1" applyProtection="1">
      <alignment horizontal="center" vertical="center" wrapText="1"/>
      <protection locked="0"/>
    </xf>
    <xf numFmtId="14" fontId="94" fillId="0" borderId="22" xfId="0" applyNumberFormat="1" applyFont="1" applyFill="1" applyBorder="1" applyAlignment="1" applyProtection="1">
      <alignment horizontal="center" vertical="center" wrapText="1"/>
      <protection locked="0"/>
    </xf>
    <xf numFmtId="0" fontId="94" fillId="0" borderId="22" xfId="0" applyFont="1" applyFill="1" applyBorder="1" applyAlignment="1" applyProtection="1">
      <alignment horizontal="center" vertical="center" wrapText="1"/>
      <protection locked="0"/>
    </xf>
    <xf numFmtId="0" fontId="93" fillId="0" borderId="29" xfId="0" applyFont="1" applyBorder="1" applyAlignment="1" applyProtection="1">
      <alignment horizontal="center" vertical="top" wrapText="1"/>
      <protection locked="0"/>
    </xf>
    <xf numFmtId="0" fontId="95" fillId="33" borderId="104" xfId="0" applyFont="1" applyFill="1" applyBorder="1" applyAlignment="1" applyProtection="1">
      <alignment horizontal="center" vertical="center" wrapText="1"/>
      <protection locked="0"/>
    </xf>
    <xf numFmtId="0" fontId="95" fillId="33" borderId="16" xfId="0" applyFont="1" applyFill="1" applyBorder="1" applyAlignment="1" applyProtection="1">
      <alignment horizontal="center" vertical="center" wrapText="1"/>
      <protection locked="0"/>
    </xf>
    <xf numFmtId="0" fontId="94" fillId="0" borderId="50" xfId="0" applyFont="1" applyFill="1" applyBorder="1" applyAlignment="1" applyProtection="1">
      <alignment horizontal="center" vertical="center" wrapText="1"/>
      <protection locked="0"/>
    </xf>
    <xf numFmtId="14" fontId="94" fillId="0" borderId="27" xfId="0" applyNumberFormat="1" applyFont="1" applyFill="1" applyBorder="1" applyAlignment="1" applyProtection="1">
      <alignment horizontal="center" vertical="center" wrapText="1"/>
      <protection locked="0"/>
    </xf>
    <xf numFmtId="0" fontId="94" fillId="0" borderId="27" xfId="0"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19</xdr:row>
      <xdr:rowOff>123825</xdr:rowOff>
    </xdr:from>
    <xdr:ext cx="571500" cy="238125"/>
    <xdr:sp>
      <xdr:nvSpPr>
        <xdr:cNvPr id="1" name="テキスト ボックス 1"/>
        <xdr:cNvSpPr txBox="1">
          <a:spLocks noChangeArrowheads="1"/>
        </xdr:cNvSpPr>
      </xdr:nvSpPr>
      <xdr:spPr>
        <a:xfrm>
          <a:off x="2219325" y="3714750"/>
          <a:ext cx="5715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小規模型</a:t>
          </a:r>
        </a:p>
      </xdr:txBody>
    </xdr:sp>
    <xdr:clientData/>
  </xdr:oneCellAnchor>
  <xdr:oneCellAnchor>
    <xdr:from>
      <xdr:col>5</xdr:col>
      <xdr:colOff>876300</xdr:colOff>
      <xdr:row>19</xdr:row>
      <xdr:rowOff>123825</xdr:rowOff>
    </xdr:from>
    <xdr:ext cx="1095375" cy="238125"/>
    <xdr:sp>
      <xdr:nvSpPr>
        <xdr:cNvPr id="2" name="テキスト ボックス 12"/>
        <xdr:cNvSpPr txBox="1">
          <a:spLocks noChangeArrowheads="1"/>
        </xdr:cNvSpPr>
      </xdr:nvSpPr>
      <xdr:spPr>
        <a:xfrm>
          <a:off x="4019550" y="3714750"/>
          <a:ext cx="1095375" cy="238125"/>
        </a:xfrm>
        <a:prstGeom prst="rect">
          <a:avLst/>
        </a:prstGeom>
        <a:noFill/>
        <a:ln w="9525" cmpd="sng">
          <a:noFill/>
        </a:ln>
      </xdr:spPr>
      <xdr:txBody>
        <a:bodyPr vertOverflow="clip" wrap="square"/>
        <a:p>
          <a:pPr algn="l">
            <a:defRPr/>
          </a:pPr>
          <a:r>
            <a:rPr lang="en-US" cap="none" sz="900" b="0" i="0" u="none" baseline="0">
              <a:solidFill>
                <a:srgbClr val="000000"/>
              </a:solidFill>
            </a:rPr>
            <a:t>高度生産性向上型</a:t>
          </a:r>
        </a:p>
      </xdr:txBody>
    </xdr:sp>
    <xdr:clientData/>
  </xdr:oneCellAnchor>
  <xdr:oneCellAnchor>
    <xdr:from>
      <xdr:col>2</xdr:col>
      <xdr:colOff>0</xdr:colOff>
      <xdr:row>18</xdr:row>
      <xdr:rowOff>66675</xdr:rowOff>
    </xdr:from>
    <xdr:ext cx="771525" cy="238125"/>
    <xdr:sp>
      <xdr:nvSpPr>
        <xdr:cNvPr id="3" name="テキスト ボックス 16"/>
        <xdr:cNvSpPr txBox="1">
          <a:spLocks noChangeArrowheads="1"/>
        </xdr:cNvSpPr>
      </xdr:nvSpPr>
      <xdr:spPr>
        <a:xfrm>
          <a:off x="457200" y="3467100"/>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19</xdr:row>
      <xdr:rowOff>114300</xdr:rowOff>
    </xdr:from>
    <xdr:ext cx="466725" cy="238125"/>
    <xdr:sp>
      <xdr:nvSpPr>
        <xdr:cNvPr id="4" name="テキスト ボックス 18"/>
        <xdr:cNvSpPr txBox="1">
          <a:spLocks noChangeArrowheads="1"/>
        </xdr:cNvSpPr>
      </xdr:nvSpPr>
      <xdr:spPr>
        <a:xfrm>
          <a:off x="447675" y="37052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2</xdr:col>
      <xdr:colOff>0</xdr:colOff>
      <xdr:row>12</xdr:row>
      <xdr:rowOff>76200</xdr:rowOff>
    </xdr:from>
    <xdr:ext cx="771525" cy="238125"/>
    <xdr:sp>
      <xdr:nvSpPr>
        <xdr:cNvPr id="5" name="テキスト ボックス 14"/>
        <xdr:cNvSpPr txBox="1">
          <a:spLocks noChangeArrowheads="1"/>
        </xdr:cNvSpPr>
      </xdr:nvSpPr>
      <xdr:spPr>
        <a:xfrm>
          <a:off x="457200" y="2333625"/>
          <a:ext cx="771525"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事業類型型</a:t>
          </a:r>
          <a:r>
            <a:rPr lang="en-US" cap="none" sz="900" b="0" i="0" u="none" baseline="0">
              <a:solidFill>
                <a:srgbClr val="000000"/>
              </a:solidFill>
              <a:latin typeface="Calibri"/>
              <a:ea typeface="Calibri"/>
              <a:cs typeface="Calibri"/>
            </a:rPr>
            <a:t>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297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7732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7732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7732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7732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7732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7732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40" t="s">
        <v>609</v>
      </c>
      <c r="D1" s="60"/>
      <c r="E1" s="60"/>
    </row>
    <row r="2" spans="2:5" ht="19.5" customHeight="1">
      <c r="B2" s="140"/>
      <c r="D2" s="60"/>
      <c r="E2" s="60"/>
    </row>
    <row r="3" spans="2:5" ht="19.5" customHeight="1">
      <c r="B3" t="s">
        <v>614</v>
      </c>
      <c r="C3" s="60"/>
      <c r="D3" s="60"/>
      <c r="E3" s="60"/>
    </row>
    <row r="4" spans="2:3" ht="19.5" customHeight="1" thickBot="1">
      <c r="B4" s="141" t="s">
        <v>37</v>
      </c>
      <c r="C4" s="141" t="s">
        <v>610</v>
      </c>
    </row>
    <row r="5" spans="2:3" ht="19.5" customHeight="1" thickTop="1">
      <c r="B5" s="142">
        <v>1</v>
      </c>
      <c r="C5" s="143" t="s">
        <v>609</v>
      </c>
    </row>
    <row r="6" spans="2:3" ht="19.5" customHeight="1">
      <c r="B6" s="144">
        <v>2</v>
      </c>
      <c r="C6" s="145" t="s">
        <v>667</v>
      </c>
    </row>
    <row r="7" spans="2:3" ht="19.5" customHeight="1">
      <c r="B7" s="144">
        <v>3</v>
      </c>
      <c r="C7" s="145" t="s">
        <v>704</v>
      </c>
    </row>
    <row r="8" spans="2:3" ht="19.5" customHeight="1">
      <c r="B8" s="214">
        <v>4</v>
      </c>
      <c r="C8" s="145" t="s">
        <v>611</v>
      </c>
    </row>
    <row r="9" spans="2:3" ht="19.5" customHeight="1">
      <c r="B9" s="214">
        <v>5</v>
      </c>
      <c r="C9" s="145" t="s">
        <v>602</v>
      </c>
    </row>
    <row r="10" spans="2:3" ht="19.5" customHeight="1">
      <c r="B10" s="214">
        <v>6</v>
      </c>
      <c r="C10" s="145" t="s">
        <v>573</v>
      </c>
    </row>
    <row r="11" spans="2:3" ht="19.5" customHeight="1">
      <c r="B11" s="214">
        <v>7</v>
      </c>
      <c r="C11" s="145" t="s">
        <v>703</v>
      </c>
    </row>
    <row r="12" spans="2:3" ht="19.5" customHeight="1">
      <c r="B12" s="214">
        <v>8</v>
      </c>
      <c r="C12" s="145" t="s">
        <v>33</v>
      </c>
    </row>
    <row r="13" spans="2:3" ht="19.5" customHeight="1">
      <c r="B13" s="214">
        <v>9</v>
      </c>
      <c r="C13" s="145" t="s">
        <v>697</v>
      </c>
    </row>
    <row r="14" spans="2:3" ht="19.5" customHeight="1">
      <c r="B14" s="214">
        <v>10</v>
      </c>
      <c r="C14" s="145" t="s">
        <v>705</v>
      </c>
    </row>
    <row r="15" spans="2:3" ht="19.5" customHeight="1">
      <c r="B15" s="214">
        <v>11</v>
      </c>
      <c r="C15" s="145" t="s">
        <v>706</v>
      </c>
    </row>
    <row r="16" spans="2:3" ht="19.5" customHeight="1">
      <c r="B16" s="214">
        <v>12</v>
      </c>
      <c r="C16" s="145" t="s">
        <v>36</v>
      </c>
    </row>
    <row r="17" spans="2:3" ht="19.5" customHeight="1">
      <c r="B17" s="214">
        <v>13</v>
      </c>
      <c r="C17" s="145" t="s">
        <v>574</v>
      </c>
    </row>
    <row r="18" spans="2:3" ht="19.5" customHeight="1">
      <c r="B18" s="214">
        <v>14</v>
      </c>
      <c r="C18" s="145" t="s">
        <v>707</v>
      </c>
    </row>
  </sheetData>
  <sheetProtection sheet="1" objects="1" scenarios="1"/>
  <hyperlinks>
    <hyperlink ref="C6" location="'基本情報入力（使い方）'!A1" display="基本情報入力（使い方）"/>
    <hyperlink ref="C7" location="経費明細表!A1" display="経費明細表"/>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原材料費!A1" display="原材料費"/>
    <hyperlink ref="C12" location="技術導入費!A1" display="技術導入費"/>
    <hyperlink ref="C13" location="外注加工費!A1" display="外注加工費（小規模型のみ）"/>
    <hyperlink ref="C14" location="委託費!A1" display="委託費"/>
    <hyperlink ref="C15" location="知的財産権等関連経費!A1" display="知的財産権等関連経費"/>
    <hyperlink ref="C16" location="運搬費!A1" display="運搬費"/>
    <hyperlink ref="C17" location="専門家経費!A1" display="専門家経費"/>
    <hyperlink ref="C18"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5" customWidth="1"/>
    <col min="6" max="6" width="16.140625" style="80" customWidth="1"/>
    <col min="7" max="7" width="9.140625" style="1" customWidth="1"/>
    <col min="8" max="8" width="6.421875" style="1" customWidth="1"/>
    <col min="9" max="9" width="11.57421875" style="1" customWidth="1"/>
    <col min="10" max="10" width="11.57421875" style="101" customWidth="1"/>
    <col min="11" max="13" width="15.140625" style="1" customWidth="1"/>
    <col min="14" max="14" width="3.8515625" style="5" customWidth="1"/>
    <col min="15" max="15" width="5.28125" style="5" customWidth="1"/>
    <col min="16" max="16384" width="9.00390625" style="1" customWidth="1"/>
  </cols>
  <sheetData>
    <row r="1" spans="1:18" ht="13.5">
      <c r="A1" s="5"/>
      <c r="H1" s="5"/>
      <c r="J1" s="1"/>
      <c r="P1" s="5"/>
      <c r="Q1" s="86"/>
      <c r="R1" s="86"/>
    </row>
    <row r="2" spans="1:18" ht="13.5">
      <c r="A2" s="5"/>
      <c r="B2" s="258" t="s">
        <v>613</v>
      </c>
      <c r="H2" s="5"/>
      <c r="J2" s="1"/>
      <c r="P2" s="5"/>
      <c r="Q2" s="86"/>
      <c r="R2" s="86"/>
    </row>
    <row r="3" spans="1:18" ht="13.5">
      <c r="A3" s="5"/>
      <c r="H3" s="5"/>
      <c r="J3" s="1"/>
      <c r="P3" s="5"/>
      <c r="Q3" s="86"/>
      <c r="R3" s="86"/>
    </row>
    <row r="4" spans="1:6" ht="13.5" customHeight="1">
      <c r="A4" s="587" t="s">
        <v>604</v>
      </c>
      <c r="B4" s="587"/>
      <c r="C4" s="587"/>
      <c r="D4" s="587"/>
      <c r="E4" s="587"/>
      <c r="F4" s="5"/>
    </row>
    <row r="5" spans="1:14" ht="13.5" customHeight="1">
      <c r="A5" s="11"/>
      <c r="B5" s="11"/>
      <c r="C5" s="11"/>
      <c r="D5" s="11"/>
      <c r="E5" s="111"/>
      <c r="F5" s="5"/>
      <c r="N5" s="11"/>
    </row>
    <row r="6" spans="1:14" ht="13.5" customHeight="1">
      <c r="A6" s="11"/>
      <c r="B6" s="250" t="s">
        <v>715</v>
      </c>
      <c r="C6" s="251"/>
      <c r="D6" s="252"/>
      <c r="E6" s="253"/>
      <c r="F6" s="88" t="s">
        <v>17</v>
      </c>
      <c r="N6" s="11"/>
    </row>
    <row r="7" spans="1:14" ht="13.5" customHeight="1">
      <c r="A7" s="11"/>
      <c r="B7" s="11"/>
      <c r="C7" s="11"/>
      <c r="D7" s="11"/>
      <c r="E7" s="111"/>
      <c r="F7" s="136" t="s">
        <v>35</v>
      </c>
      <c r="N7" s="11"/>
    </row>
    <row r="8" spans="1:15" ht="13.5" customHeight="1">
      <c r="A8" s="11"/>
      <c r="B8" s="11"/>
      <c r="C8" s="11"/>
      <c r="D8" s="11"/>
      <c r="E8" s="111"/>
      <c r="F8" s="5"/>
      <c r="M8" s="1" t="s">
        <v>21</v>
      </c>
      <c r="N8" s="11"/>
      <c r="O8" s="89"/>
    </row>
    <row r="9" spans="1:14" ht="13.5" customHeight="1">
      <c r="A9" s="90"/>
      <c r="F9" s="5"/>
      <c r="K9" s="2" t="s">
        <v>38</v>
      </c>
      <c r="L9" s="8" t="str">
        <f>IF('基本情報入力（使い方）'!$C$10="","",'基本情報入力（使い方）'!$C$10)</f>
        <v>Ｂ金属株式会社</v>
      </c>
      <c r="N9" s="11"/>
    </row>
    <row r="10" spans="1:14" ht="13.5" customHeight="1" thickBot="1">
      <c r="A10" s="90"/>
      <c r="F10" s="5"/>
      <c r="N10" s="11"/>
    </row>
    <row r="11" spans="1:15" ht="27" customHeight="1">
      <c r="A11" s="588" t="s">
        <v>2</v>
      </c>
      <c r="B11" s="577" t="s">
        <v>3</v>
      </c>
      <c r="C11" s="577"/>
      <c r="D11" s="578"/>
      <c r="E11" s="112" t="s">
        <v>4</v>
      </c>
      <c r="F11" s="3" t="s">
        <v>5</v>
      </c>
      <c r="G11" s="3" t="s">
        <v>6</v>
      </c>
      <c r="H11" s="3" t="s">
        <v>7</v>
      </c>
      <c r="I11" s="3" t="s">
        <v>1</v>
      </c>
      <c r="J11" s="102" t="s">
        <v>1</v>
      </c>
      <c r="K11" s="598" t="s">
        <v>8</v>
      </c>
      <c r="L11" s="578"/>
      <c r="M11" s="83" t="s">
        <v>9</v>
      </c>
      <c r="N11" s="579" t="s">
        <v>2</v>
      </c>
      <c r="O11" s="592" t="s">
        <v>46</v>
      </c>
    </row>
    <row r="12" spans="1:15" ht="42" customHeight="1" thickBot="1">
      <c r="A12" s="589"/>
      <c r="B12" s="92" t="s">
        <v>10</v>
      </c>
      <c r="C12" s="92" t="s">
        <v>11</v>
      </c>
      <c r="D12" s="93" t="s">
        <v>12</v>
      </c>
      <c r="E12" s="113"/>
      <c r="F12" s="95"/>
      <c r="G12" s="81"/>
      <c r="H12" s="81"/>
      <c r="I12" s="81" t="s">
        <v>13</v>
      </c>
      <c r="J12" s="103" t="s">
        <v>26</v>
      </c>
      <c r="K12" s="81" t="s">
        <v>14</v>
      </c>
      <c r="L12" s="4" t="s">
        <v>24</v>
      </c>
      <c r="M12" s="4" t="s">
        <v>15</v>
      </c>
      <c r="N12" s="580"/>
      <c r="O12" s="593"/>
    </row>
    <row r="13" spans="1:15" ht="30.75" customHeight="1">
      <c r="A13" s="16">
        <v>1</v>
      </c>
      <c r="B13" s="583"/>
      <c r="C13" s="584"/>
      <c r="D13" s="584"/>
      <c r="E13" s="73" t="s">
        <v>641</v>
      </c>
      <c r="F13" s="74" t="s">
        <v>642</v>
      </c>
      <c r="G13" s="175">
        <v>5</v>
      </c>
      <c r="H13" s="168" t="s">
        <v>643</v>
      </c>
      <c r="I13" s="150">
        <f>IF(J13="","",ROUNDDOWN(J13*(1+O13/100),0))</f>
        <v>108000</v>
      </c>
      <c r="J13" s="152">
        <v>100000</v>
      </c>
      <c r="K13" s="150">
        <f>IF(L13="","",ROUNDDOWN(L13*(1+O13/100),0))</f>
        <v>540000</v>
      </c>
      <c r="L13" s="150">
        <f>IF(OR(J13="",G13=""),"",ROUNDDOWN(J13*G13,0))</f>
        <v>500000</v>
      </c>
      <c r="M13" s="151">
        <f aca="true" t="shared" si="0" ref="M13:M32">L13</f>
        <v>500000</v>
      </c>
      <c r="N13" s="12">
        <v>1</v>
      </c>
      <c r="O13" s="114">
        <v>8</v>
      </c>
    </row>
    <row r="14" spans="1:15" ht="30.75" customHeight="1">
      <c r="A14" s="17">
        <v>2</v>
      </c>
      <c r="B14" s="583"/>
      <c r="C14" s="584"/>
      <c r="D14" s="584"/>
      <c r="E14" s="75"/>
      <c r="F14" s="74"/>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6">
        <v>3</v>
      </c>
      <c r="B15" s="583"/>
      <c r="C15" s="584"/>
      <c r="D15" s="584"/>
      <c r="E15" s="75"/>
      <c r="F15" s="75"/>
      <c r="G15" s="175"/>
      <c r="H15" s="168"/>
      <c r="I15" s="150">
        <f t="shared" si="1"/>
      </c>
      <c r="J15" s="152"/>
      <c r="K15" s="150">
        <f t="shared" si="2"/>
      </c>
      <c r="L15" s="150">
        <f t="shared" si="3"/>
      </c>
      <c r="M15" s="151">
        <f t="shared" si="0"/>
      </c>
      <c r="N15" s="12">
        <v>3</v>
      </c>
      <c r="O15" s="114">
        <v>8</v>
      </c>
    </row>
    <row r="16" spans="1:15" s="10" customFormat="1" ht="30.75" customHeight="1">
      <c r="A16" s="17">
        <v>4</v>
      </c>
      <c r="B16" s="583"/>
      <c r="C16" s="584"/>
      <c r="D16" s="584"/>
      <c r="E16" s="75"/>
      <c r="F16" s="75"/>
      <c r="G16" s="175"/>
      <c r="H16" s="168"/>
      <c r="I16" s="150">
        <f t="shared" si="1"/>
      </c>
      <c r="J16" s="152"/>
      <c r="K16" s="150">
        <f t="shared" si="2"/>
      </c>
      <c r="L16" s="150">
        <f t="shared" si="3"/>
      </c>
      <c r="M16" s="151">
        <f t="shared" si="0"/>
      </c>
      <c r="N16" s="18">
        <v>4</v>
      </c>
      <c r="O16" s="114">
        <v>8</v>
      </c>
    </row>
    <row r="17" spans="1:15" s="10" customFormat="1" ht="30.75" customHeight="1">
      <c r="A17" s="16">
        <v>5</v>
      </c>
      <c r="B17" s="583"/>
      <c r="C17" s="584"/>
      <c r="D17" s="584"/>
      <c r="E17" s="75"/>
      <c r="F17" s="75"/>
      <c r="G17" s="175"/>
      <c r="H17" s="168"/>
      <c r="I17" s="150">
        <f t="shared" si="1"/>
      </c>
      <c r="J17" s="152"/>
      <c r="K17" s="150">
        <f t="shared" si="2"/>
      </c>
      <c r="L17" s="150">
        <f t="shared" si="3"/>
      </c>
      <c r="M17" s="151">
        <f t="shared" si="0"/>
      </c>
      <c r="N17" s="19">
        <v>5</v>
      </c>
      <c r="O17" s="114">
        <v>8</v>
      </c>
    </row>
    <row r="18" spans="1:15" ht="30.75" customHeight="1">
      <c r="A18" s="17">
        <v>6</v>
      </c>
      <c r="B18" s="583"/>
      <c r="C18" s="584"/>
      <c r="D18" s="584"/>
      <c r="E18" s="75"/>
      <c r="F18" s="75"/>
      <c r="G18" s="175"/>
      <c r="H18" s="168"/>
      <c r="I18" s="150">
        <f t="shared" si="1"/>
      </c>
      <c r="J18" s="152"/>
      <c r="K18" s="150">
        <f t="shared" si="2"/>
      </c>
      <c r="L18" s="150">
        <f t="shared" si="3"/>
      </c>
      <c r="M18" s="151">
        <f t="shared" si="0"/>
      </c>
      <c r="N18" s="13">
        <v>6</v>
      </c>
      <c r="O18" s="114">
        <v>8</v>
      </c>
    </row>
    <row r="19" spans="1:15" ht="30.75" customHeight="1">
      <c r="A19" s="16">
        <v>7</v>
      </c>
      <c r="B19" s="583"/>
      <c r="C19" s="584"/>
      <c r="D19" s="584"/>
      <c r="E19" s="75"/>
      <c r="F19" s="98"/>
      <c r="G19" s="175"/>
      <c r="H19" s="168"/>
      <c r="I19" s="150">
        <f t="shared" si="1"/>
      </c>
      <c r="J19" s="152"/>
      <c r="K19" s="150">
        <f t="shared" si="2"/>
      </c>
      <c r="L19" s="150">
        <f t="shared" si="3"/>
      </c>
      <c r="M19" s="151">
        <f t="shared" si="0"/>
      </c>
      <c r="N19" s="12">
        <v>7</v>
      </c>
      <c r="O19" s="114">
        <v>8</v>
      </c>
    </row>
    <row r="20" spans="1:15" ht="30.75" customHeight="1">
      <c r="A20" s="17">
        <v>8</v>
      </c>
      <c r="B20" s="583"/>
      <c r="C20" s="584"/>
      <c r="D20" s="584"/>
      <c r="E20" s="75"/>
      <c r="F20" s="75"/>
      <c r="G20" s="175"/>
      <c r="H20" s="168"/>
      <c r="I20" s="150">
        <f t="shared" si="1"/>
      </c>
      <c r="J20" s="152"/>
      <c r="K20" s="150">
        <f t="shared" si="2"/>
      </c>
      <c r="L20" s="150">
        <f t="shared" si="3"/>
      </c>
      <c r="M20" s="151">
        <f t="shared" si="0"/>
      </c>
      <c r="N20" s="13">
        <v>8</v>
      </c>
      <c r="O20" s="114">
        <v>8</v>
      </c>
    </row>
    <row r="21" spans="1:15" ht="30.75" customHeight="1">
      <c r="A21" s="16">
        <v>9</v>
      </c>
      <c r="B21" s="583"/>
      <c r="C21" s="584"/>
      <c r="D21" s="584"/>
      <c r="E21" s="75"/>
      <c r="F21" s="75"/>
      <c r="G21" s="175"/>
      <c r="H21" s="168"/>
      <c r="I21" s="150">
        <f t="shared" si="1"/>
      </c>
      <c r="J21" s="152"/>
      <c r="K21" s="150">
        <f t="shared" si="2"/>
      </c>
      <c r="L21" s="150">
        <f t="shared" si="3"/>
      </c>
      <c r="M21" s="151">
        <f t="shared" si="0"/>
      </c>
      <c r="N21" s="12">
        <v>9</v>
      </c>
      <c r="O21" s="114">
        <v>8</v>
      </c>
    </row>
    <row r="22" spans="1:15" ht="30.75" customHeight="1">
      <c r="A22" s="17">
        <v>10</v>
      </c>
      <c r="B22" s="583"/>
      <c r="C22" s="584"/>
      <c r="D22" s="584"/>
      <c r="E22" s="75"/>
      <c r="F22" s="75"/>
      <c r="G22" s="175"/>
      <c r="H22" s="168"/>
      <c r="I22" s="150">
        <f t="shared" si="1"/>
      </c>
      <c r="J22" s="152"/>
      <c r="K22" s="150">
        <f t="shared" si="2"/>
      </c>
      <c r="L22" s="150">
        <f t="shared" si="3"/>
      </c>
      <c r="M22" s="151">
        <f t="shared" si="0"/>
      </c>
      <c r="N22" s="13">
        <v>10</v>
      </c>
      <c r="O22" s="114">
        <v>8</v>
      </c>
    </row>
    <row r="23" spans="1:16" ht="30.75" customHeight="1">
      <c r="A23" s="16">
        <v>11</v>
      </c>
      <c r="B23" s="583"/>
      <c r="C23" s="584"/>
      <c r="D23" s="584"/>
      <c r="E23" s="75"/>
      <c r="F23" s="75"/>
      <c r="G23" s="175"/>
      <c r="H23" s="168"/>
      <c r="I23" s="150">
        <f t="shared" si="1"/>
      </c>
      <c r="J23" s="152"/>
      <c r="K23" s="150">
        <f t="shared" si="2"/>
      </c>
      <c r="L23" s="150">
        <f t="shared" si="3"/>
      </c>
      <c r="M23" s="151">
        <f t="shared" si="0"/>
      </c>
      <c r="N23" s="12">
        <v>11</v>
      </c>
      <c r="O23" s="114">
        <v>8</v>
      </c>
      <c r="P23" s="86"/>
    </row>
    <row r="24" spans="1:15" ht="30.75" customHeight="1">
      <c r="A24" s="17">
        <v>12</v>
      </c>
      <c r="B24" s="583"/>
      <c r="C24" s="584"/>
      <c r="D24" s="584"/>
      <c r="E24" s="75"/>
      <c r="F24" s="75"/>
      <c r="G24" s="175"/>
      <c r="H24" s="168"/>
      <c r="I24" s="150">
        <f t="shared" si="1"/>
      </c>
      <c r="J24" s="152"/>
      <c r="K24" s="150">
        <f t="shared" si="2"/>
      </c>
      <c r="L24" s="150">
        <f t="shared" si="3"/>
      </c>
      <c r="M24" s="151">
        <f t="shared" si="0"/>
      </c>
      <c r="N24" s="13">
        <v>12</v>
      </c>
      <c r="O24" s="114">
        <v>8</v>
      </c>
    </row>
    <row r="25" spans="1:15" ht="30.75" customHeight="1">
      <c r="A25" s="16">
        <v>13</v>
      </c>
      <c r="B25" s="583"/>
      <c r="C25" s="584"/>
      <c r="D25" s="584"/>
      <c r="E25" s="75"/>
      <c r="F25" s="75"/>
      <c r="G25" s="175"/>
      <c r="H25" s="168"/>
      <c r="I25" s="150">
        <f t="shared" si="1"/>
      </c>
      <c r="J25" s="152"/>
      <c r="K25" s="150">
        <f t="shared" si="2"/>
      </c>
      <c r="L25" s="150">
        <f t="shared" si="3"/>
      </c>
      <c r="M25" s="151">
        <f t="shared" si="0"/>
      </c>
      <c r="N25" s="12">
        <v>13</v>
      </c>
      <c r="O25" s="114">
        <v>8</v>
      </c>
    </row>
    <row r="26" spans="1:15" ht="30.75" customHeight="1">
      <c r="A26" s="17">
        <v>14</v>
      </c>
      <c r="B26" s="583"/>
      <c r="C26" s="584"/>
      <c r="D26" s="584"/>
      <c r="E26" s="76"/>
      <c r="F26" s="75"/>
      <c r="G26" s="175"/>
      <c r="H26" s="168"/>
      <c r="I26" s="150">
        <f t="shared" si="1"/>
      </c>
      <c r="J26" s="152"/>
      <c r="K26" s="150">
        <f t="shared" si="2"/>
      </c>
      <c r="L26" s="150">
        <f t="shared" si="3"/>
      </c>
      <c r="M26" s="151">
        <f t="shared" si="0"/>
      </c>
      <c r="N26" s="13">
        <v>14</v>
      </c>
      <c r="O26" s="114">
        <v>8</v>
      </c>
    </row>
    <row r="27" spans="1:15" ht="30.75" customHeight="1">
      <c r="A27" s="16">
        <v>15</v>
      </c>
      <c r="B27" s="583"/>
      <c r="C27" s="584"/>
      <c r="D27" s="584"/>
      <c r="E27" s="76"/>
      <c r="F27" s="75"/>
      <c r="G27" s="175"/>
      <c r="H27" s="168"/>
      <c r="I27" s="150">
        <f t="shared" si="1"/>
      </c>
      <c r="J27" s="152"/>
      <c r="K27" s="150">
        <f t="shared" si="2"/>
      </c>
      <c r="L27" s="150">
        <f t="shared" si="3"/>
      </c>
      <c r="M27" s="151">
        <f t="shared" si="0"/>
      </c>
      <c r="N27" s="12">
        <v>15</v>
      </c>
      <c r="O27" s="114">
        <v>8</v>
      </c>
    </row>
    <row r="28" spans="1:15" ht="30.75" customHeight="1">
      <c r="A28" s="17">
        <v>16</v>
      </c>
      <c r="B28" s="583"/>
      <c r="C28" s="584"/>
      <c r="D28" s="584"/>
      <c r="E28" s="75"/>
      <c r="F28" s="75"/>
      <c r="G28" s="175"/>
      <c r="H28" s="168"/>
      <c r="I28" s="150">
        <f t="shared" si="1"/>
      </c>
      <c r="J28" s="152"/>
      <c r="K28" s="150">
        <f t="shared" si="2"/>
      </c>
      <c r="L28" s="150">
        <f t="shared" si="3"/>
      </c>
      <c r="M28" s="151">
        <f t="shared" si="0"/>
      </c>
      <c r="N28" s="13">
        <v>16</v>
      </c>
      <c r="O28" s="114">
        <v>8</v>
      </c>
    </row>
    <row r="29" spans="1:15" ht="30.75" customHeight="1">
      <c r="A29" s="16">
        <v>17</v>
      </c>
      <c r="B29" s="583"/>
      <c r="C29" s="584"/>
      <c r="D29" s="584"/>
      <c r="E29" s="75"/>
      <c r="F29" s="75"/>
      <c r="G29" s="175"/>
      <c r="H29" s="168"/>
      <c r="I29" s="150">
        <f t="shared" si="1"/>
      </c>
      <c r="J29" s="152"/>
      <c r="K29" s="150">
        <f t="shared" si="2"/>
      </c>
      <c r="L29" s="150">
        <f t="shared" si="3"/>
      </c>
      <c r="M29" s="151">
        <f t="shared" si="0"/>
      </c>
      <c r="N29" s="12">
        <v>17</v>
      </c>
      <c r="O29" s="114">
        <v>8</v>
      </c>
    </row>
    <row r="30" spans="1:15" ht="30.75" customHeight="1">
      <c r="A30" s="17">
        <v>18</v>
      </c>
      <c r="B30" s="583"/>
      <c r="C30" s="584"/>
      <c r="D30" s="584"/>
      <c r="E30" s="75"/>
      <c r="F30" s="75"/>
      <c r="G30" s="175"/>
      <c r="H30" s="168"/>
      <c r="I30" s="150">
        <f t="shared" si="1"/>
      </c>
      <c r="J30" s="152"/>
      <c r="K30" s="150">
        <f t="shared" si="2"/>
      </c>
      <c r="L30" s="150">
        <f t="shared" si="3"/>
      </c>
      <c r="M30" s="151">
        <f t="shared" si="0"/>
      </c>
      <c r="N30" s="13">
        <v>18</v>
      </c>
      <c r="O30" s="114">
        <v>8</v>
      </c>
    </row>
    <row r="31" spans="1:15" ht="30.75" customHeight="1">
      <c r="A31" s="16">
        <v>19</v>
      </c>
      <c r="B31" s="583"/>
      <c r="C31" s="584"/>
      <c r="D31" s="584"/>
      <c r="E31" s="76"/>
      <c r="F31" s="75"/>
      <c r="G31" s="175"/>
      <c r="H31" s="168"/>
      <c r="I31" s="150">
        <f t="shared" si="1"/>
      </c>
      <c r="J31" s="152"/>
      <c r="K31" s="150">
        <f t="shared" si="2"/>
      </c>
      <c r="L31" s="150">
        <f t="shared" si="3"/>
      </c>
      <c r="M31" s="151">
        <f t="shared" si="0"/>
      </c>
      <c r="N31" s="12">
        <v>19</v>
      </c>
      <c r="O31" s="114">
        <v>8</v>
      </c>
    </row>
    <row r="32" spans="1:15" ht="30.75" customHeight="1" thickBot="1">
      <c r="A32" s="27">
        <v>20</v>
      </c>
      <c r="B32" s="590"/>
      <c r="C32" s="591"/>
      <c r="D32" s="591"/>
      <c r="E32" s="79"/>
      <c r="F32" s="79"/>
      <c r="G32" s="178"/>
      <c r="H32" s="170"/>
      <c r="I32" s="153">
        <f t="shared" si="1"/>
      </c>
      <c r="J32" s="154"/>
      <c r="K32" s="153">
        <f t="shared" si="2"/>
      </c>
      <c r="L32" s="153">
        <f t="shared" si="3"/>
      </c>
      <c r="M32" s="155">
        <f t="shared" si="0"/>
      </c>
      <c r="N32" s="28">
        <v>20</v>
      </c>
      <c r="O32" s="115">
        <v>8</v>
      </c>
    </row>
    <row r="33" spans="1:14" ht="21" customHeight="1" thickBot="1">
      <c r="A33" s="585" t="s">
        <v>16</v>
      </c>
      <c r="B33" s="586"/>
      <c r="C33" s="586"/>
      <c r="D33" s="586"/>
      <c r="E33" s="586"/>
      <c r="F33" s="586"/>
      <c r="G33" s="586"/>
      <c r="H33" s="586"/>
      <c r="I33" s="586"/>
      <c r="J33" s="20"/>
      <c r="K33" s="162">
        <f>SUM(K13:K32)</f>
        <v>540000</v>
      </c>
      <c r="L33" s="162">
        <f>SUM(L13:L32)</f>
        <v>500000</v>
      </c>
      <c r="M33" s="163">
        <f>SUM(M13:M32)</f>
        <v>500000</v>
      </c>
      <c r="N33" s="14"/>
    </row>
    <row r="34" spans="1:14" ht="13.5" customHeight="1">
      <c r="A34" s="90"/>
      <c r="N34" s="11"/>
    </row>
    <row r="35" spans="2:14" ht="13.5" customHeight="1">
      <c r="B35" s="1" t="s">
        <v>18</v>
      </c>
      <c r="D35" s="90"/>
      <c r="E35" s="80" t="s">
        <v>39</v>
      </c>
      <c r="N35" s="11"/>
    </row>
    <row r="36" spans="1:15" s="80" customFormat="1" ht="13.5" customHeight="1">
      <c r="A36" s="1"/>
      <c r="B36" s="1"/>
      <c r="C36" s="1"/>
      <c r="D36" s="1"/>
      <c r="E36" s="80" t="s">
        <v>40</v>
      </c>
      <c r="G36" s="1"/>
      <c r="H36" s="1"/>
      <c r="I36" s="1"/>
      <c r="J36" s="101"/>
      <c r="K36" s="1"/>
      <c r="L36" s="1"/>
      <c r="M36" s="1"/>
      <c r="N36" s="15"/>
      <c r="O36" s="5"/>
    </row>
    <row r="37" spans="1:15" s="80" customFormat="1" ht="13.5" customHeight="1">
      <c r="A37" s="1"/>
      <c r="B37" s="1" t="s">
        <v>19</v>
      </c>
      <c r="C37" s="1"/>
      <c r="D37" s="1"/>
      <c r="E37" s="80" t="s">
        <v>41</v>
      </c>
      <c r="G37" s="1"/>
      <c r="H37" s="1"/>
      <c r="I37" s="1"/>
      <c r="J37" s="101"/>
      <c r="K37" s="1"/>
      <c r="L37" s="1"/>
      <c r="M37" s="1"/>
      <c r="N37" s="5"/>
      <c r="O37" s="5"/>
    </row>
    <row r="38" spans="1:15" s="80" customFormat="1" ht="13.5" customHeight="1">
      <c r="A38" s="1"/>
      <c r="B38" s="1" t="s">
        <v>20</v>
      </c>
      <c r="C38" s="1"/>
      <c r="D38" s="1"/>
      <c r="E38" s="80" t="s">
        <v>42</v>
      </c>
      <c r="G38" s="1"/>
      <c r="H38" s="1"/>
      <c r="I38" s="1"/>
      <c r="J38" s="101"/>
      <c r="K38" s="1"/>
      <c r="L38" s="1"/>
      <c r="M38" s="1"/>
      <c r="N38" s="5"/>
      <c r="O38" s="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613</v>
      </c>
      <c r="E2" s="85"/>
      <c r="H2" s="5"/>
      <c r="P2" s="5"/>
      <c r="Q2" s="86"/>
      <c r="R2" s="86"/>
    </row>
    <row r="3" spans="1:18" ht="13.5">
      <c r="A3" s="5"/>
      <c r="E3" s="85"/>
      <c r="H3" s="5"/>
      <c r="P3" s="5"/>
      <c r="Q3" s="86"/>
      <c r="R3" s="86"/>
    </row>
    <row r="4" spans="1:6" ht="13.5" customHeight="1">
      <c r="A4" s="587" t="s">
        <v>604</v>
      </c>
      <c r="B4" s="587"/>
      <c r="C4" s="587"/>
      <c r="D4" s="587"/>
      <c r="E4" s="587"/>
      <c r="F4" s="5"/>
    </row>
    <row r="5" spans="1:14" ht="13.5" customHeight="1">
      <c r="A5" s="11"/>
      <c r="B5" s="11"/>
      <c r="C5" s="11"/>
      <c r="D5" s="11"/>
      <c r="E5" s="87"/>
      <c r="F5" s="5"/>
      <c r="N5" s="11"/>
    </row>
    <row r="6" spans="1:14" ht="13.5" customHeight="1">
      <c r="A6" s="11"/>
      <c r="B6" s="250" t="s">
        <v>715</v>
      </c>
      <c r="C6" s="251"/>
      <c r="D6" s="252"/>
      <c r="E6" s="253"/>
      <c r="F6" s="88" t="s">
        <v>17</v>
      </c>
      <c r="N6" s="11"/>
    </row>
    <row r="7" spans="1:14" ht="13.5" customHeight="1">
      <c r="A7" s="11"/>
      <c r="B7" s="11"/>
      <c r="C7" s="11"/>
      <c r="D7" s="11"/>
      <c r="E7" s="87"/>
      <c r="F7" s="136" t="s">
        <v>34</v>
      </c>
      <c r="N7" s="87"/>
    </row>
    <row r="8" spans="1:15" ht="13.5" customHeight="1">
      <c r="A8" s="11"/>
      <c r="B8" s="11"/>
      <c r="C8" s="11"/>
      <c r="D8" s="11"/>
      <c r="E8" s="87"/>
      <c r="F8" s="5"/>
      <c r="M8" s="1" t="s">
        <v>21</v>
      </c>
      <c r="N8" s="11"/>
      <c r="O8" s="89"/>
    </row>
    <row r="9" spans="1:14" ht="13.5" customHeight="1">
      <c r="A9" s="90"/>
      <c r="F9" s="5"/>
      <c r="I9" s="2" t="s">
        <v>533</v>
      </c>
      <c r="J9" s="80" t="str">
        <f>IF('基本情報入力（使い方）'!$C$10="","",'基本情報入力（使い方）'!$C$10)</f>
        <v>Ｂ金属株式会社</v>
      </c>
      <c r="K9" s="2"/>
      <c r="L9" s="8"/>
      <c r="M9" s="59"/>
      <c r="N9" s="11"/>
    </row>
    <row r="10" spans="1:14" ht="13.5" customHeight="1" thickBot="1">
      <c r="A10" s="90"/>
      <c r="F10" s="5"/>
      <c r="N10" s="11"/>
    </row>
    <row r="11" spans="1:15" ht="27" customHeight="1">
      <c r="A11" s="588" t="s">
        <v>2</v>
      </c>
      <c r="B11" s="577" t="s">
        <v>3</v>
      </c>
      <c r="C11" s="577"/>
      <c r="D11" s="578"/>
      <c r="E11" s="3" t="s">
        <v>4</v>
      </c>
      <c r="F11" s="3" t="s">
        <v>5</v>
      </c>
      <c r="G11" s="3" t="s">
        <v>6</v>
      </c>
      <c r="H11" s="3" t="s">
        <v>7</v>
      </c>
      <c r="I11" s="3" t="s">
        <v>1</v>
      </c>
      <c r="J11" s="3" t="s">
        <v>1</v>
      </c>
      <c r="K11" s="598" t="s">
        <v>8</v>
      </c>
      <c r="L11" s="578"/>
      <c r="M11" s="83" t="s">
        <v>9</v>
      </c>
      <c r="N11" s="579" t="s">
        <v>2</v>
      </c>
      <c r="O11" s="592" t="s">
        <v>46</v>
      </c>
    </row>
    <row r="12" spans="1:15" ht="42" customHeight="1" thickBot="1">
      <c r="A12" s="589"/>
      <c r="B12" s="92" t="s">
        <v>10</v>
      </c>
      <c r="C12" s="92" t="s">
        <v>11</v>
      </c>
      <c r="D12" s="93" t="s">
        <v>12</v>
      </c>
      <c r="E12" s="94"/>
      <c r="F12" s="95"/>
      <c r="G12" s="81"/>
      <c r="H12" s="81"/>
      <c r="I12" s="81" t="s">
        <v>13</v>
      </c>
      <c r="J12" s="81" t="s">
        <v>26</v>
      </c>
      <c r="K12" s="81" t="s">
        <v>14</v>
      </c>
      <c r="L12" s="4" t="s">
        <v>24</v>
      </c>
      <c r="M12" s="4" t="s">
        <v>15</v>
      </c>
      <c r="N12" s="580"/>
      <c r="O12" s="593"/>
    </row>
    <row r="13" spans="1:15" ht="30.75" customHeight="1">
      <c r="A13" s="16">
        <v>1</v>
      </c>
      <c r="B13" s="594"/>
      <c r="C13" s="595"/>
      <c r="D13" s="595"/>
      <c r="E13" s="96" t="s">
        <v>644</v>
      </c>
      <c r="F13" s="74" t="s">
        <v>645</v>
      </c>
      <c r="G13" s="175">
        <v>2</v>
      </c>
      <c r="H13" s="168" t="s">
        <v>643</v>
      </c>
      <c r="I13" s="150">
        <f>IF(J13="","",ROUNDDOWN(J13*(1+O13/100),0))</f>
        <v>583200</v>
      </c>
      <c r="J13" s="152">
        <v>540000</v>
      </c>
      <c r="K13" s="150">
        <f>IF(L13="","",ROUNDDOWN(L13*(1+O13/100),0))</f>
        <v>1166400</v>
      </c>
      <c r="L13" s="150">
        <f>IF(OR(J13="",G13=""),"",ROUNDDOWN(J13*G13,0))</f>
        <v>1080000</v>
      </c>
      <c r="M13" s="160">
        <f aca="true" t="shared" si="0" ref="M13:M32">L13</f>
        <v>1080000</v>
      </c>
      <c r="N13" s="106">
        <v>1</v>
      </c>
      <c r="O13" s="107">
        <v>8</v>
      </c>
    </row>
    <row r="14" spans="1:15" ht="30.75" customHeight="1">
      <c r="A14" s="17">
        <v>2</v>
      </c>
      <c r="B14" s="583"/>
      <c r="C14" s="584"/>
      <c r="D14" s="584"/>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60">
        <f t="shared" si="0"/>
      </c>
      <c r="N14" s="108">
        <v>2</v>
      </c>
      <c r="O14" s="107">
        <v>8</v>
      </c>
    </row>
    <row r="15" spans="1:15" ht="30.75" customHeight="1">
      <c r="A15" s="17">
        <v>3</v>
      </c>
      <c r="B15" s="583"/>
      <c r="C15" s="584"/>
      <c r="D15" s="584"/>
      <c r="E15" s="97"/>
      <c r="F15" s="75"/>
      <c r="G15" s="175"/>
      <c r="H15" s="168"/>
      <c r="I15" s="150">
        <f t="shared" si="1"/>
      </c>
      <c r="J15" s="152"/>
      <c r="K15" s="150">
        <f t="shared" si="2"/>
      </c>
      <c r="L15" s="150">
        <f t="shared" si="3"/>
      </c>
      <c r="M15" s="160">
        <f t="shared" si="0"/>
      </c>
      <c r="N15" s="106">
        <v>3</v>
      </c>
      <c r="O15" s="107">
        <v>8</v>
      </c>
    </row>
    <row r="16" spans="1:15" ht="30.75" customHeight="1">
      <c r="A16" s="17">
        <v>4</v>
      </c>
      <c r="B16" s="583"/>
      <c r="C16" s="584"/>
      <c r="D16" s="584"/>
      <c r="E16" s="97"/>
      <c r="F16" s="75"/>
      <c r="G16" s="175"/>
      <c r="H16" s="168"/>
      <c r="I16" s="150">
        <f t="shared" si="1"/>
      </c>
      <c r="J16" s="152"/>
      <c r="K16" s="150">
        <f t="shared" si="2"/>
      </c>
      <c r="L16" s="150">
        <f t="shared" si="3"/>
      </c>
      <c r="M16" s="160">
        <f t="shared" si="0"/>
      </c>
      <c r="N16" s="108">
        <v>4</v>
      </c>
      <c r="O16" s="107">
        <v>8</v>
      </c>
    </row>
    <row r="17" spans="1:15" ht="30.75" customHeight="1">
      <c r="A17" s="17">
        <v>5</v>
      </c>
      <c r="B17" s="583"/>
      <c r="C17" s="584"/>
      <c r="D17" s="584"/>
      <c r="E17" s="97"/>
      <c r="F17" s="75"/>
      <c r="G17" s="175"/>
      <c r="H17" s="168"/>
      <c r="I17" s="150">
        <f t="shared" si="1"/>
      </c>
      <c r="J17" s="152"/>
      <c r="K17" s="150">
        <f t="shared" si="2"/>
      </c>
      <c r="L17" s="150">
        <f t="shared" si="3"/>
      </c>
      <c r="M17" s="160">
        <f t="shared" si="0"/>
      </c>
      <c r="N17" s="106">
        <v>5</v>
      </c>
      <c r="O17" s="107">
        <v>8</v>
      </c>
    </row>
    <row r="18" spans="1:15" ht="30.75" customHeight="1">
      <c r="A18" s="17">
        <v>6</v>
      </c>
      <c r="B18" s="583"/>
      <c r="C18" s="584"/>
      <c r="D18" s="584"/>
      <c r="E18" s="97"/>
      <c r="F18" s="75"/>
      <c r="G18" s="175"/>
      <c r="H18" s="168"/>
      <c r="I18" s="150">
        <f t="shared" si="1"/>
      </c>
      <c r="J18" s="152"/>
      <c r="K18" s="150">
        <f t="shared" si="2"/>
      </c>
      <c r="L18" s="150">
        <f t="shared" si="3"/>
      </c>
      <c r="M18" s="160">
        <f t="shared" si="0"/>
      </c>
      <c r="N18" s="108">
        <v>6</v>
      </c>
      <c r="O18" s="107">
        <v>8</v>
      </c>
    </row>
    <row r="19" spans="1:15" ht="30.75" customHeight="1">
      <c r="A19" s="17">
        <v>7</v>
      </c>
      <c r="B19" s="583"/>
      <c r="C19" s="584"/>
      <c r="D19" s="584"/>
      <c r="E19" s="97"/>
      <c r="F19" s="98"/>
      <c r="G19" s="175"/>
      <c r="H19" s="168"/>
      <c r="I19" s="150">
        <f t="shared" si="1"/>
      </c>
      <c r="J19" s="152"/>
      <c r="K19" s="150">
        <f t="shared" si="2"/>
      </c>
      <c r="L19" s="150">
        <f t="shared" si="3"/>
      </c>
      <c r="M19" s="160">
        <f t="shared" si="0"/>
      </c>
      <c r="N19" s="106">
        <v>7</v>
      </c>
      <c r="O19" s="107">
        <v>8</v>
      </c>
    </row>
    <row r="20" spans="1:15" ht="30.75" customHeight="1">
      <c r="A20" s="17">
        <v>8</v>
      </c>
      <c r="B20" s="583"/>
      <c r="C20" s="584"/>
      <c r="D20" s="584"/>
      <c r="E20" s="97"/>
      <c r="F20" s="75"/>
      <c r="G20" s="175"/>
      <c r="H20" s="168"/>
      <c r="I20" s="150">
        <f t="shared" si="1"/>
      </c>
      <c r="J20" s="152"/>
      <c r="K20" s="150">
        <f t="shared" si="2"/>
      </c>
      <c r="L20" s="150">
        <f t="shared" si="3"/>
      </c>
      <c r="M20" s="160">
        <f t="shared" si="0"/>
      </c>
      <c r="N20" s="108">
        <v>8</v>
      </c>
      <c r="O20" s="107">
        <v>8</v>
      </c>
    </row>
    <row r="21" spans="1:15" ht="30.75" customHeight="1">
      <c r="A21" s="17">
        <v>9</v>
      </c>
      <c r="B21" s="583"/>
      <c r="C21" s="584"/>
      <c r="D21" s="584"/>
      <c r="E21" s="97"/>
      <c r="F21" s="75"/>
      <c r="G21" s="175"/>
      <c r="H21" s="168"/>
      <c r="I21" s="150">
        <f t="shared" si="1"/>
      </c>
      <c r="J21" s="152"/>
      <c r="K21" s="150">
        <f t="shared" si="2"/>
      </c>
      <c r="L21" s="150">
        <f t="shared" si="3"/>
      </c>
      <c r="M21" s="160">
        <f t="shared" si="0"/>
      </c>
      <c r="N21" s="106">
        <v>9</v>
      </c>
      <c r="O21" s="107">
        <v>8</v>
      </c>
    </row>
    <row r="22" spans="1:15" ht="30.75" customHeight="1">
      <c r="A22" s="17">
        <v>10</v>
      </c>
      <c r="B22" s="583"/>
      <c r="C22" s="584"/>
      <c r="D22" s="584"/>
      <c r="E22" s="97"/>
      <c r="F22" s="75"/>
      <c r="G22" s="175"/>
      <c r="H22" s="168"/>
      <c r="I22" s="150">
        <f t="shared" si="1"/>
      </c>
      <c r="J22" s="152"/>
      <c r="K22" s="150">
        <f t="shared" si="2"/>
      </c>
      <c r="L22" s="150">
        <f t="shared" si="3"/>
      </c>
      <c r="M22" s="160">
        <f t="shared" si="0"/>
      </c>
      <c r="N22" s="108">
        <v>10</v>
      </c>
      <c r="O22" s="107">
        <v>8</v>
      </c>
    </row>
    <row r="23" spans="1:15" ht="30.75" customHeight="1">
      <c r="A23" s="17">
        <v>11</v>
      </c>
      <c r="B23" s="583"/>
      <c r="C23" s="584"/>
      <c r="D23" s="584"/>
      <c r="E23" s="97"/>
      <c r="F23" s="75"/>
      <c r="G23" s="175"/>
      <c r="H23" s="168"/>
      <c r="I23" s="150">
        <f t="shared" si="1"/>
      </c>
      <c r="J23" s="152"/>
      <c r="K23" s="150">
        <f t="shared" si="2"/>
      </c>
      <c r="L23" s="150">
        <f t="shared" si="3"/>
      </c>
      <c r="M23" s="160">
        <f t="shared" si="0"/>
      </c>
      <c r="N23" s="106">
        <v>11</v>
      </c>
      <c r="O23" s="107">
        <v>8</v>
      </c>
    </row>
    <row r="24" spans="1:15" ht="30.75" customHeight="1">
      <c r="A24" s="17">
        <v>12</v>
      </c>
      <c r="B24" s="583"/>
      <c r="C24" s="584"/>
      <c r="D24" s="584"/>
      <c r="E24" s="97"/>
      <c r="F24" s="75"/>
      <c r="G24" s="175"/>
      <c r="H24" s="168"/>
      <c r="I24" s="150">
        <f t="shared" si="1"/>
      </c>
      <c r="J24" s="152"/>
      <c r="K24" s="150">
        <f t="shared" si="2"/>
      </c>
      <c r="L24" s="150">
        <f t="shared" si="3"/>
      </c>
      <c r="M24" s="160">
        <f t="shared" si="0"/>
      </c>
      <c r="N24" s="108">
        <v>12</v>
      </c>
      <c r="O24" s="107">
        <v>8</v>
      </c>
    </row>
    <row r="25" spans="1:15" ht="30.75" customHeight="1">
      <c r="A25" s="17">
        <v>13</v>
      </c>
      <c r="B25" s="583"/>
      <c r="C25" s="584"/>
      <c r="D25" s="584"/>
      <c r="E25" s="97"/>
      <c r="F25" s="75"/>
      <c r="G25" s="175"/>
      <c r="H25" s="168"/>
      <c r="I25" s="150">
        <f t="shared" si="1"/>
      </c>
      <c r="J25" s="152"/>
      <c r="K25" s="150">
        <f t="shared" si="2"/>
      </c>
      <c r="L25" s="150">
        <f t="shared" si="3"/>
      </c>
      <c r="M25" s="160">
        <f t="shared" si="0"/>
      </c>
      <c r="N25" s="106">
        <v>13</v>
      </c>
      <c r="O25" s="107">
        <v>8</v>
      </c>
    </row>
    <row r="26" spans="1:15" ht="30.75" customHeight="1">
      <c r="A26" s="17">
        <v>14</v>
      </c>
      <c r="B26" s="583"/>
      <c r="C26" s="584"/>
      <c r="D26" s="584"/>
      <c r="E26" s="99"/>
      <c r="F26" s="75"/>
      <c r="G26" s="175"/>
      <c r="H26" s="168"/>
      <c r="I26" s="150">
        <f t="shared" si="1"/>
      </c>
      <c r="J26" s="152"/>
      <c r="K26" s="150">
        <f t="shared" si="2"/>
      </c>
      <c r="L26" s="150">
        <f t="shared" si="3"/>
      </c>
      <c r="M26" s="160">
        <f t="shared" si="0"/>
      </c>
      <c r="N26" s="108">
        <v>14</v>
      </c>
      <c r="O26" s="107">
        <v>8</v>
      </c>
    </row>
    <row r="27" spans="1:15" ht="30.75" customHeight="1">
      <c r="A27" s="17">
        <v>15</v>
      </c>
      <c r="B27" s="583"/>
      <c r="C27" s="584"/>
      <c r="D27" s="584"/>
      <c r="E27" s="99"/>
      <c r="F27" s="75"/>
      <c r="G27" s="175"/>
      <c r="H27" s="168"/>
      <c r="I27" s="150">
        <f t="shared" si="1"/>
      </c>
      <c r="J27" s="152"/>
      <c r="K27" s="150">
        <f t="shared" si="2"/>
      </c>
      <c r="L27" s="150">
        <f t="shared" si="3"/>
      </c>
      <c r="M27" s="160">
        <f t="shared" si="0"/>
      </c>
      <c r="N27" s="106">
        <v>15</v>
      </c>
      <c r="O27" s="107">
        <v>8</v>
      </c>
    </row>
    <row r="28" spans="1:15" ht="30.75" customHeight="1">
      <c r="A28" s="17">
        <v>16</v>
      </c>
      <c r="B28" s="583"/>
      <c r="C28" s="584"/>
      <c r="D28" s="584"/>
      <c r="E28" s="97"/>
      <c r="F28" s="75"/>
      <c r="G28" s="175"/>
      <c r="H28" s="168"/>
      <c r="I28" s="150">
        <f t="shared" si="1"/>
      </c>
      <c r="J28" s="152"/>
      <c r="K28" s="150">
        <f t="shared" si="2"/>
      </c>
      <c r="L28" s="150">
        <f t="shared" si="3"/>
      </c>
      <c r="M28" s="160">
        <f t="shared" si="0"/>
      </c>
      <c r="N28" s="108">
        <v>16</v>
      </c>
      <c r="O28" s="107">
        <v>8</v>
      </c>
    </row>
    <row r="29" spans="1:15" ht="30.75" customHeight="1">
      <c r="A29" s="17">
        <v>17</v>
      </c>
      <c r="B29" s="583"/>
      <c r="C29" s="584"/>
      <c r="D29" s="584"/>
      <c r="E29" s="97"/>
      <c r="F29" s="75"/>
      <c r="G29" s="175"/>
      <c r="H29" s="168"/>
      <c r="I29" s="150">
        <f t="shared" si="1"/>
      </c>
      <c r="J29" s="152"/>
      <c r="K29" s="150">
        <f t="shared" si="2"/>
      </c>
      <c r="L29" s="150">
        <f t="shared" si="3"/>
      </c>
      <c r="M29" s="160">
        <f t="shared" si="0"/>
      </c>
      <c r="N29" s="106">
        <v>17</v>
      </c>
      <c r="O29" s="107">
        <v>8</v>
      </c>
    </row>
    <row r="30" spans="1:15" ht="30.75" customHeight="1">
      <c r="A30" s="17">
        <v>18</v>
      </c>
      <c r="B30" s="583"/>
      <c r="C30" s="584"/>
      <c r="D30" s="584"/>
      <c r="E30" s="97"/>
      <c r="F30" s="75"/>
      <c r="G30" s="175"/>
      <c r="H30" s="168"/>
      <c r="I30" s="150">
        <f t="shared" si="1"/>
      </c>
      <c r="J30" s="152"/>
      <c r="K30" s="150">
        <f t="shared" si="2"/>
      </c>
      <c r="L30" s="150">
        <f t="shared" si="3"/>
      </c>
      <c r="M30" s="160">
        <f t="shared" si="0"/>
      </c>
      <c r="N30" s="108">
        <v>18</v>
      </c>
      <c r="O30" s="107">
        <v>8</v>
      </c>
    </row>
    <row r="31" spans="1:15" ht="30.75" customHeight="1">
      <c r="A31" s="17">
        <v>19</v>
      </c>
      <c r="B31" s="583"/>
      <c r="C31" s="584"/>
      <c r="D31" s="584"/>
      <c r="E31" s="99"/>
      <c r="F31" s="75"/>
      <c r="G31" s="175"/>
      <c r="H31" s="168"/>
      <c r="I31" s="150">
        <f t="shared" si="1"/>
      </c>
      <c r="J31" s="152"/>
      <c r="K31" s="150">
        <f t="shared" si="2"/>
      </c>
      <c r="L31" s="150">
        <f t="shared" si="3"/>
      </c>
      <c r="M31" s="160">
        <f t="shared" si="0"/>
      </c>
      <c r="N31" s="106">
        <v>19</v>
      </c>
      <c r="O31" s="107">
        <v>8</v>
      </c>
    </row>
    <row r="32" spans="1:15" ht="30.75" customHeight="1" thickBot="1">
      <c r="A32" s="27">
        <v>20</v>
      </c>
      <c r="B32" s="590"/>
      <c r="C32" s="591"/>
      <c r="D32" s="591"/>
      <c r="E32" s="100"/>
      <c r="F32" s="79"/>
      <c r="G32" s="178"/>
      <c r="H32" s="170"/>
      <c r="I32" s="153">
        <f t="shared" si="1"/>
      </c>
      <c r="J32" s="154"/>
      <c r="K32" s="153">
        <f t="shared" si="2"/>
      </c>
      <c r="L32" s="153">
        <f t="shared" si="3"/>
      </c>
      <c r="M32" s="161">
        <f t="shared" si="0"/>
      </c>
      <c r="N32" s="109">
        <v>20</v>
      </c>
      <c r="O32" s="110">
        <v>8</v>
      </c>
    </row>
    <row r="33" spans="1:14" ht="21" customHeight="1" thickBot="1">
      <c r="A33" s="599" t="s">
        <v>16</v>
      </c>
      <c r="B33" s="600"/>
      <c r="C33" s="600"/>
      <c r="D33" s="600"/>
      <c r="E33" s="600"/>
      <c r="F33" s="600"/>
      <c r="G33" s="600"/>
      <c r="H33" s="600"/>
      <c r="I33" s="600"/>
      <c r="J33" s="82"/>
      <c r="K33" s="149">
        <f>SUM(K13:K32)</f>
        <v>1166400</v>
      </c>
      <c r="L33" s="149">
        <f>SUM(L13:L32)</f>
        <v>1080000</v>
      </c>
      <c r="M33" s="147">
        <f>SUM(M13:M32)</f>
        <v>1080000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613</v>
      </c>
      <c r="E2" s="85"/>
      <c r="H2" s="5"/>
      <c r="P2" s="5"/>
      <c r="Q2" s="86"/>
      <c r="R2" s="86"/>
    </row>
    <row r="3" spans="1:18" ht="13.5">
      <c r="A3" s="5"/>
      <c r="E3" s="85"/>
      <c r="H3" s="5"/>
      <c r="P3" s="5"/>
      <c r="Q3" s="86"/>
      <c r="R3" s="86"/>
    </row>
    <row r="4" spans="1:6" ht="13.5" customHeight="1">
      <c r="A4" s="587" t="s">
        <v>604</v>
      </c>
      <c r="B4" s="587"/>
      <c r="C4" s="587"/>
      <c r="D4" s="587"/>
      <c r="E4" s="587"/>
      <c r="F4" s="5"/>
    </row>
    <row r="5" spans="1:14" ht="13.5" customHeight="1">
      <c r="A5" s="11"/>
      <c r="B5" s="11"/>
      <c r="C5" s="11"/>
      <c r="D5" s="11"/>
      <c r="E5" s="87"/>
      <c r="F5" s="5"/>
      <c r="N5" s="11"/>
    </row>
    <row r="6" spans="1:14" ht="13.5" customHeight="1">
      <c r="A6" s="11"/>
      <c r="B6" s="250" t="s">
        <v>715</v>
      </c>
      <c r="C6" s="251"/>
      <c r="D6" s="252"/>
      <c r="E6" s="253"/>
      <c r="F6" s="88" t="s">
        <v>17</v>
      </c>
      <c r="N6" s="11"/>
    </row>
    <row r="7" spans="1:14" ht="13.5" customHeight="1">
      <c r="A7" s="11"/>
      <c r="B7" s="11"/>
      <c r="C7" s="11"/>
      <c r="D7" s="11"/>
      <c r="E7" s="87"/>
      <c r="F7" s="136" t="s">
        <v>55</v>
      </c>
      <c r="N7" s="11"/>
    </row>
    <row r="8" spans="1:15" ht="13.5" customHeight="1">
      <c r="A8" s="11"/>
      <c r="B8" s="11"/>
      <c r="C8" s="11"/>
      <c r="D8" s="11"/>
      <c r="E8" s="87"/>
      <c r="F8" s="5"/>
      <c r="M8" s="1" t="s">
        <v>21</v>
      </c>
      <c r="N8" s="11"/>
      <c r="O8" s="89"/>
    </row>
    <row r="9" spans="1:14" ht="13.5" customHeight="1">
      <c r="A9" s="90"/>
      <c r="F9" s="5"/>
      <c r="I9" s="2" t="s">
        <v>533</v>
      </c>
      <c r="J9" s="80" t="str">
        <f>IF('基本情報入力（使い方）'!$C$10="","",'基本情報入力（使い方）'!$C$10)</f>
        <v>Ｂ金属株式会社</v>
      </c>
      <c r="K9" s="2"/>
      <c r="L9" s="8"/>
      <c r="M9" s="59"/>
      <c r="N9" s="11"/>
    </row>
    <row r="10" spans="1:14" ht="13.5" customHeight="1" thickBot="1">
      <c r="A10" s="90"/>
      <c r="F10" s="5"/>
      <c r="N10" s="11"/>
    </row>
    <row r="11" spans="1:15" ht="27" customHeight="1">
      <c r="A11" s="588" t="s">
        <v>2</v>
      </c>
      <c r="B11" s="577" t="s">
        <v>3</v>
      </c>
      <c r="C11" s="577"/>
      <c r="D11" s="578"/>
      <c r="E11" s="3" t="s">
        <v>4</v>
      </c>
      <c r="F11" s="3" t="s">
        <v>5</v>
      </c>
      <c r="G11" s="3" t="s">
        <v>6</v>
      </c>
      <c r="H11" s="3" t="s">
        <v>7</v>
      </c>
      <c r="I11" s="3" t="s">
        <v>1</v>
      </c>
      <c r="J11" s="3" t="s">
        <v>1</v>
      </c>
      <c r="K11" s="598" t="s">
        <v>8</v>
      </c>
      <c r="L11" s="578"/>
      <c r="M11" s="83" t="s">
        <v>9</v>
      </c>
      <c r="N11" s="579" t="s">
        <v>2</v>
      </c>
      <c r="O11" s="592" t="s">
        <v>46</v>
      </c>
    </row>
    <row r="12" spans="1:15" ht="42" customHeight="1" thickBot="1">
      <c r="A12" s="589"/>
      <c r="B12" s="92" t="s">
        <v>10</v>
      </c>
      <c r="C12" s="92" t="s">
        <v>11</v>
      </c>
      <c r="D12" s="93" t="s">
        <v>12</v>
      </c>
      <c r="E12" s="94"/>
      <c r="F12" s="95"/>
      <c r="G12" s="81"/>
      <c r="H12" s="81"/>
      <c r="I12" s="81" t="s">
        <v>13</v>
      </c>
      <c r="J12" s="81" t="s">
        <v>26</v>
      </c>
      <c r="K12" s="81" t="s">
        <v>14</v>
      </c>
      <c r="L12" s="4" t="s">
        <v>24</v>
      </c>
      <c r="M12" s="4" t="s">
        <v>15</v>
      </c>
      <c r="N12" s="580"/>
      <c r="O12" s="593"/>
    </row>
    <row r="13" spans="1:15" ht="30.75" customHeight="1">
      <c r="A13" s="16">
        <v>1</v>
      </c>
      <c r="B13" s="583"/>
      <c r="C13" s="584"/>
      <c r="D13" s="601"/>
      <c r="E13" s="73" t="s">
        <v>646</v>
      </c>
      <c r="F13" s="73" t="s">
        <v>647</v>
      </c>
      <c r="G13" s="179">
        <v>1</v>
      </c>
      <c r="H13" s="171" t="s">
        <v>659</v>
      </c>
      <c r="I13" s="158">
        <f>IF(J13="","",ROUNDDOWN(J13*(1+O13/100),0))</f>
        <v>594000</v>
      </c>
      <c r="J13" s="159">
        <v>550000</v>
      </c>
      <c r="K13" s="158">
        <f>IF(L13="","",ROUNDDOWN(L13*(1+O13/100),0))</f>
        <v>594000</v>
      </c>
      <c r="L13" s="158">
        <f>IF(OR(J13="",G13=""),"",ROUNDDOWN(J13*G13,0))</f>
        <v>550000</v>
      </c>
      <c r="M13" s="158">
        <f aca="true" t="shared" si="0" ref="M13:M32">L13</f>
        <v>550000</v>
      </c>
      <c r="N13" s="12">
        <v>1</v>
      </c>
      <c r="O13" s="114">
        <v>8</v>
      </c>
    </row>
    <row r="14" spans="1:15" ht="30.75" customHeight="1">
      <c r="A14" s="17">
        <v>2</v>
      </c>
      <c r="B14" s="583"/>
      <c r="C14" s="584"/>
      <c r="D14" s="601"/>
      <c r="E14" s="75"/>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83"/>
      <c r="C15" s="584"/>
      <c r="D15" s="601"/>
      <c r="E15" s="75"/>
      <c r="F15" s="75"/>
      <c r="G15" s="175"/>
      <c r="H15" s="168"/>
      <c r="I15" s="150">
        <f t="shared" si="1"/>
      </c>
      <c r="J15" s="152"/>
      <c r="K15" s="150">
        <f t="shared" si="2"/>
      </c>
      <c r="L15" s="150">
        <f t="shared" si="3"/>
      </c>
      <c r="M15" s="151">
        <f t="shared" si="0"/>
      </c>
      <c r="N15" s="12">
        <v>3</v>
      </c>
      <c r="O15" s="114">
        <v>8</v>
      </c>
    </row>
    <row r="16" spans="1:15" ht="30.75" customHeight="1">
      <c r="A16" s="17">
        <v>4</v>
      </c>
      <c r="B16" s="583"/>
      <c r="C16" s="584"/>
      <c r="D16" s="601"/>
      <c r="E16" s="75"/>
      <c r="F16" s="75"/>
      <c r="G16" s="175"/>
      <c r="H16" s="168"/>
      <c r="I16" s="150">
        <f t="shared" si="1"/>
      </c>
      <c r="J16" s="152"/>
      <c r="K16" s="150">
        <f t="shared" si="2"/>
      </c>
      <c r="L16" s="150">
        <f t="shared" si="3"/>
      </c>
      <c r="M16" s="151">
        <f t="shared" si="0"/>
      </c>
      <c r="N16" s="13">
        <v>4</v>
      </c>
      <c r="O16" s="114">
        <v>8</v>
      </c>
    </row>
    <row r="17" spans="1:15" ht="30.75" customHeight="1">
      <c r="A17" s="17">
        <v>5</v>
      </c>
      <c r="B17" s="583"/>
      <c r="C17" s="584"/>
      <c r="D17" s="601"/>
      <c r="E17" s="75"/>
      <c r="F17" s="75"/>
      <c r="G17" s="175"/>
      <c r="H17" s="168"/>
      <c r="I17" s="150">
        <f t="shared" si="1"/>
      </c>
      <c r="J17" s="152"/>
      <c r="K17" s="150">
        <f t="shared" si="2"/>
      </c>
      <c r="L17" s="150">
        <f t="shared" si="3"/>
      </c>
      <c r="M17" s="151">
        <f t="shared" si="0"/>
      </c>
      <c r="N17" s="12">
        <v>5</v>
      </c>
      <c r="O17" s="114">
        <v>8</v>
      </c>
    </row>
    <row r="18" spans="1:15" ht="30.75" customHeight="1">
      <c r="A18" s="17">
        <v>6</v>
      </c>
      <c r="B18" s="583"/>
      <c r="C18" s="584"/>
      <c r="D18" s="601"/>
      <c r="E18" s="75"/>
      <c r="F18" s="75"/>
      <c r="G18" s="175"/>
      <c r="H18" s="168"/>
      <c r="I18" s="150">
        <f t="shared" si="1"/>
      </c>
      <c r="J18" s="152"/>
      <c r="K18" s="150">
        <f t="shared" si="2"/>
      </c>
      <c r="L18" s="150">
        <f t="shared" si="3"/>
      </c>
      <c r="M18" s="151">
        <f t="shared" si="0"/>
      </c>
      <c r="N18" s="13">
        <v>6</v>
      </c>
      <c r="O18" s="114">
        <v>8</v>
      </c>
    </row>
    <row r="19" spans="1:15" ht="30.75" customHeight="1">
      <c r="A19" s="17">
        <v>7</v>
      </c>
      <c r="B19" s="583"/>
      <c r="C19" s="584"/>
      <c r="D19" s="601"/>
      <c r="E19" s="75"/>
      <c r="F19" s="98"/>
      <c r="G19" s="175"/>
      <c r="H19" s="168"/>
      <c r="I19" s="150">
        <f t="shared" si="1"/>
      </c>
      <c r="J19" s="152"/>
      <c r="K19" s="150">
        <f t="shared" si="2"/>
      </c>
      <c r="L19" s="150">
        <f t="shared" si="3"/>
      </c>
      <c r="M19" s="151">
        <f t="shared" si="0"/>
      </c>
      <c r="N19" s="12">
        <v>7</v>
      </c>
      <c r="O19" s="114">
        <v>8</v>
      </c>
    </row>
    <row r="20" spans="1:15" ht="30.75" customHeight="1">
      <c r="A20" s="17">
        <v>8</v>
      </c>
      <c r="B20" s="583"/>
      <c r="C20" s="584"/>
      <c r="D20" s="601"/>
      <c r="E20" s="75"/>
      <c r="F20" s="75"/>
      <c r="G20" s="175"/>
      <c r="H20" s="168"/>
      <c r="I20" s="150">
        <f t="shared" si="1"/>
      </c>
      <c r="J20" s="152"/>
      <c r="K20" s="150">
        <f t="shared" si="2"/>
      </c>
      <c r="L20" s="150">
        <f t="shared" si="3"/>
      </c>
      <c r="M20" s="151">
        <f t="shared" si="0"/>
      </c>
      <c r="N20" s="13">
        <v>8</v>
      </c>
      <c r="O20" s="114">
        <v>8</v>
      </c>
    </row>
    <row r="21" spans="1:15" ht="30.75" customHeight="1">
      <c r="A21" s="17">
        <v>9</v>
      </c>
      <c r="B21" s="583"/>
      <c r="C21" s="584"/>
      <c r="D21" s="601"/>
      <c r="E21" s="75"/>
      <c r="F21" s="75"/>
      <c r="G21" s="175"/>
      <c r="H21" s="168"/>
      <c r="I21" s="150">
        <f t="shared" si="1"/>
      </c>
      <c r="J21" s="152"/>
      <c r="K21" s="150">
        <f t="shared" si="2"/>
      </c>
      <c r="L21" s="150">
        <f t="shared" si="3"/>
      </c>
      <c r="M21" s="151">
        <f t="shared" si="0"/>
      </c>
      <c r="N21" s="12">
        <v>9</v>
      </c>
      <c r="O21" s="114">
        <v>8</v>
      </c>
    </row>
    <row r="22" spans="1:15" ht="30.75" customHeight="1">
      <c r="A22" s="17">
        <v>10</v>
      </c>
      <c r="B22" s="583"/>
      <c r="C22" s="584"/>
      <c r="D22" s="601"/>
      <c r="E22" s="75"/>
      <c r="F22" s="75"/>
      <c r="G22" s="175"/>
      <c r="H22" s="168"/>
      <c r="I22" s="150">
        <f t="shared" si="1"/>
      </c>
      <c r="J22" s="152"/>
      <c r="K22" s="150">
        <f t="shared" si="2"/>
      </c>
      <c r="L22" s="150">
        <f t="shared" si="3"/>
      </c>
      <c r="M22" s="151">
        <f t="shared" si="0"/>
      </c>
      <c r="N22" s="13">
        <v>10</v>
      </c>
      <c r="O22" s="114">
        <v>8</v>
      </c>
    </row>
    <row r="23" spans="1:15" ht="30.75" customHeight="1">
      <c r="A23" s="17">
        <v>11</v>
      </c>
      <c r="B23" s="583"/>
      <c r="C23" s="584"/>
      <c r="D23" s="601"/>
      <c r="E23" s="75"/>
      <c r="F23" s="75"/>
      <c r="G23" s="175"/>
      <c r="H23" s="168"/>
      <c r="I23" s="150">
        <f t="shared" si="1"/>
      </c>
      <c r="J23" s="152"/>
      <c r="K23" s="150">
        <f t="shared" si="2"/>
      </c>
      <c r="L23" s="150">
        <f t="shared" si="3"/>
      </c>
      <c r="M23" s="151">
        <f t="shared" si="0"/>
      </c>
      <c r="N23" s="12">
        <v>11</v>
      </c>
      <c r="O23" s="114">
        <v>8</v>
      </c>
    </row>
    <row r="24" spans="1:15" ht="30.75" customHeight="1">
      <c r="A24" s="17">
        <v>12</v>
      </c>
      <c r="B24" s="583"/>
      <c r="C24" s="584"/>
      <c r="D24" s="601"/>
      <c r="E24" s="75"/>
      <c r="F24" s="75"/>
      <c r="G24" s="175"/>
      <c r="H24" s="168"/>
      <c r="I24" s="150">
        <f t="shared" si="1"/>
      </c>
      <c r="J24" s="152"/>
      <c r="K24" s="150">
        <f t="shared" si="2"/>
      </c>
      <c r="L24" s="150">
        <f t="shared" si="3"/>
      </c>
      <c r="M24" s="151">
        <f t="shared" si="0"/>
      </c>
      <c r="N24" s="13">
        <v>12</v>
      </c>
      <c r="O24" s="114">
        <v>8</v>
      </c>
    </row>
    <row r="25" spans="1:15" ht="30.75" customHeight="1">
      <c r="A25" s="17">
        <v>13</v>
      </c>
      <c r="B25" s="583"/>
      <c r="C25" s="584"/>
      <c r="D25" s="601"/>
      <c r="E25" s="75"/>
      <c r="F25" s="75"/>
      <c r="G25" s="175"/>
      <c r="H25" s="168"/>
      <c r="I25" s="150">
        <f t="shared" si="1"/>
      </c>
      <c r="J25" s="152"/>
      <c r="K25" s="150">
        <f t="shared" si="2"/>
      </c>
      <c r="L25" s="150">
        <f t="shared" si="3"/>
      </c>
      <c r="M25" s="151">
        <f t="shared" si="0"/>
      </c>
      <c r="N25" s="12">
        <v>13</v>
      </c>
      <c r="O25" s="114">
        <v>8</v>
      </c>
    </row>
    <row r="26" spans="1:15" ht="30.75" customHeight="1">
      <c r="A26" s="17">
        <v>14</v>
      </c>
      <c r="B26" s="583"/>
      <c r="C26" s="584"/>
      <c r="D26" s="601"/>
      <c r="E26" s="105"/>
      <c r="F26" s="75"/>
      <c r="G26" s="175"/>
      <c r="H26" s="168"/>
      <c r="I26" s="150">
        <f t="shared" si="1"/>
      </c>
      <c r="J26" s="152"/>
      <c r="K26" s="150">
        <f t="shared" si="2"/>
      </c>
      <c r="L26" s="150">
        <f t="shared" si="3"/>
      </c>
      <c r="M26" s="151">
        <f t="shared" si="0"/>
      </c>
      <c r="N26" s="13">
        <v>14</v>
      </c>
      <c r="O26" s="114">
        <v>8</v>
      </c>
    </row>
    <row r="27" spans="1:15" ht="30.75" customHeight="1">
      <c r="A27" s="17">
        <v>15</v>
      </c>
      <c r="B27" s="583"/>
      <c r="C27" s="584"/>
      <c r="D27" s="601"/>
      <c r="E27" s="105"/>
      <c r="F27" s="75"/>
      <c r="G27" s="175"/>
      <c r="H27" s="168"/>
      <c r="I27" s="150">
        <f t="shared" si="1"/>
      </c>
      <c r="J27" s="152"/>
      <c r="K27" s="150">
        <f t="shared" si="2"/>
      </c>
      <c r="L27" s="150">
        <f t="shared" si="3"/>
      </c>
      <c r="M27" s="151">
        <f t="shared" si="0"/>
      </c>
      <c r="N27" s="12">
        <v>15</v>
      </c>
      <c r="O27" s="114">
        <v>8</v>
      </c>
    </row>
    <row r="28" spans="1:15" ht="30.75" customHeight="1">
      <c r="A28" s="17">
        <v>16</v>
      </c>
      <c r="B28" s="583"/>
      <c r="C28" s="584"/>
      <c r="D28" s="601"/>
      <c r="E28" s="75"/>
      <c r="F28" s="75"/>
      <c r="G28" s="175"/>
      <c r="H28" s="168"/>
      <c r="I28" s="150">
        <f t="shared" si="1"/>
      </c>
      <c r="J28" s="152"/>
      <c r="K28" s="150">
        <f t="shared" si="2"/>
      </c>
      <c r="L28" s="150">
        <f t="shared" si="3"/>
      </c>
      <c r="M28" s="151">
        <f t="shared" si="0"/>
      </c>
      <c r="N28" s="13">
        <v>16</v>
      </c>
      <c r="O28" s="114">
        <v>8</v>
      </c>
    </row>
    <row r="29" spans="1:15" ht="30.75" customHeight="1">
      <c r="A29" s="17">
        <v>17</v>
      </c>
      <c r="B29" s="583"/>
      <c r="C29" s="584"/>
      <c r="D29" s="601"/>
      <c r="E29" s="75"/>
      <c r="F29" s="75"/>
      <c r="G29" s="175"/>
      <c r="H29" s="168"/>
      <c r="I29" s="150">
        <f t="shared" si="1"/>
      </c>
      <c r="J29" s="152"/>
      <c r="K29" s="150">
        <f t="shared" si="2"/>
      </c>
      <c r="L29" s="150">
        <f t="shared" si="3"/>
      </c>
      <c r="M29" s="151">
        <f t="shared" si="0"/>
      </c>
      <c r="N29" s="12">
        <v>17</v>
      </c>
      <c r="O29" s="114">
        <v>8</v>
      </c>
    </row>
    <row r="30" spans="1:15" ht="30.75" customHeight="1">
      <c r="A30" s="17">
        <v>18</v>
      </c>
      <c r="B30" s="583"/>
      <c r="C30" s="584"/>
      <c r="D30" s="601"/>
      <c r="E30" s="75"/>
      <c r="F30" s="75"/>
      <c r="G30" s="175"/>
      <c r="H30" s="168"/>
      <c r="I30" s="150">
        <f t="shared" si="1"/>
      </c>
      <c r="J30" s="152"/>
      <c r="K30" s="150">
        <f t="shared" si="2"/>
      </c>
      <c r="L30" s="150">
        <f t="shared" si="3"/>
      </c>
      <c r="M30" s="151">
        <f t="shared" si="0"/>
      </c>
      <c r="N30" s="13">
        <v>18</v>
      </c>
      <c r="O30" s="114">
        <v>8</v>
      </c>
    </row>
    <row r="31" spans="1:15" ht="30.75" customHeight="1">
      <c r="A31" s="17">
        <v>19</v>
      </c>
      <c r="B31" s="583"/>
      <c r="C31" s="584"/>
      <c r="D31" s="601"/>
      <c r="E31" s="105"/>
      <c r="F31" s="75"/>
      <c r="G31" s="175"/>
      <c r="H31" s="168"/>
      <c r="I31" s="150">
        <f t="shared" si="1"/>
      </c>
      <c r="J31" s="152"/>
      <c r="K31" s="150">
        <f t="shared" si="2"/>
      </c>
      <c r="L31" s="150">
        <f t="shared" si="3"/>
      </c>
      <c r="M31" s="151">
        <f t="shared" si="0"/>
      </c>
      <c r="N31" s="12">
        <v>19</v>
      </c>
      <c r="O31" s="114">
        <v>8</v>
      </c>
    </row>
    <row r="32" spans="1:15" ht="30.75" customHeight="1" thickBot="1">
      <c r="A32" s="27">
        <v>20</v>
      </c>
      <c r="B32" s="602"/>
      <c r="C32" s="603"/>
      <c r="D32" s="603"/>
      <c r="E32" s="100"/>
      <c r="F32" s="79"/>
      <c r="G32" s="178"/>
      <c r="H32" s="170"/>
      <c r="I32" s="153">
        <f t="shared" si="1"/>
      </c>
      <c r="J32" s="154"/>
      <c r="K32" s="153">
        <f t="shared" si="2"/>
      </c>
      <c r="L32" s="153">
        <f t="shared" si="3"/>
      </c>
      <c r="M32" s="155">
        <f t="shared" si="0"/>
      </c>
      <c r="N32" s="28">
        <v>20</v>
      </c>
      <c r="O32" s="115">
        <v>8</v>
      </c>
    </row>
    <row r="33" spans="1:14" ht="21" customHeight="1" thickBot="1">
      <c r="A33" s="599" t="s">
        <v>16</v>
      </c>
      <c r="B33" s="600"/>
      <c r="C33" s="600"/>
      <c r="D33" s="600"/>
      <c r="E33" s="600"/>
      <c r="F33" s="600"/>
      <c r="G33" s="600"/>
      <c r="H33" s="600"/>
      <c r="I33" s="600"/>
      <c r="J33" s="82"/>
      <c r="K33" s="156">
        <f>SUM(K13:K32)</f>
        <v>594000</v>
      </c>
      <c r="L33" s="146">
        <f>SUM(L13:L32)</f>
        <v>550000</v>
      </c>
      <c r="M33" s="157">
        <f>SUM(M13:M32)</f>
        <v>550000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613</v>
      </c>
      <c r="E2" s="85"/>
      <c r="H2" s="5"/>
      <c r="P2" s="5"/>
      <c r="Q2" s="86"/>
      <c r="R2" s="86"/>
    </row>
    <row r="3" spans="1:18" ht="13.5">
      <c r="A3" s="5"/>
      <c r="E3" s="85"/>
      <c r="H3" s="5"/>
      <c r="P3" s="5"/>
      <c r="Q3" s="86"/>
      <c r="R3" s="86"/>
    </row>
    <row r="4" spans="1:6" ht="13.5" customHeight="1">
      <c r="A4" s="587" t="s">
        <v>604</v>
      </c>
      <c r="B4" s="587"/>
      <c r="C4" s="587"/>
      <c r="D4" s="587"/>
      <c r="E4" s="587"/>
      <c r="F4" s="5"/>
    </row>
    <row r="5" spans="1:14" ht="13.5" customHeight="1">
      <c r="A5" s="11"/>
      <c r="B5" s="11"/>
      <c r="C5" s="11"/>
      <c r="D5" s="11"/>
      <c r="E5" s="87"/>
      <c r="F5" s="5"/>
      <c r="N5" s="11"/>
    </row>
    <row r="6" spans="1:14" ht="13.5" customHeight="1">
      <c r="A6" s="11"/>
      <c r="B6" s="250" t="s">
        <v>715</v>
      </c>
      <c r="C6" s="251"/>
      <c r="D6" s="252"/>
      <c r="E6" s="253"/>
      <c r="F6" s="88" t="s">
        <v>17</v>
      </c>
      <c r="N6" s="11"/>
    </row>
    <row r="7" spans="1:14" ht="13.5" customHeight="1">
      <c r="A7" s="11"/>
      <c r="B7" s="11"/>
      <c r="C7" s="11"/>
      <c r="D7" s="11"/>
      <c r="E7" s="87"/>
      <c r="F7" s="136" t="s">
        <v>36</v>
      </c>
      <c r="N7" s="11"/>
    </row>
    <row r="8" spans="1:15" ht="13.5" customHeight="1">
      <c r="A8" s="11"/>
      <c r="B8" s="11"/>
      <c r="C8" s="11"/>
      <c r="D8" s="11"/>
      <c r="E8" s="87"/>
      <c r="F8" s="5"/>
      <c r="M8" s="1" t="s">
        <v>21</v>
      </c>
      <c r="N8" s="11"/>
      <c r="O8" s="89"/>
    </row>
    <row r="9" spans="1:14" ht="13.5" customHeight="1">
      <c r="A9" s="90"/>
      <c r="F9" s="5"/>
      <c r="I9" s="2" t="s">
        <v>533</v>
      </c>
      <c r="J9" s="80" t="str">
        <f>IF('基本情報入力（使い方）'!$C$10="","",'基本情報入力（使い方）'!$C$10)</f>
        <v>Ｂ金属株式会社</v>
      </c>
      <c r="K9" s="2"/>
      <c r="L9" s="8"/>
      <c r="M9" s="91"/>
      <c r="N9" s="11"/>
    </row>
    <row r="10" spans="1:14" ht="13.5" customHeight="1" thickBot="1">
      <c r="A10" s="90"/>
      <c r="F10" s="5"/>
      <c r="N10" s="11"/>
    </row>
    <row r="11" spans="1:15" ht="27" customHeight="1">
      <c r="A11" s="588" t="s">
        <v>2</v>
      </c>
      <c r="B11" s="577" t="s">
        <v>3</v>
      </c>
      <c r="C11" s="577"/>
      <c r="D11" s="578"/>
      <c r="E11" s="3" t="s">
        <v>4</v>
      </c>
      <c r="F11" s="3" t="s">
        <v>5</v>
      </c>
      <c r="G11" s="3" t="s">
        <v>6</v>
      </c>
      <c r="H11" s="3" t="s">
        <v>7</v>
      </c>
      <c r="I11" s="3" t="s">
        <v>1</v>
      </c>
      <c r="J11" s="3" t="s">
        <v>1</v>
      </c>
      <c r="K11" s="598" t="s">
        <v>8</v>
      </c>
      <c r="L11" s="578"/>
      <c r="M11" s="3" t="s">
        <v>9</v>
      </c>
      <c r="N11" s="579" t="s">
        <v>2</v>
      </c>
      <c r="O11" s="592" t="s">
        <v>46</v>
      </c>
    </row>
    <row r="12" spans="1:15" ht="42" customHeight="1" thickBot="1">
      <c r="A12" s="589"/>
      <c r="B12" s="92" t="s">
        <v>10</v>
      </c>
      <c r="C12" s="92" t="s">
        <v>11</v>
      </c>
      <c r="D12" s="93" t="s">
        <v>12</v>
      </c>
      <c r="E12" s="94"/>
      <c r="F12" s="95"/>
      <c r="G12" s="81"/>
      <c r="H12" s="81"/>
      <c r="I12" s="81" t="s">
        <v>13</v>
      </c>
      <c r="J12" s="81" t="s">
        <v>26</v>
      </c>
      <c r="K12" s="81" t="s">
        <v>14</v>
      </c>
      <c r="L12" s="4" t="s">
        <v>24</v>
      </c>
      <c r="M12" s="81" t="s">
        <v>15</v>
      </c>
      <c r="N12" s="580"/>
      <c r="O12" s="593"/>
    </row>
    <row r="13" spans="1:15" ht="30.75" customHeight="1">
      <c r="A13" s="16">
        <v>1</v>
      </c>
      <c r="B13" s="594"/>
      <c r="C13" s="595"/>
      <c r="D13" s="595"/>
      <c r="E13" s="96" t="s">
        <v>648</v>
      </c>
      <c r="F13" s="74" t="s">
        <v>649</v>
      </c>
      <c r="G13" s="175">
        <v>150</v>
      </c>
      <c r="H13" s="168" t="s">
        <v>650</v>
      </c>
      <c r="I13" s="150">
        <f>IF(J13="","",ROUNDDOWN(J13*(1+O13/100),0))</f>
        <v>6372</v>
      </c>
      <c r="J13" s="148">
        <v>5900</v>
      </c>
      <c r="K13" s="150">
        <f>IF(L13="","",ROUNDDOWN(L13*(1+O13/100),0))</f>
        <v>955800</v>
      </c>
      <c r="L13" s="150">
        <f>IF(OR(J13="",G13=""),"",ROUNDDOWN(J13*G13,0))</f>
        <v>885000</v>
      </c>
      <c r="M13" s="151">
        <f aca="true" t="shared" si="0" ref="M13:M32">L13</f>
        <v>885000</v>
      </c>
      <c r="N13" s="12">
        <v>1</v>
      </c>
      <c r="O13" s="114">
        <v>8</v>
      </c>
    </row>
    <row r="14" spans="1:15" ht="30.75" customHeight="1">
      <c r="A14" s="17">
        <v>2</v>
      </c>
      <c r="B14" s="583"/>
      <c r="C14" s="584"/>
      <c r="D14" s="584"/>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83"/>
      <c r="C15" s="584"/>
      <c r="D15" s="584"/>
      <c r="E15" s="97"/>
      <c r="F15" s="75"/>
      <c r="G15" s="175"/>
      <c r="H15" s="168"/>
      <c r="I15" s="150">
        <f t="shared" si="1"/>
      </c>
      <c r="J15" s="152"/>
      <c r="K15" s="150">
        <f t="shared" si="2"/>
      </c>
      <c r="L15" s="150">
        <f t="shared" si="3"/>
      </c>
      <c r="M15" s="151">
        <f t="shared" si="0"/>
      </c>
      <c r="N15" s="12">
        <v>3</v>
      </c>
      <c r="O15" s="114">
        <v>8</v>
      </c>
    </row>
    <row r="16" spans="1:15" ht="30.75" customHeight="1">
      <c r="A16" s="17">
        <v>4</v>
      </c>
      <c r="B16" s="583"/>
      <c r="C16" s="584"/>
      <c r="D16" s="584"/>
      <c r="E16" s="97"/>
      <c r="F16" s="75"/>
      <c r="G16" s="175"/>
      <c r="H16" s="168"/>
      <c r="I16" s="150">
        <f t="shared" si="1"/>
      </c>
      <c r="J16" s="152"/>
      <c r="K16" s="150">
        <f t="shared" si="2"/>
      </c>
      <c r="L16" s="150">
        <f t="shared" si="3"/>
      </c>
      <c r="M16" s="151">
        <f t="shared" si="0"/>
      </c>
      <c r="N16" s="13">
        <v>4</v>
      </c>
      <c r="O16" s="114">
        <v>8</v>
      </c>
    </row>
    <row r="17" spans="1:15" ht="30.75" customHeight="1">
      <c r="A17" s="17">
        <v>5</v>
      </c>
      <c r="B17" s="583"/>
      <c r="C17" s="584"/>
      <c r="D17" s="584"/>
      <c r="E17" s="97"/>
      <c r="F17" s="75"/>
      <c r="G17" s="175"/>
      <c r="H17" s="168"/>
      <c r="I17" s="150">
        <f t="shared" si="1"/>
      </c>
      <c r="J17" s="152"/>
      <c r="K17" s="150">
        <f t="shared" si="2"/>
      </c>
      <c r="L17" s="150">
        <f t="shared" si="3"/>
      </c>
      <c r="M17" s="151">
        <f t="shared" si="0"/>
      </c>
      <c r="N17" s="12">
        <v>5</v>
      </c>
      <c r="O17" s="114">
        <v>8</v>
      </c>
    </row>
    <row r="18" spans="1:15" ht="30.75" customHeight="1">
      <c r="A18" s="17">
        <v>6</v>
      </c>
      <c r="B18" s="583"/>
      <c r="C18" s="584"/>
      <c r="D18" s="584"/>
      <c r="E18" s="97"/>
      <c r="F18" s="75"/>
      <c r="G18" s="175"/>
      <c r="H18" s="168"/>
      <c r="I18" s="150">
        <f t="shared" si="1"/>
      </c>
      <c r="J18" s="152"/>
      <c r="K18" s="150">
        <f t="shared" si="2"/>
      </c>
      <c r="L18" s="150">
        <f t="shared" si="3"/>
      </c>
      <c r="M18" s="151">
        <f t="shared" si="0"/>
      </c>
      <c r="N18" s="13">
        <v>6</v>
      </c>
      <c r="O18" s="114">
        <v>8</v>
      </c>
    </row>
    <row r="19" spans="1:15" ht="30.75" customHeight="1">
      <c r="A19" s="17">
        <v>7</v>
      </c>
      <c r="B19" s="583"/>
      <c r="C19" s="584"/>
      <c r="D19" s="584"/>
      <c r="E19" s="97"/>
      <c r="F19" s="98"/>
      <c r="G19" s="175"/>
      <c r="H19" s="168"/>
      <c r="I19" s="150">
        <f t="shared" si="1"/>
      </c>
      <c r="J19" s="152"/>
      <c r="K19" s="150">
        <f t="shared" si="2"/>
      </c>
      <c r="L19" s="150">
        <f t="shared" si="3"/>
      </c>
      <c r="M19" s="151">
        <f t="shared" si="0"/>
      </c>
      <c r="N19" s="12">
        <v>7</v>
      </c>
      <c r="O19" s="114">
        <v>8</v>
      </c>
    </row>
    <row r="20" spans="1:15" ht="30.75" customHeight="1">
      <c r="A20" s="17">
        <v>8</v>
      </c>
      <c r="B20" s="583"/>
      <c r="C20" s="584"/>
      <c r="D20" s="584"/>
      <c r="E20" s="97"/>
      <c r="F20" s="75"/>
      <c r="G20" s="175"/>
      <c r="H20" s="168"/>
      <c r="I20" s="150">
        <f t="shared" si="1"/>
      </c>
      <c r="J20" s="152"/>
      <c r="K20" s="150">
        <f t="shared" si="2"/>
      </c>
      <c r="L20" s="150">
        <f t="shared" si="3"/>
      </c>
      <c r="M20" s="151">
        <f t="shared" si="0"/>
      </c>
      <c r="N20" s="13">
        <v>8</v>
      </c>
      <c r="O20" s="114">
        <v>8</v>
      </c>
    </row>
    <row r="21" spans="1:15" ht="30.75" customHeight="1">
      <c r="A21" s="17">
        <v>9</v>
      </c>
      <c r="B21" s="583"/>
      <c r="C21" s="584"/>
      <c r="D21" s="584"/>
      <c r="E21" s="97"/>
      <c r="F21" s="75"/>
      <c r="G21" s="175"/>
      <c r="H21" s="168"/>
      <c r="I21" s="150">
        <f t="shared" si="1"/>
      </c>
      <c r="J21" s="152"/>
      <c r="K21" s="150">
        <f t="shared" si="2"/>
      </c>
      <c r="L21" s="150">
        <f t="shared" si="3"/>
      </c>
      <c r="M21" s="151">
        <f t="shared" si="0"/>
      </c>
      <c r="N21" s="12">
        <v>9</v>
      </c>
      <c r="O21" s="114">
        <v>8</v>
      </c>
    </row>
    <row r="22" spans="1:15" ht="30.75" customHeight="1">
      <c r="A22" s="17">
        <v>10</v>
      </c>
      <c r="B22" s="583"/>
      <c r="C22" s="584"/>
      <c r="D22" s="584"/>
      <c r="E22" s="97"/>
      <c r="F22" s="75"/>
      <c r="G22" s="175"/>
      <c r="H22" s="168"/>
      <c r="I22" s="150">
        <f t="shared" si="1"/>
      </c>
      <c r="J22" s="152"/>
      <c r="K22" s="150">
        <f t="shared" si="2"/>
      </c>
      <c r="L22" s="150">
        <f t="shared" si="3"/>
      </c>
      <c r="M22" s="151">
        <f t="shared" si="0"/>
      </c>
      <c r="N22" s="13">
        <v>10</v>
      </c>
      <c r="O22" s="114">
        <v>8</v>
      </c>
    </row>
    <row r="23" spans="1:15" ht="30.75" customHeight="1">
      <c r="A23" s="17">
        <v>11</v>
      </c>
      <c r="B23" s="583"/>
      <c r="C23" s="584"/>
      <c r="D23" s="584"/>
      <c r="E23" s="97"/>
      <c r="F23" s="75"/>
      <c r="G23" s="175"/>
      <c r="H23" s="168"/>
      <c r="I23" s="150">
        <f t="shared" si="1"/>
      </c>
      <c r="J23" s="152"/>
      <c r="K23" s="150">
        <f t="shared" si="2"/>
      </c>
      <c r="L23" s="150">
        <f t="shared" si="3"/>
      </c>
      <c r="M23" s="151">
        <f t="shared" si="0"/>
      </c>
      <c r="N23" s="12">
        <v>11</v>
      </c>
      <c r="O23" s="114">
        <v>8</v>
      </c>
    </row>
    <row r="24" spans="1:15" ht="30.75" customHeight="1">
      <c r="A24" s="17">
        <v>12</v>
      </c>
      <c r="B24" s="583"/>
      <c r="C24" s="584"/>
      <c r="D24" s="584"/>
      <c r="E24" s="97"/>
      <c r="F24" s="75"/>
      <c r="G24" s="175"/>
      <c r="H24" s="168"/>
      <c r="I24" s="150">
        <f t="shared" si="1"/>
      </c>
      <c r="J24" s="152"/>
      <c r="K24" s="150">
        <f t="shared" si="2"/>
      </c>
      <c r="L24" s="150">
        <f t="shared" si="3"/>
      </c>
      <c r="M24" s="151">
        <f t="shared" si="0"/>
      </c>
      <c r="N24" s="13">
        <v>12</v>
      </c>
      <c r="O24" s="114">
        <v>8</v>
      </c>
    </row>
    <row r="25" spans="1:15" ht="30.75" customHeight="1">
      <c r="A25" s="17">
        <v>13</v>
      </c>
      <c r="B25" s="583"/>
      <c r="C25" s="584"/>
      <c r="D25" s="584"/>
      <c r="E25" s="97"/>
      <c r="F25" s="75"/>
      <c r="G25" s="175"/>
      <c r="H25" s="168"/>
      <c r="I25" s="150">
        <f t="shared" si="1"/>
      </c>
      <c r="J25" s="152"/>
      <c r="K25" s="150">
        <f t="shared" si="2"/>
      </c>
      <c r="L25" s="150">
        <f t="shared" si="3"/>
      </c>
      <c r="M25" s="151">
        <f t="shared" si="0"/>
      </c>
      <c r="N25" s="12">
        <v>13</v>
      </c>
      <c r="O25" s="114">
        <v>8</v>
      </c>
    </row>
    <row r="26" spans="1:15" ht="30.75" customHeight="1">
      <c r="A26" s="17">
        <v>14</v>
      </c>
      <c r="B26" s="583"/>
      <c r="C26" s="584"/>
      <c r="D26" s="584"/>
      <c r="E26" s="99"/>
      <c r="F26" s="75"/>
      <c r="G26" s="175"/>
      <c r="H26" s="168"/>
      <c r="I26" s="150">
        <f t="shared" si="1"/>
      </c>
      <c r="J26" s="152"/>
      <c r="K26" s="150">
        <f t="shared" si="2"/>
      </c>
      <c r="L26" s="150">
        <f t="shared" si="3"/>
      </c>
      <c r="M26" s="151">
        <f t="shared" si="0"/>
      </c>
      <c r="N26" s="13">
        <v>14</v>
      </c>
      <c r="O26" s="114">
        <v>8</v>
      </c>
    </row>
    <row r="27" spans="1:15" ht="30.75" customHeight="1">
      <c r="A27" s="17">
        <v>15</v>
      </c>
      <c r="B27" s="583"/>
      <c r="C27" s="584"/>
      <c r="D27" s="584"/>
      <c r="E27" s="99"/>
      <c r="F27" s="75"/>
      <c r="G27" s="175"/>
      <c r="H27" s="168"/>
      <c r="I27" s="150">
        <f t="shared" si="1"/>
      </c>
      <c r="J27" s="152"/>
      <c r="K27" s="150">
        <f t="shared" si="2"/>
      </c>
      <c r="L27" s="150">
        <f t="shared" si="3"/>
      </c>
      <c r="M27" s="151">
        <f t="shared" si="0"/>
      </c>
      <c r="N27" s="12">
        <v>15</v>
      </c>
      <c r="O27" s="114">
        <v>8</v>
      </c>
    </row>
    <row r="28" spans="1:15" ht="30.75" customHeight="1">
      <c r="A28" s="17">
        <v>16</v>
      </c>
      <c r="B28" s="583"/>
      <c r="C28" s="584"/>
      <c r="D28" s="584"/>
      <c r="E28" s="97"/>
      <c r="F28" s="75"/>
      <c r="G28" s="175"/>
      <c r="H28" s="168"/>
      <c r="I28" s="150">
        <f t="shared" si="1"/>
      </c>
      <c r="J28" s="152"/>
      <c r="K28" s="150">
        <f t="shared" si="2"/>
      </c>
      <c r="L28" s="150">
        <f t="shared" si="3"/>
      </c>
      <c r="M28" s="151">
        <f t="shared" si="0"/>
      </c>
      <c r="N28" s="13">
        <v>16</v>
      </c>
      <c r="O28" s="114">
        <v>8</v>
      </c>
    </row>
    <row r="29" spans="1:15" ht="30.75" customHeight="1">
      <c r="A29" s="17">
        <v>17</v>
      </c>
      <c r="B29" s="583"/>
      <c r="C29" s="584"/>
      <c r="D29" s="584"/>
      <c r="E29" s="97"/>
      <c r="F29" s="75"/>
      <c r="G29" s="175"/>
      <c r="H29" s="168"/>
      <c r="I29" s="150">
        <f t="shared" si="1"/>
      </c>
      <c r="J29" s="152"/>
      <c r="K29" s="150">
        <f t="shared" si="2"/>
      </c>
      <c r="L29" s="150">
        <f t="shared" si="3"/>
      </c>
      <c r="M29" s="151">
        <f t="shared" si="0"/>
      </c>
      <c r="N29" s="12">
        <v>17</v>
      </c>
      <c r="O29" s="114">
        <v>8</v>
      </c>
    </row>
    <row r="30" spans="1:15" ht="30.75" customHeight="1">
      <c r="A30" s="17">
        <v>18</v>
      </c>
      <c r="B30" s="583"/>
      <c r="C30" s="584"/>
      <c r="D30" s="584"/>
      <c r="E30" s="97"/>
      <c r="F30" s="75"/>
      <c r="G30" s="175"/>
      <c r="H30" s="168"/>
      <c r="I30" s="150">
        <f t="shared" si="1"/>
      </c>
      <c r="J30" s="152"/>
      <c r="K30" s="150">
        <f t="shared" si="2"/>
      </c>
      <c r="L30" s="150">
        <f t="shared" si="3"/>
      </c>
      <c r="M30" s="151">
        <f t="shared" si="0"/>
      </c>
      <c r="N30" s="13">
        <v>18</v>
      </c>
      <c r="O30" s="114">
        <v>8</v>
      </c>
    </row>
    <row r="31" spans="1:15" ht="30.75" customHeight="1">
      <c r="A31" s="17">
        <v>19</v>
      </c>
      <c r="B31" s="583"/>
      <c r="C31" s="584"/>
      <c r="D31" s="584"/>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90"/>
      <c r="C32" s="591"/>
      <c r="D32" s="591"/>
      <c r="E32" s="100"/>
      <c r="F32" s="79"/>
      <c r="G32" s="178"/>
      <c r="H32" s="170"/>
      <c r="I32" s="153">
        <f t="shared" si="1"/>
      </c>
      <c r="J32" s="154"/>
      <c r="K32" s="153">
        <f t="shared" si="2"/>
      </c>
      <c r="L32" s="153">
        <f t="shared" si="3"/>
      </c>
      <c r="M32" s="155">
        <f t="shared" si="0"/>
      </c>
      <c r="N32" s="28">
        <v>20</v>
      </c>
      <c r="O32" s="115">
        <v>8</v>
      </c>
    </row>
    <row r="33" spans="1:14" ht="21" customHeight="1" thickBot="1">
      <c r="A33" s="599" t="s">
        <v>16</v>
      </c>
      <c r="B33" s="600"/>
      <c r="C33" s="600"/>
      <c r="D33" s="600"/>
      <c r="E33" s="600"/>
      <c r="F33" s="600"/>
      <c r="G33" s="600"/>
      <c r="H33" s="600"/>
      <c r="I33" s="600"/>
      <c r="J33" s="82"/>
      <c r="K33" s="149">
        <f>SUM(K13:K32)</f>
        <v>955800</v>
      </c>
      <c r="L33" s="149">
        <f>SUM(L13:L32)</f>
        <v>885000</v>
      </c>
      <c r="M33" s="147">
        <f>SUM(M13:M32)</f>
        <v>885000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613</v>
      </c>
      <c r="E2" s="85"/>
      <c r="H2" s="5"/>
      <c r="P2" s="5"/>
      <c r="Q2" s="86"/>
      <c r="R2" s="86"/>
    </row>
    <row r="3" spans="1:18" ht="13.5">
      <c r="A3" s="5"/>
      <c r="E3" s="85"/>
      <c r="H3" s="5"/>
      <c r="P3" s="5"/>
      <c r="Q3" s="86"/>
      <c r="R3" s="86"/>
    </row>
    <row r="4" spans="1:6" ht="13.5" customHeight="1">
      <c r="A4" s="587" t="s">
        <v>604</v>
      </c>
      <c r="B4" s="587"/>
      <c r="C4" s="587"/>
      <c r="D4" s="587"/>
      <c r="E4" s="587"/>
      <c r="F4" s="5"/>
    </row>
    <row r="5" spans="1:14" ht="13.5" customHeight="1">
      <c r="A5" s="11"/>
      <c r="B5" s="11"/>
      <c r="C5" s="11"/>
      <c r="D5" s="11"/>
      <c r="E5" s="87"/>
      <c r="F5" s="5"/>
      <c r="N5" s="11"/>
    </row>
    <row r="6" spans="1:14" ht="13.5" customHeight="1">
      <c r="A6" s="11"/>
      <c r="B6" s="250" t="s">
        <v>715</v>
      </c>
      <c r="C6" s="251"/>
      <c r="D6" s="252"/>
      <c r="E6" s="253"/>
      <c r="F6" s="88" t="s">
        <v>17</v>
      </c>
      <c r="N6" s="11"/>
    </row>
    <row r="7" spans="1:14" ht="13.5" customHeight="1">
      <c r="A7" s="11"/>
      <c r="B7" s="11"/>
      <c r="C7" s="11"/>
      <c r="D7" s="11"/>
      <c r="E7" s="87"/>
      <c r="F7" s="136" t="s">
        <v>574</v>
      </c>
      <c r="N7" s="11"/>
    </row>
    <row r="8" spans="1:15" ht="13.5" customHeight="1">
      <c r="A8" s="11"/>
      <c r="B8" s="11"/>
      <c r="C8" s="11"/>
      <c r="D8" s="11"/>
      <c r="E8" s="87"/>
      <c r="F8" s="5"/>
      <c r="M8" s="1" t="s">
        <v>21</v>
      </c>
      <c r="N8" s="11"/>
      <c r="O8" s="89"/>
    </row>
    <row r="9" spans="1:14" ht="13.5" customHeight="1">
      <c r="A9" s="90"/>
      <c r="F9" s="5"/>
      <c r="I9" s="2" t="s">
        <v>533</v>
      </c>
      <c r="J9" s="80" t="str">
        <f>IF('基本情報入力（使い方）'!$C$10="","",'基本情報入力（使い方）'!$C$10)</f>
        <v>Ｂ金属株式会社</v>
      </c>
      <c r="K9" s="2"/>
      <c r="L9" s="8"/>
      <c r="M9" s="91"/>
      <c r="N9" s="11"/>
    </row>
    <row r="10" spans="1:14" ht="13.5" customHeight="1" thickBot="1">
      <c r="A10" s="90"/>
      <c r="F10" s="5"/>
      <c r="N10" s="11"/>
    </row>
    <row r="11" spans="1:15" ht="27" customHeight="1">
      <c r="A11" s="588" t="s">
        <v>2</v>
      </c>
      <c r="B11" s="577" t="s">
        <v>3</v>
      </c>
      <c r="C11" s="577"/>
      <c r="D11" s="578"/>
      <c r="E11" s="3" t="s">
        <v>4</v>
      </c>
      <c r="F11" s="3" t="s">
        <v>5</v>
      </c>
      <c r="G11" s="3" t="s">
        <v>6</v>
      </c>
      <c r="H11" s="3" t="s">
        <v>7</v>
      </c>
      <c r="I11" s="3" t="s">
        <v>1</v>
      </c>
      <c r="J11" s="3" t="s">
        <v>1</v>
      </c>
      <c r="K11" s="598" t="s">
        <v>8</v>
      </c>
      <c r="L11" s="578"/>
      <c r="M11" s="3" t="s">
        <v>9</v>
      </c>
      <c r="N11" s="579" t="s">
        <v>2</v>
      </c>
      <c r="O11" s="592" t="s">
        <v>46</v>
      </c>
    </row>
    <row r="12" spans="1:15" ht="42" customHeight="1" thickBot="1">
      <c r="A12" s="589"/>
      <c r="B12" s="92" t="s">
        <v>10</v>
      </c>
      <c r="C12" s="92" t="s">
        <v>11</v>
      </c>
      <c r="D12" s="93" t="s">
        <v>12</v>
      </c>
      <c r="E12" s="94"/>
      <c r="F12" s="95"/>
      <c r="G12" s="81"/>
      <c r="H12" s="81"/>
      <c r="I12" s="81" t="s">
        <v>13</v>
      </c>
      <c r="J12" s="81" t="s">
        <v>26</v>
      </c>
      <c r="K12" s="81" t="s">
        <v>14</v>
      </c>
      <c r="L12" s="4" t="s">
        <v>24</v>
      </c>
      <c r="M12" s="81" t="s">
        <v>15</v>
      </c>
      <c r="N12" s="580"/>
      <c r="O12" s="593"/>
    </row>
    <row r="13" spans="1:15" ht="30.75" customHeight="1">
      <c r="A13" s="16">
        <v>1</v>
      </c>
      <c r="B13" s="594"/>
      <c r="C13" s="595"/>
      <c r="D13" s="595"/>
      <c r="E13" s="96" t="s">
        <v>651</v>
      </c>
      <c r="F13" s="73" t="s">
        <v>653</v>
      </c>
      <c r="G13" s="175">
        <v>20</v>
      </c>
      <c r="H13" s="168" t="s">
        <v>654</v>
      </c>
      <c r="I13" s="150">
        <f>IF(J13="","",ROUNDDOWN(J13*(1+O13/100),0))</f>
        <v>54000</v>
      </c>
      <c r="J13" s="148">
        <v>50000</v>
      </c>
      <c r="K13" s="150">
        <f>IF(L13="","",ROUNDDOWN(L13*(1+O13/100),0))</f>
        <v>1080000</v>
      </c>
      <c r="L13" s="150">
        <f>IF(OR(J13="",G13=""),"",ROUNDDOWN(J13*G13,0))</f>
        <v>1000000</v>
      </c>
      <c r="M13" s="151">
        <f aca="true" t="shared" si="0" ref="M13:M32">L13</f>
        <v>1000000</v>
      </c>
      <c r="N13" s="12">
        <v>1</v>
      </c>
      <c r="O13" s="114">
        <v>8</v>
      </c>
    </row>
    <row r="14" spans="1:15" ht="30.75" customHeight="1">
      <c r="A14" s="17">
        <v>2</v>
      </c>
      <c r="B14" s="583"/>
      <c r="C14" s="584"/>
      <c r="D14" s="584"/>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51">
        <f t="shared" si="0"/>
      </c>
      <c r="N14" s="13">
        <v>2</v>
      </c>
      <c r="O14" s="114">
        <v>8</v>
      </c>
    </row>
    <row r="15" spans="1:15" ht="30.75" customHeight="1">
      <c r="A15" s="17">
        <v>3</v>
      </c>
      <c r="B15" s="583"/>
      <c r="C15" s="584"/>
      <c r="D15" s="584"/>
      <c r="E15" s="97"/>
      <c r="F15" s="75"/>
      <c r="G15" s="175"/>
      <c r="H15" s="168"/>
      <c r="I15" s="150">
        <f t="shared" si="1"/>
      </c>
      <c r="J15" s="152"/>
      <c r="K15" s="150">
        <f t="shared" si="2"/>
      </c>
      <c r="L15" s="150">
        <f t="shared" si="3"/>
      </c>
      <c r="M15" s="151">
        <f t="shared" si="0"/>
      </c>
      <c r="N15" s="12">
        <v>3</v>
      </c>
      <c r="O15" s="114">
        <v>8</v>
      </c>
    </row>
    <row r="16" spans="1:15" ht="30.75" customHeight="1">
      <c r="A16" s="17">
        <v>4</v>
      </c>
      <c r="B16" s="583"/>
      <c r="C16" s="584"/>
      <c r="D16" s="584"/>
      <c r="E16" s="97"/>
      <c r="F16" s="75"/>
      <c r="G16" s="175"/>
      <c r="H16" s="168"/>
      <c r="I16" s="150">
        <f t="shared" si="1"/>
      </c>
      <c r="J16" s="152"/>
      <c r="K16" s="150">
        <f t="shared" si="2"/>
      </c>
      <c r="L16" s="150">
        <f t="shared" si="3"/>
      </c>
      <c r="M16" s="151">
        <f t="shared" si="0"/>
      </c>
      <c r="N16" s="13">
        <v>4</v>
      </c>
      <c r="O16" s="114">
        <v>8</v>
      </c>
    </row>
    <row r="17" spans="1:15" ht="30.75" customHeight="1">
      <c r="A17" s="17">
        <v>5</v>
      </c>
      <c r="B17" s="583"/>
      <c r="C17" s="584"/>
      <c r="D17" s="584"/>
      <c r="E17" s="97"/>
      <c r="F17" s="75"/>
      <c r="G17" s="175"/>
      <c r="H17" s="168"/>
      <c r="I17" s="150">
        <f t="shared" si="1"/>
      </c>
      <c r="J17" s="152"/>
      <c r="K17" s="150">
        <f t="shared" si="2"/>
      </c>
      <c r="L17" s="150">
        <f t="shared" si="3"/>
      </c>
      <c r="M17" s="151">
        <f t="shared" si="0"/>
      </c>
      <c r="N17" s="12">
        <v>5</v>
      </c>
      <c r="O17" s="114">
        <v>8</v>
      </c>
    </row>
    <row r="18" spans="1:15" ht="30.75" customHeight="1">
      <c r="A18" s="17">
        <v>6</v>
      </c>
      <c r="B18" s="583"/>
      <c r="C18" s="584"/>
      <c r="D18" s="584"/>
      <c r="E18" s="97"/>
      <c r="F18" s="75"/>
      <c r="G18" s="175"/>
      <c r="H18" s="168"/>
      <c r="I18" s="150">
        <f t="shared" si="1"/>
      </c>
      <c r="J18" s="152"/>
      <c r="K18" s="150">
        <f t="shared" si="2"/>
      </c>
      <c r="L18" s="150">
        <f t="shared" si="3"/>
      </c>
      <c r="M18" s="151">
        <f t="shared" si="0"/>
      </c>
      <c r="N18" s="13">
        <v>6</v>
      </c>
      <c r="O18" s="114">
        <v>8</v>
      </c>
    </row>
    <row r="19" spans="1:15" ht="30.75" customHeight="1">
      <c r="A19" s="17">
        <v>7</v>
      </c>
      <c r="B19" s="583"/>
      <c r="C19" s="584"/>
      <c r="D19" s="584"/>
      <c r="E19" s="97"/>
      <c r="F19" s="98"/>
      <c r="G19" s="175"/>
      <c r="H19" s="168"/>
      <c r="I19" s="150">
        <f t="shared" si="1"/>
      </c>
      <c r="J19" s="152"/>
      <c r="K19" s="150">
        <f t="shared" si="2"/>
      </c>
      <c r="L19" s="150">
        <f t="shared" si="3"/>
      </c>
      <c r="M19" s="151">
        <f t="shared" si="0"/>
      </c>
      <c r="N19" s="12">
        <v>7</v>
      </c>
      <c r="O19" s="114">
        <v>8</v>
      </c>
    </row>
    <row r="20" spans="1:15" ht="30.75" customHeight="1">
      <c r="A20" s="17">
        <v>8</v>
      </c>
      <c r="B20" s="583"/>
      <c r="C20" s="584"/>
      <c r="D20" s="584"/>
      <c r="E20" s="97"/>
      <c r="F20" s="75"/>
      <c r="G20" s="175"/>
      <c r="H20" s="168"/>
      <c r="I20" s="150">
        <f t="shared" si="1"/>
      </c>
      <c r="J20" s="152"/>
      <c r="K20" s="150">
        <f t="shared" si="2"/>
      </c>
      <c r="L20" s="150">
        <f t="shared" si="3"/>
      </c>
      <c r="M20" s="151">
        <f t="shared" si="0"/>
      </c>
      <c r="N20" s="13">
        <v>8</v>
      </c>
      <c r="O20" s="114">
        <v>8</v>
      </c>
    </row>
    <row r="21" spans="1:15" ht="30.75" customHeight="1">
      <c r="A21" s="17">
        <v>9</v>
      </c>
      <c r="B21" s="583"/>
      <c r="C21" s="584"/>
      <c r="D21" s="584"/>
      <c r="E21" s="97"/>
      <c r="F21" s="75"/>
      <c r="G21" s="175"/>
      <c r="H21" s="168"/>
      <c r="I21" s="150">
        <f t="shared" si="1"/>
      </c>
      <c r="J21" s="152"/>
      <c r="K21" s="150">
        <f t="shared" si="2"/>
      </c>
      <c r="L21" s="150">
        <f t="shared" si="3"/>
      </c>
      <c r="M21" s="151">
        <f t="shared" si="0"/>
      </c>
      <c r="N21" s="12">
        <v>9</v>
      </c>
      <c r="O21" s="114">
        <v>8</v>
      </c>
    </row>
    <row r="22" spans="1:15" ht="30.75" customHeight="1">
      <c r="A22" s="17">
        <v>10</v>
      </c>
      <c r="B22" s="583"/>
      <c r="C22" s="584"/>
      <c r="D22" s="584"/>
      <c r="E22" s="97"/>
      <c r="F22" s="75"/>
      <c r="G22" s="175"/>
      <c r="H22" s="168"/>
      <c r="I22" s="150">
        <f t="shared" si="1"/>
      </c>
      <c r="J22" s="152"/>
      <c r="K22" s="150">
        <f t="shared" si="2"/>
      </c>
      <c r="L22" s="150">
        <f t="shared" si="3"/>
      </c>
      <c r="M22" s="151">
        <f t="shared" si="0"/>
      </c>
      <c r="N22" s="13">
        <v>10</v>
      </c>
      <c r="O22" s="114">
        <v>8</v>
      </c>
    </row>
    <row r="23" spans="1:15" ht="30.75" customHeight="1">
      <c r="A23" s="17">
        <v>11</v>
      </c>
      <c r="B23" s="583"/>
      <c r="C23" s="584"/>
      <c r="D23" s="584"/>
      <c r="E23" s="97"/>
      <c r="F23" s="75"/>
      <c r="G23" s="175"/>
      <c r="H23" s="168"/>
      <c r="I23" s="150">
        <f t="shared" si="1"/>
      </c>
      <c r="J23" s="152"/>
      <c r="K23" s="150">
        <f t="shared" si="2"/>
      </c>
      <c r="L23" s="150">
        <f t="shared" si="3"/>
      </c>
      <c r="M23" s="151">
        <f t="shared" si="0"/>
      </c>
      <c r="N23" s="12">
        <v>11</v>
      </c>
      <c r="O23" s="114">
        <v>8</v>
      </c>
    </row>
    <row r="24" spans="1:15" ht="30.75" customHeight="1">
      <c r="A24" s="17">
        <v>12</v>
      </c>
      <c r="B24" s="583"/>
      <c r="C24" s="584"/>
      <c r="D24" s="584"/>
      <c r="E24" s="97"/>
      <c r="F24" s="75"/>
      <c r="G24" s="175"/>
      <c r="H24" s="168"/>
      <c r="I24" s="150">
        <f t="shared" si="1"/>
      </c>
      <c r="J24" s="152"/>
      <c r="K24" s="150">
        <f t="shared" si="2"/>
      </c>
      <c r="L24" s="150">
        <f t="shared" si="3"/>
      </c>
      <c r="M24" s="151">
        <f t="shared" si="0"/>
      </c>
      <c r="N24" s="13">
        <v>12</v>
      </c>
      <c r="O24" s="114">
        <v>8</v>
      </c>
    </row>
    <row r="25" spans="1:15" ht="30.75" customHeight="1">
      <c r="A25" s="17">
        <v>13</v>
      </c>
      <c r="B25" s="583"/>
      <c r="C25" s="584"/>
      <c r="D25" s="584"/>
      <c r="E25" s="97"/>
      <c r="F25" s="75"/>
      <c r="G25" s="175"/>
      <c r="H25" s="168"/>
      <c r="I25" s="150">
        <f t="shared" si="1"/>
      </c>
      <c r="J25" s="152"/>
      <c r="K25" s="150">
        <f t="shared" si="2"/>
      </c>
      <c r="L25" s="150">
        <f t="shared" si="3"/>
      </c>
      <c r="M25" s="151">
        <f t="shared" si="0"/>
      </c>
      <c r="N25" s="12">
        <v>13</v>
      </c>
      <c r="O25" s="114">
        <v>8</v>
      </c>
    </row>
    <row r="26" spans="1:15" ht="30.75" customHeight="1">
      <c r="A26" s="17">
        <v>14</v>
      </c>
      <c r="B26" s="583"/>
      <c r="C26" s="584"/>
      <c r="D26" s="584"/>
      <c r="E26" s="99"/>
      <c r="F26" s="75"/>
      <c r="G26" s="175"/>
      <c r="H26" s="168"/>
      <c r="I26" s="150">
        <f t="shared" si="1"/>
      </c>
      <c r="J26" s="152"/>
      <c r="K26" s="150">
        <f t="shared" si="2"/>
      </c>
      <c r="L26" s="150">
        <f t="shared" si="3"/>
      </c>
      <c r="M26" s="151">
        <f t="shared" si="0"/>
      </c>
      <c r="N26" s="13">
        <v>14</v>
      </c>
      <c r="O26" s="114">
        <v>8</v>
      </c>
    </row>
    <row r="27" spans="1:15" ht="30.75" customHeight="1">
      <c r="A27" s="17">
        <v>15</v>
      </c>
      <c r="B27" s="583"/>
      <c r="C27" s="584"/>
      <c r="D27" s="584"/>
      <c r="E27" s="99"/>
      <c r="F27" s="75"/>
      <c r="G27" s="175"/>
      <c r="H27" s="168"/>
      <c r="I27" s="150">
        <f t="shared" si="1"/>
      </c>
      <c r="J27" s="152"/>
      <c r="K27" s="150">
        <f t="shared" si="2"/>
      </c>
      <c r="L27" s="150">
        <f t="shared" si="3"/>
      </c>
      <c r="M27" s="151">
        <f t="shared" si="0"/>
      </c>
      <c r="N27" s="12">
        <v>15</v>
      </c>
      <c r="O27" s="114">
        <v>8</v>
      </c>
    </row>
    <row r="28" spans="1:15" ht="30.75" customHeight="1">
      <c r="A28" s="17">
        <v>16</v>
      </c>
      <c r="B28" s="583"/>
      <c r="C28" s="584"/>
      <c r="D28" s="584"/>
      <c r="E28" s="97"/>
      <c r="F28" s="75"/>
      <c r="G28" s="175"/>
      <c r="H28" s="168"/>
      <c r="I28" s="150">
        <f t="shared" si="1"/>
      </c>
      <c r="J28" s="152"/>
      <c r="K28" s="150">
        <f t="shared" si="2"/>
      </c>
      <c r="L28" s="150">
        <f t="shared" si="3"/>
      </c>
      <c r="M28" s="151">
        <f t="shared" si="0"/>
      </c>
      <c r="N28" s="13">
        <v>16</v>
      </c>
      <c r="O28" s="114">
        <v>8</v>
      </c>
    </row>
    <row r="29" spans="1:15" ht="30.75" customHeight="1">
      <c r="A29" s="17">
        <v>17</v>
      </c>
      <c r="B29" s="583"/>
      <c r="C29" s="584"/>
      <c r="D29" s="584"/>
      <c r="E29" s="97"/>
      <c r="F29" s="75"/>
      <c r="G29" s="175"/>
      <c r="H29" s="168"/>
      <c r="I29" s="150">
        <f t="shared" si="1"/>
      </c>
      <c r="J29" s="152"/>
      <c r="K29" s="150">
        <f t="shared" si="2"/>
      </c>
      <c r="L29" s="150">
        <f t="shared" si="3"/>
      </c>
      <c r="M29" s="151">
        <f t="shared" si="0"/>
      </c>
      <c r="N29" s="12">
        <v>17</v>
      </c>
      <c r="O29" s="114">
        <v>8</v>
      </c>
    </row>
    <row r="30" spans="1:15" ht="30.75" customHeight="1">
      <c r="A30" s="17">
        <v>18</v>
      </c>
      <c r="B30" s="583"/>
      <c r="C30" s="584"/>
      <c r="D30" s="584"/>
      <c r="E30" s="97"/>
      <c r="F30" s="75"/>
      <c r="G30" s="175"/>
      <c r="H30" s="168"/>
      <c r="I30" s="150">
        <f t="shared" si="1"/>
      </c>
      <c r="J30" s="152"/>
      <c r="K30" s="150">
        <f t="shared" si="2"/>
      </c>
      <c r="L30" s="150">
        <f t="shared" si="3"/>
      </c>
      <c r="M30" s="151">
        <f t="shared" si="0"/>
      </c>
      <c r="N30" s="13">
        <v>18</v>
      </c>
      <c r="O30" s="114">
        <v>8</v>
      </c>
    </row>
    <row r="31" spans="1:15" ht="30.75" customHeight="1">
      <c r="A31" s="17">
        <v>19</v>
      </c>
      <c r="B31" s="583"/>
      <c r="C31" s="584"/>
      <c r="D31" s="584"/>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90"/>
      <c r="C32" s="591"/>
      <c r="D32" s="591"/>
      <c r="E32" s="100"/>
      <c r="F32" s="79"/>
      <c r="G32" s="178"/>
      <c r="H32" s="170"/>
      <c r="I32" s="153">
        <f t="shared" si="1"/>
      </c>
      <c r="J32" s="154"/>
      <c r="K32" s="153">
        <f t="shared" si="2"/>
      </c>
      <c r="L32" s="153">
        <f t="shared" si="3"/>
      </c>
      <c r="M32" s="155">
        <f t="shared" si="0"/>
      </c>
      <c r="N32" s="28">
        <v>20</v>
      </c>
      <c r="O32" s="115">
        <v>8</v>
      </c>
    </row>
    <row r="33" spans="1:14" ht="21" customHeight="1" thickBot="1">
      <c r="A33" s="599" t="s">
        <v>16</v>
      </c>
      <c r="B33" s="600"/>
      <c r="C33" s="600"/>
      <c r="D33" s="600"/>
      <c r="E33" s="600"/>
      <c r="F33" s="600"/>
      <c r="G33" s="600"/>
      <c r="H33" s="600"/>
      <c r="I33" s="600"/>
      <c r="J33" s="82"/>
      <c r="K33" s="149">
        <f>SUM(K13:K32)</f>
        <v>1080000</v>
      </c>
      <c r="L33" s="149">
        <f>SUM(L13:L32)</f>
        <v>1000000</v>
      </c>
      <c r="M33" s="147">
        <f>SUM(M13:M32)</f>
        <v>1000000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0"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384" width="9.00390625" style="1" customWidth="1"/>
  </cols>
  <sheetData>
    <row r="1" spans="1:18" ht="13.5">
      <c r="A1" s="5"/>
      <c r="E1" s="85"/>
      <c r="H1" s="5"/>
      <c r="P1" s="5"/>
      <c r="Q1" s="86"/>
      <c r="R1" s="86"/>
    </row>
    <row r="2" spans="1:18" ht="13.5">
      <c r="A2" s="5"/>
      <c r="B2" s="258" t="s">
        <v>613</v>
      </c>
      <c r="E2" s="85"/>
      <c r="H2" s="5"/>
      <c r="P2" s="5"/>
      <c r="Q2" s="86"/>
      <c r="R2" s="86"/>
    </row>
    <row r="3" spans="1:18" ht="13.5">
      <c r="A3" s="5"/>
      <c r="E3" s="85"/>
      <c r="H3" s="5"/>
      <c r="P3" s="5"/>
      <c r="Q3" s="86"/>
      <c r="R3" s="86"/>
    </row>
    <row r="4" spans="1:6" ht="13.5" customHeight="1">
      <c r="A4" s="587" t="s">
        <v>604</v>
      </c>
      <c r="B4" s="587"/>
      <c r="C4" s="587"/>
      <c r="D4" s="587"/>
      <c r="E4" s="587"/>
      <c r="F4" s="5"/>
    </row>
    <row r="5" spans="1:14" ht="13.5" customHeight="1">
      <c r="A5" s="11"/>
      <c r="B5" s="11"/>
      <c r="C5" s="11"/>
      <c r="D5" s="11"/>
      <c r="E5" s="87"/>
      <c r="F5" s="5"/>
      <c r="N5" s="11"/>
    </row>
    <row r="6" spans="1:14" ht="13.5" customHeight="1">
      <c r="A6" s="11"/>
      <c r="B6" s="250" t="s">
        <v>715</v>
      </c>
      <c r="C6" s="251"/>
      <c r="D6" s="252"/>
      <c r="E6" s="253"/>
      <c r="F6" s="88" t="s">
        <v>17</v>
      </c>
      <c r="N6" s="11"/>
    </row>
    <row r="7" spans="1:14" ht="13.5" customHeight="1">
      <c r="A7" s="11"/>
      <c r="B7" s="11"/>
      <c r="C7" s="11"/>
      <c r="D7" s="11"/>
      <c r="E7" s="87"/>
      <c r="F7" s="136" t="s">
        <v>575</v>
      </c>
      <c r="N7" s="11"/>
    </row>
    <row r="8" spans="1:15" ht="13.5" customHeight="1">
      <c r="A8" s="11"/>
      <c r="B8" s="11"/>
      <c r="C8" s="11"/>
      <c r="D8" s="11"/>
      <c r="E8" s="87"/>
      <c r="F8" s="5"/>
      <c r="M8" s="1" t="s">
        <v>21</v>
      </c>
      <c r="N8" s="11"/>
      <c r="O8" s="89"/>
    </row>
    <row r="9" spans="1:14" ht="13.5" customHeight="1">
      <c r="A9" s="90"/>
      <c r="F9" s="5"/>
      <c r="I9" s="2" t="s">
        <v>533</v>
      </c>
      <c r="J9" s="80" t="str">
        <f>IF('基本情報入力（使い方）'!$C$10="","",'基本情報入力（使い方）'!$C$10)</f>
        <v>Ｂ金属株式会社</v>
      </c>
      <c r="K9" s="2"/>
      <c r="L9" s="8"/>
      <c r="M9" s="91"/>
      <c r="N9" s="11"/>
    </row>
    <row r="10" spans="1:14" ht="13.5" customHeight="1" thickBot="1">
      <c r="A10" s="90"/>
      <c r="F10" s="5"/>
      <c r="N10" s="11"/>
    </row>
    <row r="11" spans="1:15" ht="27" customHeight="1">
      <c r="A11" s="588" t="s">
        <v>2</v>
      </c>
      <c r="B11" s="577" t="s">
        <v>3</v>
      </c>
      <c r="C11" s="577"/>
      <c r="D11" s="578"/>
      <c r="E11" s="3" t="s">
        <v>4</v>
      </c>
      <c r="F11" s="3" t="s">
        <v>5</v>
      </c>
      <c r="G11" s="3" t="s">
        <v>6</v>
      </c>
      <c r="H11" s="3" t="s">
        <v>7</v>
      </c>
      <c r="I11" s="3" t="s">
        <v>1</v>
      </c>
      <c r="J11" s="3" t="s">
        <v>1</v>
      </c>
      <c r="K11" s="598" t="s">
        <v>8</v>
      </c>
      <c r="L11" s="578"/>
      <c r="M11" s="3" t="s">
        <v>9</v>
      </c>
      <c r="N11" s="579" t="s">
        <v>2</v>
      </c>
      <c r="O11" s="592" t="s">
        <v>46</v>
      </c>
    </row>
    <row r="12" spans="1:15" ht="42" customHeight="1" thickBot="1">
      <c r="A12" s="589"/>
      <c r="B12" s="92" t="s">
        <v>10</v>
      </c>
      <c r="C12" s="92" t="s">
        <v>11</v>
      </c>
      <c r="D12" s="93" t="s">
        <v>12</v>
      </c>
      <c r="E12" s="94"/>
      <c r="F12" s="95"/>
      <c r="G12" s="81"/>
      <c r="H12" s="81"/>
      <c r="I12" s="81" t="s">
        <v>13</v>
      </c>
      <c r="J12" s="81" t="s">
        <v>26</v>
      </c>
      <c r="K12" s="81" t="s">
        <v>14</v>
      </c>
      <c r="L12" s="4" t="s">
        <v>24</v>
      </c>
      <c r="M12" s="81" t="s">
        <v>15</v>
      </c>
      <c r="N12" s="580"/>
      <c r="O12" s="593"/>
    </row>
    <row r="13" spans="1:15" ht="30.75" customHeight="1">
      <c r="A13" s="16">
        <v>1</v>
      </c>
      <c r="B13" s="594"/>
      <c r="C13" s="595"/>
      <c r="D13" s="595"/>
      <c r="E13" s="96" t="s">
        <v>652</v>
      </c>
      <c r="F13" s="74" t="s">
        <v>655</v>
      </c>
      <c r="G13" s="175">
        <v>1</v>
      </c>
      <c r="H13" s="168" t="s">
        <v>659</v>
      </c>
      <c r="I13" s="150">
        <f>IF(J13="","",ROUNDDOWN(J13*(1+O13/100),0))</f>
        <v>108000</v>
      </c>
      <c r="J13" s="152">
        <v>100000</v>
      </c>
      <c r="K13" s="150">
        <f>IF(L13="","",ROUNDDOWN(L13*(1+O13/100),0))</f>
        <v>108000</v>
      </c>
      <c r="L13" s="150">
        <f>IF(OR(J13="",G13=""),"",ROUNDDOWN(J13*G13,0))</f>
        <v>100000</v>
      </c>
      <c r="M13" s="151">
        <f aca="true" t="shared" si="0" ref="M13:M32">L13</f>
        <v>100000</v>
      </c>
      <c r="N13" s="12">
        <v>1</v>
      </c>
      <c r="O13" s="114">
        <v>8</v>
      </c>
    </row>
    <row r="14" spans="1:15" ht="30.75" customHeight="1">
      <c r="A14" s="17">
        <v>2</v>
      </c>
      <c r="B14" s="583"/>
      <c r="C14" s="584"/>
      <c r="D14" s="584"/>
      <c r="E14" s="96" t="s">
        <v>652</v>
      </c>
      <c r="F14" s="75" t="s">
        <v>656</v>
      </c>
      <c r="G14" s="175">
        <v>1</v>
      </c>
      <c r="H14" s="168" t="s">
        <v>658</v>
      </c>
      <c r="I14" s="150">
        <f aca="true" t="shared" si="1" ref="I14:I32">IF(J14="","",ROUNDDOWN(J14*(1+O14/100),0))</f>
        <v>54000</v>
      </c>
      <c r="J14" s="152">
        <v>50000</v>
      </c>
      <c r="K14" s="150">
        <f aca="true" t="shared" si="2" ref="K14:K32">IF(L14="","",ROUNDDOWN(L14*(1+O14/100),0))</f>
        <v>54000</v>
      </c>
      <c r="L14" s="150">
        <f aca="true" t="shared" si="3" ref="L14:L32">IF(OR(J14="",G14=""),"",ROUNDDOWN(J14*G14,0))</f>
        <v>50000</v>
      </c>
      <c r="M14" s="151">
        <f t="shared" si="0"/>
        <v>50000</v>
      </c>
      <c r="N14" s="13">
        <v>2</v>
      </c>
      <c r="O14" s="114">
        <v>8</v>
      </c>
    </row>
    <row r="15" spans="1:15" ht="30.75" customHeight="1">
      <c r="A15" s="17">
        <v>3</v>
      </c>
      <c r="B15" s="583"/>
      <c r="C15" s="584"/>
      <c r="D15" s="584"/>
      <c r="E15" s="96" t="s">
        <v>652</v>
      </c>
      <c r="F15" s="75" t="s">
        <v>657</v>
      </c>
      <c r="G15" s="175">
        <v>20</v>
      </c>
      <c r="H15" s="168" t="s">
        <v>660</v>
      </c>
      <c r="I15" s="150">
        <f t="shared" si="1"/>
        <v>5400</v>
      </c>
      <c r="J15" s="152">
        <v>5000</v>
      </c>
      <c r="K15" s="150">
        <f t="shared" si="2"/>
        <v>108000</v>
      </c>
      <c r="L15" s="150">
        <f t="shared" si="3"/>
        <v>100000</v>
      </c>
      <c r="M15" s="151">
        <f t="shared" si="0"/>
        <v>100000</v>
      </c>
      <c r="N15" s="12">
        <v>3</v>
      </c>
      <c r="O15" s="114">
        <v>8</v>
      </c>
    </row>
    <row r="16" spans="1:15" ht="30.75" customHeight="1">
      <c r="A16" s="17">
        <v>4</v>
      </c>
      <c r="B16" s="583"/>
      <c r="C16" s="584"/>
      <c r="D16" s="584"/>
      <c r="E16" s="97"/>
      <c r="F16" s="75"/>
      <c r="G16" s="175"/>
      <c r="H16" s="168"/>
      <c r="I16" s="150">
        <f t="shared" si="1"/>
      </c>
      <c r="J16" s="152"/>
      <c r="K16" s="150">
        <f t="shared" si="2"/>
      </c>
      <c r="L16" s="150">
        <f t="shared" si="3"/>
      </c>
      <c r="M16" s="151">
        <f t="shared" si="0"/>
      </c>
      <c r="N16" s="13">
        <v>4</v>
      </c>
      <c r="O16" s="114">
        <v>8</v>
      </c>
    </row>
    <row r="17" spans="1:15" ht="30.75" customHeight="1">
      <c r="A17" s="17">
        <v>5</v>
      </c>
      <c r="B17" s="583"/>
      <c r="C17" s="584"/>
      <c r="D17" s="584"/>
      <c r="E17" s="97"/>
      <c r="F17" s="75"/>
      <c r="G17" s="175"/>
      <c r="H17" s="168"/>
      <c r="I17" s="150">
        <f t="shared" si="1"/>
      </c>
      <c r="J17" s="152"/>
      <c r="K17" s="150">
        <f t="shared" si="2"/>
      </c>
      <c r="L17" s="150">
        <f t="shared" si="3"/>
      </c>
      <c r="M17" s="151">
        <f t="shared" si="0"/>
      </c>
      <c r="N17" s="12">
        <v>5</v>
      </c>
      <c r="O17" s="114">
        <v>8</v>
      </c>
    </row>
    <row r="18" spans="1:15" ht="30.75" customHeight="1">
      <c r="A18" s="17">
        <v>6</v>
      </c>
      <c r="B18" s="583"/>
      <c r="C18" s="584"/>
      <c r="D18" s="584"/>
      <c r="E18" s="97"/>
      <c r="F18" s="75"/>
      <c r="G18" s="175"/>
      <c r="H18" s="168"/>
      <c r="I18" s="150">
        <f t="shared" si="1"/>
      </c>
      <c r="J18" s="152"/>
      <c r="K18" s="150">
        <f t="shared" si="2"/>
      </c>
      <c r="L18" s="150">
        <f t="shared" si="3"/>
      </c>
      <c r="M18" s="151">
        <f t="shared" si="0"/>
      </c>
      <c r="N18" s="13">
        <v>6</v>
      </c>
      <c r="O18" s="114">
        <v>8</v>
      </c>
    </row>
    <row r="19" spans="1:15" ht="30.75" customHeight="1">
      <c r="A19" s="17">
        <v>7</v>
      </c>
      <c r="B19" s="583"/>
      <c r="C19" s="584"/>
      <c r="D19" s="584"/>
      <c r="E19" s="97"/>
      <c r="F19" s="98"/>
      <c r="G19" s="175"/>
      <c r="H19" s="168"/>
      <c r="I19" s="150">
        <f t="shared" si="1"/>
      </c>
      <c r="J19" s="152"/>
      <c r="K19" s="150">
        <f t="shared" si="2"/>
      </c>
      <c r="L19" s="150">
        <f t="shared" si="3"/>
      </c>
      <c r="M19" s="151">
        <f t="shared" si="0"/>
      </c>
      <c r="N19" s="12">
        <v>7</v>
      </c>
      <c r="O19" s="114">
        <v>8</v>
      </c>
    </row>
    <row r="20" spans="1:15" ht="30.75" customHeight="1">
      <c r="A20" s="17">
        <v>8</v>
      </c>
      <c r="B20" s="583"/>
      <c r="C20" s="584"/>
      <c r="D20" s="584"/>
      <c r="E20" s="97"/>
      <c r="F20" s="75"/>
      <c r="G20" s="175"/>
      <c r="H20" s="168"/>
      <c r="I20" s="150">
        <f t="shared" si="1"/>
      </c>
      <c r="J20" s="152"/>
      <c r="K20" s="150">
        <f t="shared" si="2"/>
      </c>
      <c r="L20" s="150">
        <f t="shared" si="3"/>
      </c>
      <c r="M20" s="151">
        <f t="shared" si="0"/>
      </c>
      <c r="N20" s="13">
        <v>8</v>
      </c>
      <c r="O20" s="114">
        <v>8</v>
      </c>
    </row>
    <row r="21" spans="1:15" ht="30.75" customHeight="1">
      <c r="A21" s="17">
        <v>9</v>
      </c>
      <c r="B21" s="583"/>
      <c r="C21" s="584"/>
      <c r="D21" s="584"/>
      <c r="E21" s="97"/>
      <c r="F21" s="75"/>
      <c r="G21" s="175"/>
      <c r="H21" s="168"/>
      <c r="I21" s="150">
        <f t="shared" si="1"/>
      </c>
      <c r="J21" s="152"/>
      <c r="K21" s="150">
        <f t="shared" si="2"/>
      </c>
      <c r="L21" s="150">
        <f t="shared" si="3"/>
      </c>
      <c r="M21" s="151">
        <f t="shared" si="0"/>
      </c>
      <c r="N21" s="12">
        <v>9</v>
      </c>
      <c r="O21" s="114">
        <v>8</v>
      </c>
    </row>
    <row r="22" spans="1:15" ht="30.75" customHeight="1">
      <c r="A22" s="17">
        <v>10</v>
      </c>
      <c r="B22" s="583"/>
      <c r="C22" s="584"/>
      <c r="D22" s="584"/>
      <c r="E22" s="97"/>
      <c r="F22" s="75"/>
      <c r="G22" s="175"/>
      <c r="H22" s="168"/>
      <c r="I22" s="150">
        <f t="shared" si="1"/>
      </c>
      <c r="J22" s="152"/>
      <c r="K22" s="150">
        <f t="shared" si="2"/>
      </c>
      <c r="L22" s="150">
        <f t="shared" si="3"/>
      </c>
      <c r="M22" s="151">
        <f t="shared" si="0"/>
      </c>
      <c r="N22" s="13">
        <v>10</v>
      </c>
      <c r="O22" s="114">
        <v>8</v>
      </c>
    </row>
    <row r="23" spans="1:15" ht="30.75" customHeight="1">
      <c r="A23" s="17">
        <v>11</v>
      </c>
      <c r="B23" s="583"/>
      <c r="C23" s="584"/>
      <c r="D23" s="584"/>
      <c r="E23" s="97"/>
      <c r="F23" s="75"/>
      <c r="G23" s="175"/>
      <c r="H23" s="168"/>
      <c r="I23" s="150">
        <f t="shared" si="1"/>
      </c>
      <c r="J23" s="152"/>
      <c r="K23" s="150">
        <f t="shared" si="2"/>
      </c>
      <c r="L23" s="150">
        <f t="shared" si="3"/>
      </c>
      <c r="M23" s="151">
        <f t="shared" si="0"/>
      </c>
      <c r="N23" s="12">
        <v>11</v>
      </c>
      <c r="O23" s="114">
        <v>8</v>
      </c>
    </row>
    <row r="24" spans="1:15" ht="30.75" customHeight="1">
      <c r="A24" s="17">
        <v>12</v>
      </c>
      <c r="B24" s="583"/>
      <c r="C24" s="584"/>
      <c r="D24" s="584"/>
      <c r="E24" s="97"/>
      <c r="F24" s="75"/>
      <c r="G24" s="175"/>
      <c r="H24" s="168"/>
      <c r="I24" s="150">
        <f t="shared" si="1"/>
      </c>
      <c r="J24" s="152"/>
      <c r="K24" s="150">
        <f t="shared" si="2"/>
      </c>
      <c r="L24" s="150">
        <f t="shared" si="3"/>
      </c>
      <c r="M24" s="151">
        <f t="shared" si="0"/>
      </c>
      <c r="N24" s="13">
        <v>12</v>
      </c>
      <c r="O24" s="114">
        <v>8</v>
      </c>
    </row>
    <row r="25" spans="1:15" ht="30.75" customHeight="1">
      <c r="A25" s="17">
        <v>13</v>
      </c>
      <c r="B25" s="583"/>
      <c r="C25" s="584"/>
      <c r="D25" s="584"/>
      <c r="E25" s="97"/>
      <c r="F25" s="75"/>
      <c r="G25" s="175"/>
      <c r="H25" s="168"/>
      <c r="I25" s="150">
        <f t="shared" si="1"/>
      </c>
      <c r="J25" s="152"/>
      <c r="K25" s="150">
        <f t="shared" si="2"/>
      </c>
      <c r="L25" s="150">
        <f t="shared" si="3"/>
      </c>
      <c r="M25" s="151">
        <f t="shared" si="0"/>
      </c>
      <c r="N25" s="12">
        <v>13</v>
      </c>
      <c r="O25" s="114">
        <v>8</v>
      </c>
    </row>
    <row r="26" spans="1:15" ht="30.75" customHeight="1">
      <c r="A26" s="17">
        <v>14</v>
      </c>
      <c r="B26" s="583"/>
      <c r="C26" s="584"/>
      <c r="D26" s="584"/>
      <c r="E26" s="99"/>
      <c r="F26" s="75"/>
      <c r="G26" s="175"/>
      <c r="H26" s="168"/>
      <c r="I26" s="150">
        <f t="shared" si="1"/>
      </c>
      <c r="J26" s="152"/>
      <c r="K26" s="150">
        <f t="shared" si="2"/>
      </c>
      <c r="L26" s="150">
        <f t="shared" si="3"/>
      </c>
      <c r="M26" s="151">
        <f t="shared" si="0"/>
      </c>
      <c r="N26" s="13">
        <v>14</v>
      </c>
      <c r="O26" s="114">
        <v>8</v>
      </c>
    </row>
    <row r="27" spans="1:15" ht="30.75" customHeight="1">
      <c r="A27" s="17">
        <v>15</v>
      </c>
      <c r="B27" s="583"/>
      <c r="C27" s="584"/>
      <c r="D27" s="584"/>
      <c r="E27" s="99"/>
      <c r="F27" s="75"/>
      <c r="G27" s="175"/>
      <c r="H27" s="168"/>
      <c r="I27" s="150">
        <f t="shared" si="1"/>
      </c>
      <c r="J27" s="152"/>
      <c r="K27" s="150">
        <f t="shared" si="2"/>
      </c>
      <c r="L27" s="150">
        <f t="shared" si="3"/>
      </c>
      <c r="M27" s="151">
        <f t="shared" si="0"/>
      </c>
      <c r="N27" s="12">
        <v>15</v>
      </c>
      <c r="O27" s="114">
        <v>8</v>
      </c>
    </row>
    <row r="28" spans="1:15" ht="30.75" customHeight="1">
      <c r="A28" s="17">
        <v>16</v>
      </c>
      <c r="B28" s="583"/>
      <c r="C28" s="584"/>
      <c r="D28" s="584"/>
      <c r="E28" s="97"/>
      <c r="F28" s="75"/>
      <c r="G28" s="175"/>
      <c r="H28" s="168"/>
      <c r="I28" s="150">
        <f t="shared" si="1"/>
      </c>
      <c r="J28" s="152"/>
      <c r="K28" s="150">
        <f t="shared" si="2"/>
      </c>
      <c r="L28" s="150">
        <f t="shared" si="3"/>
      </c>
      <c r="M28" s="151">
        <f t="shared" si="0"/>
      </c>
      <c r="N28" s="13">
        <v>16</v>
      </c>
      <c r="O28" s="114">
        <v>8</v>
      </c>
    </row>
    <row r="29" spans="1:15" ht="30.75" customHeight="1">
      <c r="A29" s="17">
        <v>17</v>
      </c>
      <c r="B29" s="583"/>
      <c r="C29" s="584"/>
      <c r="D29" s="584"/>
      <c r="E29" s="97"/>
      <c r="F29" s="75"/>
      <c r="G29" s="175"/>
      <c r="H29" s="168"/>
      <c r="I29" s="150">
        <f t="shared" si="1"/>
      </c>
      <c r="J29" s="152"/>
      <c r="K29" s="150">
        <f t="shared" si="2"/>
      </c>
      <c r="L29" s="150">
        <f t="shared" si="3"/>
      </c>
      <c r="M29" s="151">
        <f t="shared" si="0"/>
      </c>
      <c r="N29" s="12">
        <v>17</v>
      </c>
      <c r="O29" s="114">
        <v>8</v>
      </c>
    </row>
    <row r="30" spans="1:15" ht="30.75" customHeight="1">
      <c r="A30" s="17">
        <v>18</v>
      </c>
      <c r="B30" s="583"/>
      <c r="C30" s="584"/>
      <c r="D30" s="584"/>
      <c r="E30" s="97"/>
      <c r="F30" s="75"/>
      <c r="G30" s="175"/>
      <c r="H30" s="168"/>
      <c r="I30" s="150">
        <f t="shared" si="1"/>
      </c>
      <c r="J30" s="152"/>
      <c r="K30" s="150">
        <f t="shared" si="2"/>
      </c>
      <c r="L30" s="150">
        <f t="shared" si="3"/>
      </c>
      <c r="M30" s="151">
        <f t="shared" si="0"/>
      </c>
      <c r="N30" s="13">
        <v>18</v>
      </c>
      <c r="O30" s="114">
        <v>8</v>
      </c>
    </row>
    <row r="31" spans="1:15" ht="30.75" customHeight="1">
      <c r="A31" s="17">
        <v>19</v>
      </c>
      <c r="B31" s="583"/>
      <c r="C31" s="584"/>
      <c r="D31" s="584"/>
      <c r="E31" s="99"/>
      <c r="F31" s="75"/>
      <c r="G31" s="175"/>
      <c r="H31" s="168"/>
      <c r="I31" s="150">
        <f t="shared" si="1"/>
      </c>
      <c r="J31" s="152"/>
      <c r="K31" s="150">
        <f t="shared" si="2"/>
      </c>
      <c r="L31" s="150">
        <f t="shared" si="3"/>
      </c>
      <c r="M31" s="151">
        <f t="shared" si="0"/>
      </c>
      <c r="N31" s="12">
        <v>19</v>
      </c>
      <c r="O31" s="114">
        <v>8</v>
      </c>
    </row>
    <row r="32" spans="1:15" ht="30.75" customHeight="1" thickBot="1">
      <c r="A32" s="27">
        <v>20</v>
      </c>
      <c r="B32" s="590"/>
      <c r="C32" s="591"/>
      <c r="D32" s="591"/>
      <c r="E32" s="100"/>
      <c r="F32" s="79"/>
      <c r="G32" s="178"/>
      <c r="H32" s="170"/>
      <c r="I32" s="153">
        <f t="shared" si="1"/>
      </c>
      <c r="J32" s="154"/>
      <c r="K32" s="153">
        <f t="shared" si="2"/>
      </c>
      <c r="L32" s="153">
        <f t="shared" si="3"/>
      </c>
      <c r="M32" s="155">
        <f t="shared" si="0"/>
      </c>
      <c r="N32" s="28">
        <v>20</v>
      </c>
      <c r="O32" s="115">
        <v>8</v>
      </c>
    </row>
    <row r="33" spans="1:14" ht="21" customHeight="1" thickBot="1">
      <c r="A33" s="599" t="s">
        <v>16</v>
      </c>
      <c r="B33" s="600"/>
      <c r="C33" s="600"/>
      <c r="D33" s="600"/>
      <c r="E33" s="600"/>
      <c r="F33" s="600"/>
      <c r="G33" s="600"/>
      <c r="H33" s="600"/>
      <c r="I33" s="600"/>
      <c r="J33" s="82"/>
      <c r="K33" s="149">
        <f>SUM(K13:K32)</f>
        <v>270000</v>
      </c>
      <c r="L33" s="149">
        <f>SUM(L13:L32)</f>
        <v>250000</v>
      </c>
      <c r="M33" s="147">
        <f>SUM(M13:M32)</f>
        <v>250000</v>
      </c>
      <c r="N33" s="14"/>
    </row>
    <row r="34" spans="1:14" ht="13.5" customHeight="1">
      <c r="A34" s="90"/>
      <c r="N34" s="11"/>
    </row>
    <row r="35" spans="1:14" ht="13.5" customHeight="1">
      <c r="A35" s="90"/>
      <c r="B35" s="1" t="s">
        <v>18</v>
      </c>
      <c r="D35" s="90"/>
      <c r="E35" s="80" t="s">
        <v>39</v>
      </c>
      <c r="N35" s="11"/>
    </row>
    <row r="36" ht="13.5" customHeight="1">
      <c r="E36" s="80" t="s">
        <v>40</v>
      </c>
    </row>
    <row r="37" spans="2:5" ht="13.5" customHeight="1">
      <c r="B37" s="1" t="s">
        <v>19</v>
      </c>
      <c r="E37" s="80" t="s">
        <v>41</v>
      </c>
    </row>
    <row r="38" spans="2:5" ht="13.5" customHeight="1">
      <c r="B38" s="1" t="s">
        <v>20</v>
      </c>
      <c r="E38" s="80" t="s">
        <v>42</v>
      </c>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2.xml><?xml version="1.0" encoding="utf-8"?>
<worksheet xmlns="http://schemas.openxmlformats.org/spreadsheetml/2006/main" xmlns:r="http://schemas.openxmlformats.org/officeDocument/2006/relationships">
  <sheetPr codeName="Sheet1"/>
  <dimension ref="A1:Q62"/>
  <sheetViews>
    <sheetView showGridLines="0" zoomScaleSheetLayoutView="100" zoomScalePageLayoutView="0" workbookViewId="0" topLeftCell="A1">
      <selection activeCell="A1" sqref="A1"/>
    </sheetView>
  </sheetViews>
  <sheetFormatPr defaultColWidth="9.140625" defaultRowHeight="15"/>
  <cols>
    <col min="1" max="2" width="3.421875" style="22" customWidth="1"/>
    <col min="3" max="8" width="13.421875" style="22" customWidth="1"/>
    <col min="9" max="9" width="3.8515625" style="22" customWidth="1"/>
    <col min="10" max="10" width="14.421875" style="22" customWidth="1"/>
    <col min="11" max="11" width="13.7109375" style="22" customWidth="1"/>
    <col min="12" max="12" width="23.421875" style="22" customWidth="1"/>
    <col min="13" max="13" width="13.421875" style="22" customWidth="1"/>
    <col min="14" max="14" width="9.00390625" style="22" customWidth="1"/>
    <col min="15" max="15" width="17.8515625" style="22" customWidth="1"/>
    <col min="16" max="16" width="18.00390625" style="22" customWidth="1"/>
    <col min="17" max="17" width="9.421875" style="22" customWidth="1"/>
    <col min="18" max="16384" width="9.00390625" style="22" customWidth="1"/>
  </cols>
  <sheetData>
    <row r="1" spans="1:13" s="60" customFormat="1" ht="14.25">
      <c r="A1" s="60" t="s">
        <v>54</v>
      </c>
      <c r="M1" s="182"/>
    </row>
    <row r="2" s="60" customFormat="1" ht="14.25">
      <c r="M2" s="61"/>
    </row>
    <row r="3" spans="1:17" s="60" customFormat="1" ht="14.25">
      <c r="A3" s="62" t="s">
        <v>570</v>
      </c>
      <c r="N3" s="69"/>
      <c r="O3" s="69"/>
      <c r="P3" s="69"/>
      <c r="Q3" s="69"/>
    </row>
    <row r="4" spans="3:17" s="60" customFormat="1" ht="15" customHeight="1">
      <c r="C4" s="60" t="s">
        <v>600</v>
      </c>
      <c r="K4" s="70"/>
      <c r="N4" s="69"/>
      <c r="O4" s="69"/>
      <c r="P4" s="69"/>
      <c r="Q4" s="69"/>
    </row>
    <row r="5" spans="3:17" s="60" customFormat="1" ht="15" customHeight="1">
      <c r="C5" s="60" t="s">
        <v>673</v>
      </c>
      <c r="K5" s="70"/>
      <c r="N5" s="69"/>
      <c r="O5" s="69"/>
      <c r="P5" s="69"/>
      <c r="Q5" s="69"/>
    </row>
    <row r="6" spans="3:17" s="60" customFormat="1" ht="15" customHeight="1">
      <c r="C6" s="62"/>
      <c r="N6" s="69"/>
      <c r="O6" s="69"/>
      <c r="P6" s="69"/>
      <c r="Q6" s="69"/>
    </row>
    <row r="7" spans="1:17" s="60" customFormat="1" ht="15" customHeight="1">
      <c r="A7" s="62" t="s">
        <v>581</v>
      </c>
      <c r="C7" s="62"/>
      <c r="N7" s="69"/>
      <c r="O7" s="69"/>
      <c r="P7" s="69"/>
      <c r="Q7" s="69"/>
    </row>
    <row r="8" spans="1:17" s="60" customFormat="1" ht="15" customHeight="1">
      <c r="A8" s="62"/>
      <c r="C8" s="62"/>
      <c r="N8" s="69"/>
      <c r="O8" s="69"/>
      <c r="P8" s="69"/>
      <c r="Q8" s="69"/>
    </row>
    <row r="9" spans="1:17" s="60" customFormat="1" ht="15" customHeight="1">
      <c r="A9" s="60">
        <v>1</v>
      </c>
      <c r="B9" s="60" t="s">
        <v>569</v>
      </c>
      <c r="N9" s="69"/>
      <c r="O9" s="69"/>
      <c r="P9" s="69"/>
      <c r="Q9" s="69"/>
    </row>
    <row r="10" spans="3:17" s="60" customFormat="1" ht="15" customHeight="1">
      <c r="C10" s="425" t="s">
        <v>753</v>
      </c>
      <c r="D10" s="426"/>
      <c r="E10" s="426"/>
      <c r="F10" s="426"/>
      <c r="G10" s="426"/>
      <c r="H10" s="427"/>
      <c r="J10" s="6"/>
      <c r="N10" s="69"/>
      <c r="O10" s="69"/>
      <c r="P10" s="69"/>
      <c r="Q10" s="69"/>
    </row>
    <row r="11" spans="6:17" s="60" customFormat="1" ht="15" customHeight="1">
      <c r="F11" s="63"/>
      <c r="G11" s="63"/>
      <c r="H11" s="63"/>
      <c r="I11" s="64"/>
      <c r="J11" s="65"/>
      <c r="N11" s="69"/>
      <c r="O11" s="69"/>
      <c r="P11" s="69"/>
      <c r="Q11" s="69"/>
    </row>
    <row r="12" spans="1:17" s="60" customFormat="1" ht="15" customHeight="1">
      <c r="A12" s="60">
        <v>2</v>
      </c>
      <c r="B12" s="23" t="s">
        <v>565</v>
      </c>
      <c r="D12" s="23"/>
      <c r="E12" s="23"/>
      <c r="F12" s="23"/>
      <c r="G12" s="23"/>
      <c r="H12" s="23"/>
      <c r="I12" s="23"/>
      <c r="N12" s="69"/>
      <c r="O12" s="69"/>
      <c r="P12" s="69"/>
      <c r="Q12" s="69"/>
    </row>
    <row r="13" spans="3:14" s="60" customFormat="1" ht="15" customHeight="1">
      <c r="C13" s="69"/>
      <c r="D13" s="69"/>
      <c r="F13" s="69"/>
      <c r="G13" s="69"/>
      <c r="H13" s="69"/>
      <c r="I13" s="69"/>
      <c r="N13" s="66"/>
    </row>
    <row r="14" spans="3:14" s="60" customFormat="1" ht="15" customHeight="1">
      <c r="C14" s="218">
        <v>2</v>
      </c>
      <c r="D14" s="199"/>
      <c r="E14" s="200"/>
      <c r="F14" s="200"/>
      <c r="G14" s="200"/>
      <c r="H14" s="201"/>
      <c r="I14" s="69"/>
      <c r="N14" s="66"/>
    </row>
    <row r="15" spans="3:14" s="60" customFormat="1" ht="15" customHeight="1">
      <c r="C15" s="202"/>
      <c r="D15" s="203"/>
      <c r="E15" s="204"/>
      <c r="F15" s="204"/>
      <c r="G15" s="204"/>
      <c r="H15" s="205"/>
      <c r="I15" s="69"/>
      <c r="N15" s="66"/>
    </row>
    <row r="16" spans="3:14" s="60" customFormat="1" ht="15" customHeight="1">
      <c r="C16" s="206"/>
      <c r="D16" s="207"/>
      <c r="E16" s="207"/>
      <c r="F16" s="207"/>
      <c r="G16" s="207"/>
      <c r="H16" s="208"/>
      <c r="N16" s="66"/>
    </row>
    <row r="17" spans="2:13" s="60" customFormat="1" ht="15" customHeight="1">
      <c r="B17" s="64"/>
      <c r="C17" s="211"/>
      <c r="D17" s="69"/>
      <c r="F17" s="69"/>
      <c r="G17" s="69"/>
      <c r="H17" s="69"/>
      <c r="I17" s="69"/>
      <c r="J17" s="69"/>
      <c r="M17" s="66"/>
    </row>
    <row r="18" spans="3:9" s="66" customFormat="1" ht="15" customHeight="1">
      <c r="C18" s="209"/>
      <c r="D18" s="209"/>
      <c r="E18" s="209"/>
      <c r="F18" s="209"/>
      <c r="G18" s="209"/>
      <c r="H18" s="209"/>
      <c r="I18" s="210"/>
    </row>
    <row r="19" spans="1:17" s="60" customFormat="1" ht="15" customHeight="1">
      <c r="A19" s="192"/>
      <c r="B19" s="192"/>
      <c r="C19" s="193"/>
      <c r="D19" s="193"/>
      <c r="E19" s="65"/>
      <c r="F19" s="65"/>
      <c r="G19" s="65"/>
      <c r="H19" s="65"/>
      <c r="I19" s="65"/>
      <c r="N19" s="69"/>
      <c r="O19" s="69"/>
      <c r="P19" s="69"/>
      <c r="Q19" s="69"/>
    </row>
    <row r="20" spans="1:17" s="60" customFormat="1" ht="15" customHeight="1">
      <c r="A20" s="192"/>
      <c r="B20" s="192"/>
      <c r="C20" s="435">
        <v>2</v>
      </c>
      <c r="D20" s="435"/>
      <c r="E20" s="434"/>
      <c r="F20" s="434"/>
      <c r="G20" s="434"/>
      <c r="H20" s="434"/>
      <c r="I20" s="65"/>
      <c r="N20" s="69"/>
      <c r="O20" s="69"/>
      <c r="P20" s="69"/>
      <c r="Q20" s="69"/>
    </row>
    <row r="21" spans="1:17" s="60" customFormat="1" ht="15" customHeight="1">
      <c r="A21" s="192"/>
      <c r="B21" s="192"/>
      <c r="C21" s="435"/>
      <c r="D21" s="435"/>
      <c r="E21" s="434"/>
      <c r="F21" s="434"/>
      <c r="G21" s="434"/>
      <c r="H21" s="434"/>
      <c r="I21" s="65"/>
      <c r="N21" s="69"/>
      <c r="O21" s="69"/>
      <c r="P21" s="69"/>
      <c r="Q21" s="69"/>
    </row>
    <row r="22" spans="1:17" s="60" customFormat="1" ht="15" customHeight="1">
      <c r="A22" s="192"/>
      <c r="B22" s="192"/>
      <c r="C22" s="435"/>
      <c r="D22" s="435"/>
      <c r="E22" s="434"/>
      <c r="F22" s="434"/>
      <c r="G22" s="434"/>
      <c r="H22" s="434"/>
      <c r="I22" s="65"/>
      <c r="N22" s="69"/>
      <c r="O22" s="69"/>
      <c r="P22" s="69"/>
      <c r="Q22" s="69"/>
    </row>
    <row r="23" spans="1:17" s="60" customFormat="1" ht="15" customHeight="1">
      <c r="A23" s="192"/>
      <c r="B23" s="192"/>
      <c r="C23" s="435">
        <v>1</v>
      </c>
      <c r="D23" s="435"/>
      <c r="E23" s="434"/>
      <c r="F23" s="434"/>
      <c r="G23" s="434"/>
      <c r="H23" s="434"/>
      <c r="I23" s="69"/>
      <c r="N23" s="69"/>
      <c r="O23" s="69"/>
      <c r="P23" s="69"/>
      <c r="Q23" s="69"/>
    </row>
    <row r="24" spans="1:17" s="60" customFormat="1" ht="15" customHeight="1">
      <c r="A24" s="192"/>
      <c r="B24" s="192"/>
      <c r="C24" s="435"/>
      <c r="D24" s="435"/>
      <c r="E24" s="434"/>
      <c r="F24" s="434"/>
      <c r="G24" s="434"/>
      <c r="H24" s="434"/>
      <c r="I24" s="69"/>
      <c r="N24" s="69"/>
      <c r="O24" s="69"/>
      <c r="P24" s="69"/>
      <c r="Q24" s="69"/>
    </row>
    <row r="25" spans="3:14" s="60" customFormat="1" ht="15" customHeight="1">
      <c r="C25" s="194"/>
      <c r="D25" s="69"/>
      <c r="F25" s="69"/>
      <c r="G25" s="69"/>
      <c r="H25" s="69"/>
      <c r="I25" s="69"/>
      <c r="N25" s="66"/>
    </row>
    <row r="26" spans="1:16" s="60" customFormat="1" ht="14.25">
      <c r="A26" s="60">
        <v>3</v>
      </c>
      <c r="B26" s="24" t="s">
        <v>668</v>
      </c>
      <c r="D26" s="24"/>
      <c r="E26" s="24"/>
      <c r="P26" s="67"/>
    </row>
    <row r="27" spans="2:16" s="60" customFormat="1" ht="14.25">
      <c r="B27" s="24"/>
      <c r="D27" s="24"/>
      <c r="E27" s="24"/>
      <c r="P27" s="67"/>
    </row>
    <row r="28" spans="3:10" s="60" customFormat="1" ht="14.25">
      <c r="C28" s="431" t="s">
        <v>665</v>
      </c>
      <c r="D28" s="432"/>
      <c r="E28" s="432"/>
      <c r="F28" s="432"/>
      <c r="G28" s="432"/>
      <c r="H28" s="433"/>
      <c r="I28" s="63"/>
      <c r="J28" s="6"/>
    </row>
    <row r="29" spans="3:10" s="60" customFormat="1" ht="14.25">
      <c r="C29" s="24"/>
      <c r="D29" s="24"/>
      <c r="E29" s="24"/>
      <c r="F29" s="24"/>
      <c r="G29" s="24"/>
      <c r="H29" s="63"/>
      <c r="I29" s="63"/>
      <c r="J29" s="65"/>
    </row>
    <row r="30" spans="1:7" s="60" customFormat="1" ht="14.25">
      <c r="A30" s="60">
        <v>4</v>
      </c>
      <c r="B30" s="24" t="s">
        <v>566</v>
      </c>
      <c r="D30" s="24"/>
      <c r="E30" s="24"/>
      <c r="F30" s="24"/>
      <c r="G30" s="24"/>
    </row>
    <row r="31" spans="2:7" s="60" customFormat="1" ht="14.25">
      <c r="B31" s="24"/>
      <c r="D31" s="24"/>
      <c r="E31" s="24"/>
      <c r="F31" s="24"/>
      <c r="G31" s="24"/>
    </row>
    <row r="32" spans="3:10" s="60" customFormat="1" ht="14.25">
      <c r="C32" s="428" t="s">
        <v>666</v>
      </c>
      <c r="D32" s="429"/>
      <c r="E32" s="429"/>
      <c r="F32" s="429"/>
      <c r="G32" s="429"/>
      <c r="H32" s="430"/>
      <c r="J32" s="6"/>
    </row>
    <row r="33" spans="3:10" s="60" customFormat="1" ht="14.25">
      <c r="C33" s="428" t="s">
        <v>669</v>
      </c>
      <c r="D33" s="429"/>
      <c r="E33" s="429"/>
      <c r="F33" s="429"/>
      <c r="G33" s="429"/>
      <c r="H33" s="430"/>
      <c r="I33" s="63"/>
      <c r="J33" s="6"/>
    </row>
    <row r="34" spans="4:10" s="60" customFormat="1" ht="14.25">
      <c r="D34" s="24"/>
      <c r="E34" s="24"/>
      <c r="F34" s="24"/>
      <c r="G34" s="24"/>
      <c r="H34" s="26"/>
      <c r="I34" s="63"/>
      <c r="J34" s="65"/>
    </row>
    <row r="35" spans="3:10" s="60" customFormat="1" ht="14.25">
      <c r="C35" s="24" t="s">
        <v>51</v>
      </c>
      <c r="D35" s="24"/>
      <c r="E35" s="24"/>
      <c r="F35" s="24"/>
      <c r="G35" s="24"/>
      <c r="H35" s="26"/>
      <c r="I35" s="63"/>
      <c r="J35" s="65"/>
    </row>
    <row r="36" spans="3:10" s="60" customFormat="1" ht="14.25">
      <c r="C36" s="24"/>
      <c r="D36" s="24"/>
      <c r="E36" s="24"/>
      <c r="F36" s="24"/>
      <c r="G36" s="24"/>
      <c r="H36" s="26"/>
      <c r="I36" s="63"/>
      <c r="J36" s="65"/>
    </row>
    <row r="37" spans="1:2" s="60" customFormat="1" ht="14.25">
      <c r="A37" s="60">
        <v>5</v>
      </c>
      <c r="B37" s="60" t="s">
        <v>676</v>
      </c>
    </row>
    <row r="38" s="60" customFormat="1" ht="15" customHeight="1">
      <c r="B38" s="60" t="s">
        <v>571</v>
      </c>
    </row>
    <row r="39" spans="2:5" s="60" customFormat="1" ht="14.25">
      <c r="B39" s="66" t="s">
        <v>612</v>
      </c>
      <c r="C39" s="66"/>
      <c r="D39" s="66"/>
      <c r="E39" s="66"/>
    </row>
    <row r="40" spans="2:5" s="60" customFormat="1" ht="14.25">
      <c r="B40" s="71"/>
      <c r="C40" s="72" t="s">
        <v>576</v>
      </c>
      <c r="D40" s="71"/>
      <c r="E40" s="71"/>
    </row>
    <row r="41" spans="2:5" s="60" customFormat="1" ht="14.25">
      <c r="B41" s="71"/>
      <c r="C41" s="72" t="s">
        <v>577</v>
      </c>
      <c r="D41" s="71"/>
      <c r="E41" s="71"/>
    </row>
    <row r="42" spans="2:5" s="60" customFormat="1" ht="14.25">
      <c r="B42" s="71"/>
      <c r="C42" s="72" t="s">
        <v>703</v>
      </c>
      <c r="D42" s="71"/>
      <c r="E42" s="71"/>
    </row>
    <row r="43" spans="2:5" s="60" customFormat="1" ht="14.25">
      <c r="B43" s="71"/>
      <c r="C43" s="72" t="s">
        <v>739</v>
      </c>
      <c r="D43" s="71"/>
      <c r="E43" s="71"/>
    </row>
    <row r="44" spans="2:5" s="60" customFormat="1" ht="14.25">
      <c r="B44" s="71"/>
      <c r="C44" s="72" t="s">
        <v>697</v>
      </c>
      <c r="D44" s="71"/>
      <c r="E44" s="71"/>
    </row>
    <row r="45" spans="2:5" s="60" customFormat="1" ht="14.25">
      <c r="B45" s="71"/>
      <c r="C45" s="72" t="s">
        <v>705</v>
      </c>
      <c r="D45" s="72"/>
      <c r="E45" s="71"/>
    </row>
    <row r="46" spans="2:5" s="60" customFormat="1" ht="14.25">
      <c r="B46" s="71"/>
      <c r="C46" s="72" t="s">
        <v>706</v>
      </c>
      <c r="D46" s="72"/>
      <c r="E46" s="71"/>
    </row>
    <row r="47" spans="2:5" s="60" customFormat="1" ht="14.25">
      <c r="B47" s="71"/>
      <c r="C47" s="72" t="s">
        <v>740</v>
      </c>
      <c r="D47" s="72"/>
      <c r="E47" s="71"/>
    </row>
    <row r="48" spans="2:5" s="60" customFormat="1" ht="14.25">
      <c r="B48" s="71"/>
      <c r="C48" s="72" t="s">
        <v>741</v>
      </c>
      <c r="D48" s="72"/>
      <c r="E48" s="71"/>
    </row>
    <row r="49" spans="2:5" s="60" customFormat="1" ht="14.25">
      <c r="B49" s="71"/>
      <c r="C49" s="72" t="s">
        <v>707</v>
      </c>
      <c r="D49" s="72"/>
      <c r="E49" s="71"/>
    </row>
    <row r="50" s="60" customFormat="1" ht="14.25"/>
    <row r="51" spans="3:8" s="60" customFormat="1" ht="14.25">
      <c r="C51" s="60" t="s">
        <v>52</v>
      </c>
      <c r="H51" s="68"/>
    </row>
    <row r="52" s="60" customFormat="1" ht="14.25">
      <c r="C52" s="60" t="s">
        <v>567</v>
      </c>
    </row>
    <row r="53" s="60" customFormat="1" ht="14.25">
      <c r="C53" s="60" t="s">
        <v>601</v>
      </c>
    </row>
    <row r="54" s="60" customFormat="1" ht="14.25">
      <c r="C54" s="60" t="s">
        <v>53</v>
      </c>
    </row>
    <row r="55" s="60" customFormat="1" ht="14.25">
      <c r="C55" s="60" t="s">
        <v>568</v>
      </c>
    </row>
    <row r="56" s="60" customFormat="1" ht="14.25"/>
    <row r="57" spans="3:11" s="21" customFormat="1" ht="18" customHeight="1">
      <c r="C57" s="25" t="s">
        <v>674</v>
      </c>
      <c r="D57" s="55"/>
      <c r="E57" s="43"/>
      <c r="F57" s="43"/>
      <c r="G57" s="43"/>
      <c r="H57" s="55"/>
      <c r="I57" s="42"/>
      <c r="K57" s="44"/>
    </row>
    <row r="58" ht="18" customHeight="1">
      <c r="C58" t="s">
        <v>615</v>
      </c>
    </row>
    <row r="59" ht="18" customHeight="1">
      <c r="C59" t="s">
        <v>616</v>
      </c>
    </row>
    <row r="60" ht="18" customHeight="1">
      <c r="C60" t="s">
        <v>675</v>
      </c>
    </row>
    <row r="61" s="21" customFormat="1" ht="18" customHeight="1">
      <c r="C61" s="32" t="s">
        <v>742</v>
      </c>
    </row>
    <row r="62" s="21" customFormat="1" ht="18" customHeight="1">
      <c r="C62" s="32"/>
    </row>
    <row r="63" s="21" customFormat="1" ht="18" customHeight="1"/>
    <row r="64" s="21" customFormat="1" ht="18" customHeight="1"/>
    <row r="65" s="21" customFormat="1" ht="18" customHeight="1"/>
    <row r="66" s="21" customFormat="1" ht="18" customHeight="1"/>
    <row r="67" s="21" customFormat="1" ht="18" customHeight="1"/>
    <row r="68" s="21" customFormat="1" ht="18" customHeight="1"/>
    <row r="69" s="21" customFormat="1" ht="18" customHeight="1"/>
    <row r="70" s="21" customFormat="1" ht="18" customHeight="1"/>
    <row r="71" s="21" customFormat="1" ht="13.5"/>
    <row r="72" s="21" customFormat="1" ht="18" customHeight="1"/>
    <row r="73" s="21" customFormat="1" ht="18" customHeight="1"/>
    <row r="74" s="21" customFormat="1" ht="18" customHeight="1"/>
    <row r="75" s="21" customFormat="1" ht="18" customHeight="1"/>
    <row r="76" s="21" customFormat="1" ht="18" customHeight="1"/>
    <row r="77" s="21" customFormat="1" ht="18" customHeight="1"/>
    <row r="78" s="21" customFormat="1" ht="18" customHeight="1"/>
    <row r="79" s="21" customFormat="1" ht="18" customHeight="1"/>
    <row r="80" s="21" customFormat="1" ht="18" customHeight="1"/>
    <row r="81" s="21" customFormat="1" ht="18" customHeight="1"/>
    <row r="82" ht="18" customHeight="1"/>
  </sheetData>
  <sheetProtection sheet="1" objects="1" scenarios="1"/>
  <mergeCells count="7">
    <mergeCell ref="C10:H10"/>
    <mergeCell ref="C33:H33"/>
    <mergeCell ref="C32:H32"/>
    <mergeCell ref="C28:H28"/>
    <mergeCell ref="G20:H24"/>
    <mergeCell ref="E20:F24"/>
    <mergeCell ref="C20:D24"/>
  </mergeCells>
  <hyperlinks>
    <hyperlink ref="C42" location="原材料費!A1" display="　　原材料費"/>
    <hyperlink ref="C43" location="技術導入費!A1" display="　　技術導入費"/>
    <hyperlink ref="C44" location="外注加工費!A1" display="　　外注加工費"/>
    <hyperlink ref="C45" location="委託費!A1" display="　　委託費"/>
    <hyperlink ref="C46" location="知的財産権等関連経費!A1" display="知的財産関連経費"/>
    <hyperlink ref="C47" location="運搬費!A1" display="運搬費"/>
    <hyperlink ref="C48" location="専門家経費!A1" display="専門家経費"/>
    <hyperlink ref="C49" location="クラウド利用費!A1" display="クラウド利用費"/>
    <hyperlink ref="C40" location="'機械装置費（50万円以上）'!A1" display="機械装置費（50万円以上）"/>
    <hyperlink ref="C41"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M14"/>
  <sheetViews>
    <sheetView zoomScalePageLayoutView="0" workbookViewId="0" topLeftCell="A4">
      <selection activeCell="C1" sqref="C1"/>
    </sheetView>
  </sheetViews>
  <sheetFormatPr defaultColWidth="9.140625" defaultRowHeight="15"/>
  <cols>
    <col min="2" max="2" width="3.140625" style="212" bestFit="1" customWidth="1"/>
    <col min="3" max="3" width="25.140625" style="0" customWidth="1"/>
    <col min="5" max="5" width="3.140625" style="212" bestFit="1" customWidth="1"/>
    <col min="6" max="6" width="27.8515625" style="213" customWidth="1"/>
    <col min="7" max="7" width="25.140625" style="0" customWidth="1"/>
    <col min="8" max="8" width="12.421875" style="215" bestFit="1" customWidth="1"/>
    <col min="9" max="9" width="12.421875" style="217" bestFit="1" customWidth="1"/>
    <col min="11" max="11" width="3.140625" style="0" bestFit="1" customWidth="1"/>
    <col min="12" max="12" width="40.8515625" style="0" bestFit="1" customWidth="1"/>
    <col min="13" max="13" width="22.00390625" style="0" bestFit="1" customWidth="1"/>
  </cols>
  <sheetData>
    <row r="2" spans="2:13" ht="13.5">
      <c r="B2" s="198" t="s">
        <v>684</v>
      </c>
      <c r="C2" s="198" t="s">
        <v>683</v>
      </c>
      <c r="E2" s="198" t="s">
        <v>684</v>
      </c>
      <c r="F2" s="436" t="s">
        <v>683</v>
      </c>
      <c r="G2" s="437"/>
      <c r="H2" s="195" t="s">
        <v>682</v>
      </c>
      <c r="I2" s="195" t="s">
        <v>698</v>
      </c>
      <c r="K2" s="144" t="s">
        <v>684</v>
      </c>
      <c r="L2" s="144" t="s">
        <v>685</v>
      </c>
      <c r="M2" s="144" t="s">
        <v>694</v>
      </c>
    </row>
    <row r="3" spans="2:13" ht="13.5">
      <c r="B3" s="198">
        <v>1</v>
      </c>
      <c r="C3" s="196" t="s">
        <v>695</v>
      </c>
      <c r="E3" s="198">
        <v>1</v>
      </c>
      <c r="F3" s="196" t="s">
        <v>679</v>
      </c>
      <c r="G3" s="196"/>
      <c r="H3" s="197">
        <v>10000000</v>
      </c>
      <c r="I3" s="197">
        <v>1000000</v>
      </c>
      <c r="K3" s="196">
        <v>1</v>
      </c>
      <c r="L3" s="196" t="s">
        <v>681</v>
      </c>
      <c r="M3" s="196" t="s">
        <v>693</v>
      </c>
    </row>
    <row r="4" spans="2:13" ht="13.5">
      <c r="B4" s="198">
        <v>2</v>
      </c>
      <c r="C4" s="196" t="s">
        <v>696</v>
      </c>
      <c r="E4" s="214">
        <v>2</v>
      </c>
      <c r="F4" s="196" t="s">
        <v>677</v>
      </c>
      <c r="G4" s="196" t="s">
        <v>699</v>
      </c>
      <c r="H4" s="197">
        <v>5000000</v>
      </c>
      <c r="I4" s="197">
        <v>1000000</v>
      </c>
      <c r="K4" s="196">
        <v>2</v>
      </c>
      <c r="L4" s="196" t="s">
        <v>680</v>
      </c>
      <c r="M4" s="196" t="s">
        <v>680</v>
      </c>
    </row>
    <row r="5" spans="5:9" ht="13.5">
      <c r="E5" s="214">
        <v>3</v>
      </c>
      <c r="F5" s="196" t="s">
        <v>677</v>
      </c>
      <c r="G5" s="196" t="s">
        <v>700</v>
      </c>
      <c r="H5" s="197">
        <v>5000000</v>
      </c>
      <c r="I5" s="197">
        <v>1000000</v>
      </c>
    </row>
    <row r="6" spans="5:9" ht="13.5">
      <c r="E6" s="214">
        <v>4</v>
      </c>
      <c r="F6" s="196" t="s">
        <v>678</v>
      </c>
      <c r="G6" s="196" t="s">
        <v>701</v>
      </c>
      <c r="H6" s="197">
        <v>30000000</v>
      </c>
      <c r="I6" s="197">
        <v>1000000</v>
      </c>
    </row>
    <row r="7" spans="5:9" ht="13.5">
      <c r="E7" s="214">
        <v>5</v>
      </c>
      <c r="F7" s="196" t="s">
        <v>678</v>
      </c>
      <c r="G7" s="196" t="s">
        <v>702</v>
      </c>
      <c r="H7" s="197">
        <v>30000000</v>
      </c>
      <c r="I7" s="197">
        <v>1000000</v>
      </c>
    </row>
    <row r="8" spans="5:7" ht="13.5">
      <c r="E8" s="216"/>
      <c r="G8" s="213"/>
    </row>
    <row r="9" spans="5:7" ht="13.5">
      <c r="E9" s="216"/>
      <c r="G9" s="213"/>
    </row>
    <row r="10" spans="5:7" ht="13.5">
      <c r="E10" s="216"/>
      <c r="G10" s="213"/>
    </row>
    <row r="11" spans="5:7" ht="13.5">
      <c r="E11" s="216"/>
      <c r="G11" s="213"/>
    </row>
    <row r="12" spans="5:7" ht="13.5">
      <c r="E12" s="216"/>
      <c r="G12" s="213"/>
    </row>
    <row r="13" spans="5:7" ht="13.5">
      <c r="E13" s="216"/>
      <c r="G13" s="213"/>
    </row>
    <row r="14" spans="5:7" ht="13.5">
      <c r="E14" s="216"/>
      <c r="G14" s="213"/>
    </row>
  </sheetData>
  <sheetProtection/>
  <mergeCells count="1">
    <mergeCell ref="F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BE121"/>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268" customWidth="1"/>
    <col min="2" max="2" width="11.57421875" style="268" customWidth="1"/>
    <col min="3" max="3" width="22.7109375" style="268" customWidth="1"/>
    <col min="4" max="4" width="11.57421875" style="268" customWidth="1"/>
    <col min="5" max="5" width="21.421875" style="268" customWidth="1"/>
    <col min="6" max="6" width="11.57421875" style="268" customWidth="1"/>
    <col min="7" max="7" width="21.421875" style="268" customWidth="1"/>
    <col min="8" max="8" width="11.57421875" style="268" customWidth="1"/>
    <col min="9" max="9" width="21.421875" style="268" customWidth="1"/>
    <col min="10" max="10" width="11.57421875" style="268" customWidth="1"/>
    <col min="11" max="11" width="21.421875" style="268" customWidth="1"/>
    <col min="12" max="12" width="9.8515625" style="268" customWidth="1"/>
    <col min="13" max="13" width="22.7109375" style="268" customWidth="1"/>
    <col min="14" max="14" width="12.7109375" style="268" customWidth="1"/>
    <col min="15" max="15" width="5.28125" style="268" customWidth="1"/>
    <col min="16" max="16" width="47.140625" style="268" bestFit="1" customWidth="1"/>
    <col min="17" max="17" width="25.421875" style="271" customWidth="1"/>
    <col min="18" max="18" width="18.57421875" style="271" customWidth="1"/>
    <col min="19" max="19" width="25.421875" style="271" customWidth="1"/>
    <col min="20" max="20" width="32.421875" style="271" customWidth="1"/>
    <col min="21" max="21" width="26.28125" style="268" customWidth="1"/>
    <col min="22" max="22" width="18.28125" style="268" customWidth="1"/>
    <col min="23" max="24" width="19.7109375" style="403" customWidth="1"/>
    <col min="25" max="26" width="20.421875" style="268" customWidth="1"/>
    <col min="27" max="28" width="16.8515625" style="268" customWidth="1"/>
    <col min="29" max="30" width="21.8515625" style="268" customWidth="1"/>
    <col min="31" max="31" width="35.28125" style="268" customWidth="1"/>
    <col min="32" max="32" width="19.28125" style="268" customWidth="1"/>
    <col min="33" max="33" width="5.7109375" style="268" customWidth="1"/>
    <col min="34" max="34" width="35.28125" style="268" customWidth="1"/>
    <col min="35" max="35" width="19.28125" style="268" customWidth="1"/>
    <col min="36" max="36" width="5.7109375" style="268" customWidth="1"/>
    <col min="37" max="37" width="35.28125" style="268" customWidth="1"/>
    <col min="38" max="38" width="19.28125" style="268" customWidth="1"/>
    <col min="39" max="39" width="5.7109375" style="268" customWidth="1"/>
    <col min="40" max="40" width="35.28125" style="268" customWidth="1"/>
    <col min="41" max="41" width="19.28125" style="268" customWidth="1"/>
    <col min="42" max="42" width="5.7109375" style="268" customWidth="1"/>
    <col min="43" max="44" width="11.140625" style="268" bestFit="1" customWidth="1"/>
    <col min="45" max="45" width="6.7109375" style="268" bestFit="1" customWidth="1"/>
    <col min="46" max="46" width="45.57421875" style="268" bestFit="1" customWidth="1"/>
    <col min="47" max="47" width="10.28125" style="268" bestFit="1" customWidth="1"/>
    <col min="48" max="48" width="9.421875" style="268" bestFit="1" customWidth="1"/>
    <col min="49" max="49" width="4.57421875" style="268" bestFit="1" customWidth="1"/>
    <col min="50" max="50" width="8.421875" style="268" bestFit="1" customWidth="1"/>
    <col min="51" max="51" width="4.57421875" style="268" bestFit="1" customWidth="1"/>
    <col min="52" max="52" width="15.421875" style="268" bestFit="1" customWidth="1"/>
    <col min="53" max="53" width="4.57421875" style="268" bestFit="1" customWidth="1"/>
    <col min="54" max="54" width="18.28125" style="268" bestFit="1" customWidth="1"/>
    <col min="55" max="55" width="6.8515625" style="268" bestFit="1" customWidth="1"/>
    <col min="56" max="56" width="14.00390625" style="268" customWidth="1"/>
    <col min="57" max="57" width="13.8515625" style="268" customWidth="1"/>
    <col min="58" max="58" width="17.28125" style="268" customWidth="1"/>
    <col min="59" max="16384" width="9.00390625" style="268" customWidth="1"/>
  </cols>
  <sheetData>
    <row r="1" spans="1:18" s="263" customFormat="1" ht="13.5">
      <c r="A1" s="262"/>
      <c r="E1" s="264"/>
      <c r="F1" s="265"/>
      <c r="H1" s="262"/>
      <c r="N1" s="262"/>
      <c r="O1" s="262"/>
      <c r="P1" s="262"/>
      <c r="R1" s="266"/>
    </row>
    <row r="2" spans="1:18" s="263" customFormat="1" ht="13.5">
      <c r="A2" s="262"/>
      <c r="B2" s="258"/>
      <c r="E2" s="264"/>
      <c r="F2" s="265"/>
      <c r="H2" s="262"/>
      <c r="N2" s="262"/>
      <c r="O2" s="262"/>
      <c r="P2" s="262"/>
      <c r="R2" s="266"/>
    </row>
    <row r="3" spans="1:28" s="263" customFormat="1" ht="24">
      <c r="A3" s="262"/>
      <c r="E3" s="264"/>
      <c r="F3" s="265"/>
      <c r="H3" s="262"/>
      <c r="N3" s="262"/>
      <c r="O3" s="262"/>
      <c r="P3" s="262"/>
      <c r="R3" s="266"/>
      <c r="V3" s="424"/>
      <c r="W3" s="424"/>
      <c r="X3" s="424"/>
      <c r="Y3" s="424"/>
      <c r="Z3" s="424"/>
      <c r="AB3" s="267"/>
    </row>
    <row r="4" spans="2:36" ht="24">
      <c r="B4" s="421" t="s">
        <v>663</v>
      </c>
      <c r="C4" s="270"/>
      <c r="D4" s="270"/>
      <c r="E4" s="270"/>
      <c r="F4" s="270"/>
      <c r="G4" s="271"/>
      <c r="H4" s="271"/>
      <c r="I4" s="271"/>
      <c r="J4" s="271"/>
      <c r="K4" s="271"/>
      <c r="L4" s="271"/>
      <c r="M4" s="271"/>
      <c r="N4" s="271"/>
      <c r="V4" s="438" t="str">
        <f>"（事業者名　：　"&amp;'基本情報入力（使い方）'!C10&amp;")"</f>
        <v>（事業者名　：　Ｂ金属株式会社)</v>
      </c>
      <c r="W4" s="438"/>
      <c r="X4" s="438"/>
      <c r="Y4" s="438"/>
      <c r="Z4" s="438"/>
      <c r="AA4" s="267"/>
      <c r="AJ4" s="272"/>
    </row>
    <row r="5" spans="2:27" ht="24">
      <c r="B5" s="269"/>
      <c r="D5" s="572"/>
      <c r="E5" s="572"/>
      <c r="F5" s="572"/>
      <c r="G5" s="572"/>
      <c r="Q5" s="273" t="s">
        <v>534</v>
      </c>
      <c r="R5" s="274"/>
      <c r="S5" s="274"/>
      <c r="T5" s="268"/>
      <c r="V5" s="275" t="s">
        <v>598</v>
      </c>
      <c r="W5" s="268"/>
      <c r="X5" s="276" t="s">
        <v>599</v>
      </c>
      <c r="Y5" s="277"/>
      <c r="Z5" s="277"/>
      <c r="AA5" s="267"/>
    </row>
    <row r="6" spans="2:56" s="263" customFormat="1" ht="24">
      <c r="B6" s="562" t="str">
        <f>"（事業者名　：　"&amp;'基本情報入力（使い方）'!C10&amp;")　　"&amp;事業類型&amp;"　"&amp;Q50</f>
        <v>（事業者名　：　Ｂ金属株式会社)　　ものづくり技術　小規模型（試作開発等）</v>
      </c>
      <c r="C6" s="562"/>
      <c r="D6" s="562"/>
      <c r="E6" s="562"/>
      <c r="F6" s="562"/>
      <c r="G6" s="562"/>
      <c r="H6" s="562"/>
      <c r="I6" s="562"/>
      <c r="J6" s="562"/>
      <c r="K6" s="562"/>
      <c r="L6" s="279"/>
      <c r="M6" s="279"/>
      <c r="N6" s="280" t="s">
        <v>0</v>
      </c>
      <c r="O6" s="268"/>
      <c r="P6" s="268"/>
      <c r="Q6" s="527" t="s">
        <v>44</v>
      </c>
      <c r="R6" s="281" t="s">
        <v>596</v>
      </c>
      <c r="S6" s="282"/>
      <c r="T6" s="283"/>
      <c r="U6" s="268"/>
      <c r="V6" s="506" t="s">
        <v>44</v>
      </c>
      <c r="W6" s="489" t="s">
        <v>692</v>
      </c>
      <c r="X6" s="490"/>
      <c r="Y6" s="490"/>
      <c r="Z6" s="491"/>
      <c r="AA6" s="267"/>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row>
    <row r="7" spans="1:56" s="263" customFormat="1" ht="33" customHeight="1">
      <c r="A7" s="271"/>
      <c r="B7" s="453" t="s">
        <v>17</v>
      </c>
      <c r="C7" s="454"/>
      <c r="D7" s="575" t="s">
        <v>584</v>
      </c>
      <c r="E7" s="576"/>
      <c r="F7" s="453" t="s">
        <v>586</v>
      </c>
      <c r="G7" s="454"/>
      <c r="H7" s="450" t="s">
        <v>588</v>
      </c>
      <c r="I7" s="452"/>
      <c r="J7" s="453" t="s">
        <v>23</v>
      </c>
      <c r="K7" s="454"/>
      <c r="L7" s="450" t="s">
        <v>597</v>
      </c>
      <c r="M7" s="451"/>
      <c r="N7" s="452"/>
      <c r="O7" s="268"/>
      <c r="P7" s="268"/>
      <c r="Q7" s="528"/>
      <c r="R7" s="503" t="str">
        <f>事業類型&amp;":"&amp;$Q$50</f>
        <v>ものづくり技術:小規模型（試作開発等）</v>
      </c>
      <c r="S7" s="504"/>
      <c r="T7" s="505"/>
      <c r="U7" s="268"/>
      <c r="V7" s="507"/>
      <c r="W7" s="492"/>
      <c r="X7" s="493"/>
      <c r="Y7" s="493"/>
      <c r="Z7" s="494"/>
      <c r="AA7" s="267"/>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row>
    <row r="8" spans="2:26" ht="30" customHeight="1">
      <c r="B8" s="457"/>
      <c r="C8" s="458"/>
      <c r="D8" s="455" t="s">
        <v>585</v>
      </c>
      <c r="E8" s="456"/>
      <c r="F8" s="457" t="s">
        <v>587</v>
      </c>
      <c r="G8" s="458"/>
      <c r="H8" s="457" t="s">
        <v>589</v>
      </c>
      <c r="I8" s="458"/>
      <c r="J8" s="457" t="s">
        <v>590</v>
      </c>
      <c r="K8" s="458"/>
      <c r="L8" s="529" t="s">
        <v>749</v>
      </c>
      <c r="M8" s="530"/>
      <c r="N8" s="531"/>
      <c r="Q8" s="284"/>
      <c r="R8" s="281" t="s">
        <v>47</v>
      </c>
      <c r="S8" s="285"/>
      <c r="T8" s="286"/>
      <c r="V8" s="287" t="s">
        <v>733</v>
      </c>
      <c r="W8" s="470" t="s">
        <v>736</v>
      </c>
      <c r="X8" s="471"/>
      <c r="Y8" s="471"/>
      <c r="Z8" s="472"/>
    </row>
    <row r="9" spans="1:26" ht="30" customHeight="1">
      <c r="A9" s="279"/>
      <c r="B9" s="569" t="s">
        <v>728</v>
      </c>
      <c r="C9" s="570"/>
      <c r="D9" s="288"/>
      <c r="E9" s="289">
        <f>'機械装置費（50万円以上）'!K33</f>
        <v>2160000</v>
      </c>
      <c r="F9" s="290"/>
      <c r="G9" s="291">
        <f>'機械装置費（50万円以上）'!L33</f>
        <v>2000000</v>
      </c>
      <c r="H9" s="292"/>
      <c r="I9" s="291">
        <f>'機械装置費（50万円以上）'!M33</f>
        <v>2000000</v>
      </c>
      <c r="J9" s="292">
        <f>IF(K9&gt;I9*2/3,"×","")</f>
      </c>
      <c r="K9" s="291">
        <f aca="true" t="shared" si="0" ref="K9:K18">T28</f>
        <v>1333333</v>
      </c>
      <c r="L9" s="293" t="s">
        <v>582</v>
      </c>
      <c r="M9" s="294"/>
      <c r="N9" s="295"/>
      <c r="Q9" s="222" t="str">
        <f>AP27</f>
        <v>○</v>
      </c>
      <c r="R9" s="296"/>
      <c r="S9" s="297"/>
      <c r="T9" s="254">
        <f>補助上限額</f>
        <v>5000000</v>
      </c>
      <c r="V9" s="223" t="str">
        <f>IF(OR(W28="×",W29="×",W30="×",W31="×",W32="×",W33="×",W34="×",W35="×",W36="×",W37="×"),"×","○")</f>
        <v>○</v>
      </c>
      <c r="W9" s="473"/>
      <c r="X9" s="474"/>
      <c r="Y9" s="474"/>
      <c r="Z9" s="475"/>
    </row>
    <row r="10" spans="2:27" ht="30" customHeight="1">
      <c r="B10" s="444" t="s">
        <v>729</v>
      </c>
      <c r="C10" s="445"/>
      <c r="D10" s="298"/>
      <c r="E10" s="299">
        <f>'機械装置費（50万円未満）'!K33</f>
        <v>3456000</v>
      </c>
      <c r="F10" s="300"/>
      <c r="G10" s="301">
        <f>'機械装置費（50万円未満）'!L33</f>
        <v>3200000</v>
      </c>
      <c r="H10" s="302"/>
      <c r="I10" s="301">
        <f>'機械装置費（50万円未満）'!M33</f>
        <v>3200000</v>
      </c>
      <c r="J10" s="302">
        <f aca="true" t="shared" si="1" ref="J10:J18">IF(K10&gt;I10*2/3,"×","")</f>
      </c>
      <c r="K10" s="301">
        <f t="shared" si="0"/>
        <v>2133328</v>
      </c>
      <c r="L10" s="303" t="s">
        <v>583</v>
      </c>
      <c r="M10" s="304"/>
      <c r="N10" s="305"/>
      <c r="Q10" s="284"/>
      <c r="R10" s="281" t="s">
        <v>698</v>
      </c>
      <c r="S10" s="285"/>
      <c r="T10" s="286"/>
      <c r="V10" s="306" t="s">
        <v>734</v>
      </c>
      <c r="W10" s="462" t="s">
        <v>732</v>
      </c>
      <c r="X10" s="463"/>
      <c r="Y10" s="463"/>
      <c r="Z10" s="464"/>
      <c r="AA10" s="307"/>
    </row>
    <row r="11" spans="2:27" ht="30" customHeight="1">
      <c r="B11" s="444" t="s">
        <v>708</v>
      </c>
      <c r="C11" s="445"/>
      <c r="D11" s="298"/>
      <c r="E11" s="299">
        <f>'原材料費'!K33</f>
        <v>554526</v>
      </c>
      <c r="F11" s="300"/>
      <c r="G11" s="301">
        <f>'原材料費'!L33</f>
        <v>513450</v>
      </c>
      <c r="H11" s="302"/>
      <c r="I11" s="301">
        <f>'原材料費'!M33</f>
        <v>513450</v>
      </c>
      <c r="J11" s="302">
        <f t="shared" si="1"/>
      </c>
      <c r="K11" s="301">
        <f t="shared" si="0"/>
        <v>77349</v>
      </c>
      <c r="L11" s="304"/>
      <c r="M11" s="304"/>
      <c r="N11" s="305"/>
      <c r="Q11" s="224" t="str">
        <f>AP28</f>
        <v>○</v>
      </c>
      <c r="R11" s="296"/>
      <c r="S11" s="297"/>
      <c r="T11" s="254">
        <f>補助下限額</f>
        <v>1000000</v>
      </c>
      <c r="V11" s="223" t="str">
        <f>IF(OR(X28="×",X29="×",X30="×",X31="×",X32="×",X33="×",X34="×",X35="×",X36="×",X37="×"),"×","○")</f>
        <v>○</v>
      </c>
      <c r="W11" s="486"/>
      <c r="X11" s="487"/>
      <c r="Y11" s="487"/>
      <c r="Z11" s="488"/>
      <c r="AA11" s="225"/>
    </row>
    <row r="12" spans="2:28" ht="30" customHeight="1">
      <c r="B12" s="444" t="s">
        <v>33</v>
      </c>
      <c r="C12" s="445"/>
      <c r="D12" s="298"/>
      <c r="E12" s="299">
        <f>'技術導入費'!K33</f>
        <v>5832000</v>
      </c>
      <c r="F12" s="300"/>
      <c r="G12" s="301">
        <f>'技術導入費'!L33</f>
        <v>5400000</v>
      </c>
      <c r="H12" s="302"/>
      <c r="I12" s="301">
        <f>'技術導入費'!M33</f>
        <v>5400000</v>
      </c>
      <c r="J12" s="302">
        <f t="shared" si="1"/>
      </c>
      <c r="K12" s="301">
        <f t="shared" si="0"/>
        <v>813490</v>
      </c>
      <c r="L12" s="308"/>
      <c r="M12" s="308"/>
      <c r="N12" s="305"/>
      <c r="V12" s="309" t="s">
        <v>735</v>
      </c>
      <c r="W12" s="281" t="s">
        <v>745</v>
      </c>
      <c r="X12" s="285"/>
      <c r="Y12" s="285"/>
      <c r="Z12" s="310"/>
      <c r="AB12" s="225"/>
    </row>
    <row r="13" spans="2:30" ht="30" customHeight="1">
      <c r="B13" s="444" t="s">
        <v>709</v>
      </c>
      <c r="C13" s="445"/>
      <c r="D13" s="298"/>
      <c r="E13" s="299">
        <f>'外注加工費'!K33</f>
        <v>540000</v>
      </c>
      <c r="F13" s="300"/>
      <c r="G13" s="301">
        <f>'外注加工費'!L33</f>
        <v>500000</v>
      </c>
      <c r="H13" s="302">
        <f>IF(OR(AO31=0,AO31=""),"",IF(AP33="○","",AP33))</f>
      </c>
      <c r="I13" s="301">
        <f>'外注加工費'!M33</f>
        <v>500000</v>
      </c>
      <c r="J13" s="302">
        <f t="shared" si="1"/>
      </c>
      <c r="K13" s="301">
        <f t="shared" si="0"/>
        <v>75322</v>
      </c>
      <c r="L13" s="308"/>
      <c r="M13" s="308"/>
      <c r="N13" s="311"/>
      <c r="U13" s="271"/>
      <c r="V13" s="222" t="str">
        <f>AP29</f>
        <v> </v>
      </c>
      <c r="W13" s="467" t="str">
        <f>"("&amp;AN29&amp;")"</f>
        <v>(判定対象外)</v>
      </c>
      <c r="X13" s="468"/>
      <c r="Y13" s="468"/>
      <c r="Z13" s="469"/>
      <c r="AB13" s="225"/>
      <c r="AC13" s="271"/>
      <c r="AD13" s="271"/>
    </row>
    <row r="14" spans="2:28" ht="30" customHeight="1">
      <c r="B14" s="444" t="s">
        <v>710</v>
      </c>
      <c r="C14" s="445"/>
      <c r="D14" s="298"/>
      <c r="E14" s="299">
        <f>'委託費'!K33</f>
        <v>1166400</v>
      </c>
      <c r="F14" s="300"/>
      <c r="G14" s="301">
        <f>'委託費'!L33</f>
        <v>1080000</v>
      </c>
      <c r="H14" s="302">
        <f>IF(OR(AO32=0,AO32=""),"",IF(AP33="○","",AP33))</f>
      </c>
      <c r="I14" s="301">
        <f>'委託費'!M33</f>
        <v>1080000</v>
      </c>
      <c r="J14" s="302">
        <f t="shared" si="1"/>
      </c>
      <c r="K14" s="301">
        <f t="shared" si="0"/>
        <v>162697</v>
      </c>
      <c r="L14" s="308"/>
      <c r="M14" s="308"/>
      <c r="N14" s="311"/>
      <c r="Q14" s="312"/>
      <c r="R14" s="268"/>
      <c r="S14" s="313"/>
      <c r="T14" s="268"/>
      <c r="U14" s="271"/>
      <c r="V14" s="306" t="s">
        <v>738</v>
      </c>
      <c r="W14" s="462" t="s">
        <v>737</v>
      </c>
      <c r="X14" s="463"/>
      <c r="Y14" s="463"/>
      <c r="Z14" s="464"/>
      <c r="AA14" s="225"/>
      <c r="AB14" s="271"/>
    </row>
    <row r="15" spans="2:28" ht="30" customHeight="1">
      <c r="B15" s="444" t="s">
        <v>711</v>
      </c>
      <c r="C15" s="445"/>
      <c r="D15" s="298"/>
      <c r="E15" s="299">
        <f>'知的財産権等関連経費'!K33</f>
        <v>594000</v>
      </c>
      <c r="F15" s="300"/>
      <c r="G15" s="301">
        <f>'知的財産権等関連経費'!L33</f>
        <v>550000</v>
      </c>
      <c r="H15" s="302">
        <f>IF(OR(AO34=0,AO34=""),"",IF(AP34="○","",AP34))</f>
      </c>
      <c r="I15" s="301">
        <f>'知的財産権等関連経費'!M33</f>
        <v>550000</v>
      </c>
      <c r="J15" s="302">
        <f t="shared" si="1"/>
      </c>
      <c r="K15" s="301">
        <f t="shared" si="0"/>
        <v>82854</v>
      </c>
      <c r="L15" s="308"/>
      <c r="M15" s="308"/>
      <c r="N15" s="314"/>
      <c r="Q15" s="312"/>
      <c r="R15" s="268"/>
      <c r="S15" s="313"/>
      <c r="T15" s="268"/>
      <c r="U15" s="271"/>
      <c r="V15" s="223" t="str">
        <f>IF(OR(Z28="×",Z29="×",Z30="×",Z31="×",Z32="×",Z33="×",Z34="×",Z35="×",Z36="×",Z37="×"),"×",AP30)</f>
        <v> </v>
      </c>
      <c r="W15" s="467" t="str">
        <f>"("&amp;AN30&amp;")"</f>
        <v>(判定対象外)</v>
      </c>
      <c r="X15" s="468"/>
      <c r="Y15" s="468"/>
      <c r="Z15" s="469"/>
      <c r="AA15" s="225"/>
      <c r="AB15" s="271"/>
    </row>
    <row r="16" spans="1:57" s="271" customFormat="1" ht="30" customHeight="1">
      <c r="A16" s="268"/>
      <c r="B16" s="444" t="s">
        <v>36</v>
      </c>
      <c r="C16" s="445"/>
      <c r="D16" s="298"/>
      <c r="E16" s="299">
        <f>'運搬費'!K33</f>
        <v>955800</v>
      </c>
      <c r="F16" s="300"/>
      <c r="G16" s="301">
        <f>'運搬費'!L33</f>
        <v>885000</v>
      </c>
      <c r="H16" s="302"/>
      <c r="I16" s="301">
        <f>'運搬費'!M33</f>
        <v>885000</v>
      </c>
      <c r="J16" s="302">
        <f t="shared" si="1"/>
      </c>
      <c r="K16" s="301">
        <f t="shared" si="0"/>
        <v>133321</v>
      </c>
      <c r="L16" s="308"/>
      <c r="M16" s="308"/>
      <c r="N16" s="314"/>
      <c r="V16" s="306" t="s">
        <v>743</v>
      </c>
      <c r="W16" s="470" t="s">
        <v>722</v>
      </c>
      <c r="X16" s="471"/>
      <c r="Y16" s="471"/>
      <c r="Z16" s="472"/>
      <c r="AA16" s="225"/>
      <c r="AC16" s="268"/>
      <c r="AD16" s="268"/>
      <c r="AE16" s="268"/>
      <c r="AF16" s="268"/>
      <c r="AG16" s="268"/>
      <c r="AH16" s="268"/>
      <c r="AI16" s="268"/>
      <c r="AJ16" s="268"/>
      <c r="AK16" s="268"/>
      <c r="AL16" s="268"/>
      <c r="AM16" s="268"/>
      <c r="AN16" s="268"/>
      <c r="AO16" s="268"/>
      <c r="BE16" s="315"/>
    </row>
    <row r="17" spans="1:49" s="271" customFormat="1" ht="30" customHeight="1">
      <c r="A17" s="268"/>
      <c r="B17" s="444" t="s">
        <v>574</v>
      </c>
      <c r="C17" s="445"/>
      <c r="D17" s="298"/>
      <c r="E17" s="299">
        <f>'専門家経費'!K33</f>
        <v>1080000</v>
      </c>
      <c r="F17" s="300"/>
      <c r="G17" s="301">
        <f>'専門家経費'!L33</f>
        <v>1000000</v>
      </c>
      <c r="H17" s="302"/>
      <c r="I17" s="301">
        <f>'専門家経費'!M33</f>
        <v>1000000</v>
      </c>
      <c r="J17" s="302">
        <f t="shared" si="1"/>
      </c>
      <c r="K17" s="301">
        <f t="shared" si="0"/>
        <v>150645</v>
      </c>
      <c r="L17" s="308"/>
      <c r="M17" s="308"/>
      <c r="N17" s="314"/>
      <c r="Q17" s="312"/>
      <c r="R17" s="268"/>
      <c r="S17" s="313"/>
      <c r="T17" s="268"/>
      <c r="V17" s="223" t="str">
        <f>IF(OR(AA28="×",AA29="×",AA30="×",AA31="×",AA32="×",AA33="×",AA34="×",AA35="×",AA36="×",AA37="×"),"×","○")</f>
        <v>○</v>
      </c>
      <c r="W17" s="473"/>
      <c r="X17" s="474"/>
      <c r="Y17" s="474"/>
      <c r="Z17" s="475"/>
      <c r="AA17" s="268"/>
      <c r="AC17" s="268"/>
      <c r="AD17" s="268"/>
      <c r="AE17" s="268"/>
      <c r="AF17" s="268"/>
      <c r="AG17" s="268"/>
      <c r="AH17" s="268"/>
      <c r="AI17" s="268"/>
      <c r="AJ17" s="268"/>
      <c r="AK17" s="268"/>
      <c r="AL17" s="268"/>
      <c r="AM17" s="268"/>
      <c r="AN17" s="268"/>
      <c r="AO17" s="268"/>
      <c r="AW17" s="315"/>
    </row>
    <row r="18" spans="1:49" s="271" customFormat="1" ht="30" customHeight="1">
      <c r="A18" s="268"/>
      <c r="B18" s="565" t="s">
        <v>712</v>
      </c>
      <c r="C18" s="566"/>
      <c r="D18" s="316"/>
      <c r="E18" s="317">
        <f>'クラウド利用費'!K33</f>
        <v>270000</v>
      </c>
      <c r="F18" s="318"/>
      <c r="G18" s="319">
        <f>'クラウド利用費'!L33</f>
        <v>250000</v>
      </c>
      <c r="H18" s="320"/>
      <c r="I18" s="319">
        <f>'クラウド利用費'!M33</f>
        <v>250000</v>
      </c>
      <c r="J18" s="320">
        <f t="shared" si="1"/>
      </c>
      <c r="K18" s="319">
        <f t="shared" si="0"/>
        <v>37661</v>
      </c>
      <c r="L18" s="321"/>
      <c r="M18" s="321"/>
      <c r="N18" s="322"/>
      <c r="O18" s="268"/>
      <c r="P18" s="268"/>
      <c r="Q18" s="312"/>
      <c r="R18" s="268"/>
      <c r="S18" s="313"/>
      <c r="T18" s="268"/>
      <c r="V18" s="268"/>
      <c r="X18" s="268"/>
      <c r="Y18" s="268"/>
      <c r="Z18" s="268"/>
      <c r="AA18" s="225"/>
      <c r="AC18" s="268"/>
      <c r="AD18" s="268"/>
      <c r="AE18" s="268"/>
      <c r="AF18" s="268"/>
      <c r="AG18" s="268"/>
      <c r="AH18" s="268"/>
      <c r="AI18" s="268"/>
      <c r="AJ18" s="268"/>
      <c r="AK18" s="268"/>
      <c r="AL18" s="268"/>
      <c r="AM18" s="268"/>
      <c r="AN18" s="268"/>
      <c r="AO18" s="268"/>
      <c r="AW18" s="315"/>
    </row>
    <row r="19" spans="1:48" s="271" customFormat="1" ht="30" customHeight="1">
      <c r="A19" s="268"/>
      <c r="B19" s="563" t="s">
        <v>556</v>
      </c>
      <c r="C19" s="564"/>
      <c r="D19" s="323" t="s">
        <v>591</v>
      </c>
      <c r="E19" s="324">
        <f>SUM(E9:E18)</f>
        <v>16608726</v>
      </c>
      <c r="F19" s="325"/>
      <c r="G19" s="324">
        <f>SUM(G9:G18)</f>
        <v>15378450</v>
      </c>
      <c r="H19" s="323" t="s">
        <v>592</v>
      </c>
      <c r="I19" s="324">
        <f>SUM(I9:I18)</f>
        <v>15378450</v>
      </c>
      <c r="J19" s="323" t="s">
        <v>593</v>
      </c>
      <c r="K19" s="324">
        <f>SUM(K9:K18)</f>
        <v>5000000</v>
      </c>
      <c r="L19" s="326"/>
      <c r="M19" s="326"/>
      <c r="N19" s="327"/>
      <c r="O19" s="268"/>
      <c r="P19" s="268"/>
      <c r="Q19" s="312"/>
      <c r="R19" s="268"/>
      <c r="S19" s="313"/>
      <c r="T19" s="268"/>
      <c r="V19" s="268"/>
      <c r="X19" s="268"/>
      <c r="Y19" s="268"/>
      <c r="Z19" s="268"/>
      <c r="AA19" s="225"/>
      <c r="AC19" s="268"/>
      <c r="AD19" s="268"/>
      <c r="AE19" s="268"/>
      <c r="AF19" s="268"/>
      <c r="AG19" s="268"/>
      <c r="AH19" s="268"/>
      <c r="AI19" s="268"/>
      <c r="AJ19" s="268"/>
      <c r="AK19" s="268"/>
      <c r="AL19" s="268"/>
      <c r="AM19" s="268"/>
      <c r="AN19" s="268"/>
      <c r="AO19" s="268"/>
      <c r="AV19" s="315"/>
    </row>
    <row r="20" spans="1:48" s="271" customFormat="1" ht="30" customHeight="1">
      <c r="A20" s="268"/>
      <c r="B20" s="328" t="s">
        <v>713</v>
      </c>
      <c r="C20" s="244"/>
      <c r="D20" s="244"/>
      <c r="E20" s="237"/>
      <c r="F20" s="237"/>
      <c r="G20" s="237"/>
      <c r="H20" s="237"/>
      <c r="I20" s="554">
        <f>補助上限額</f>
        <v>5000000</v>
      </c>
      <c r="J20" s="554"/>
      <c r="K20" s="554"/>
      <c r="L20" s="237"/>
      <c r="M20" s="237"/>
      <c r="N20" s="268"/>
      <c r="O20" s="268"/>
      <c r="P20" s="268"/>
      <c r="U20" s="268"/>
      <c r="V20" s="268"/>
      <c r="W20" s="268"/>
      <c r="X20" s="268"/>
      <c r="Y20" s="268"/>
      <c r="Z20" s="268"/>
      <c r="AA20" s="268"/>
      <c r="AB20" s="268"/>
      <c r="AC20" s="268"/>
      <c r="AD20" s="268"/>
      <c r="AE20" s="268"/>
      <c r="AF20" s="268"/>
      <c r="AG20" s="268"/>
      <c r="AH20" s="268"/>
      <c r="AI20" s="268"/>
      <c r="AJ20" s="268"/>
      <c r="AK20" s="268"/>
      <c r="AL20" s="268"/>
      <c r="AM20" s="268"/>
      <c r="AN20" s="268"/>
      <c r="AO20" s="268"/>
      <c r="AV20" s="315"/>
    </row>
    <row r="21" spans="1:49" s="271" customFormat="1" ht="20.25" customHeight="1">
      <c r="A21" s="268"/>
      <c r="B21" s="268"/>
      <c r="C21" s="244"/>
      <c r="D21" s="244"/>
      <c r="E21" s="237"/>
      <c r="F21" s="237"/>
      <c r="G21" s="237"/>
      <c r="H21" s="237"/>
      <c r="I21" s="268"/>
      <c r="J21" s="268"/>
      <c r="K21" s="268"/>
      <c r="L21" s="268"/>
      <c r="M21" s="268"/>
      <c r="N21" s="238"/>
      <c r="O21" s="268"/>
      <c r="P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W21" s="315"/>
    </row>
    <row r="22" spans="1:49" s="271" customFormat="1" ht="20.25" customHeight="1">
      <c r="A22" s="268"/>
      <c r="B22" s="422" t="s">
        <v>664</v>
      </c>
      <c r="C22" s="329"/>
      <c r="D22" s="330"/>
      <c r="E22" s="330"/>
      <c r="F22" s="330"/>
      <c r="G22" s="268"/>
      <c r="H22" s="330"/>
      <c r="I22" s="268"/>
      <c r="J22" s="268"/>
      <c r="K22" s="268"/>
      <c r="L22" s="268"/>
      <c r="M22" s="268"/>
      <c r="N22" s="331"/>
      <c r="O22" s="268"/>
      <c r="P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W22" s="315"/>
    </row>
    <row r="23" spans="1:49" s="271" customFormat="1" ht="30" customHeight="1">
      <c r="A23" s="268"/>
      <c r="B23" s="423" t="s">
        <v>751</v>
      </c>
      <c r="C23" s="332"/>
      <c r="D23" s="330"/>
      <c r="E23" s="330"/>
      <c r="F23" s="330"/>
      <c r="G23" s="268"/>
      <c r="H23" s="330"/>
      <c r="I23" s="268"/>
      <c r="J23" s="268"/>
      <c r="K23" s="268"/>
      <c r="L23" s="268"/>
      <c r="M23" s="268"/>
      <c r="N23" s="268"/>
      <c r="O23" s="268"/>
      <c r="P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W23" s="315"/>
    </row>
    <row r="24" spans="2:29" ht="30" customHeight="1" thickBot="1">
      <c r="B24" s="341"/>
      <c r="C24" s="341"/>
      <c r="D24" s="330"/>
      <c r="E24" s="330"/>
      <c r="F24" s="330"/>
      <c r="H24" s="330"/>
      <c r="O24" s="333"/>
      <c r="P24" s="328"/>
      <c r="Q24" s="334" t="s">
        <v>558</v>
      </c>
      <c r="R24" s="335"/>
      <c r="S24" s="335"/>
      <c r="T24" s="336"/>
      <c r="U24" s="337"/>
      <c r="V24" s="338"/>
      <c r="W24" s="339"/>
      <c r="X24" s="338"/>
      <c r="Y24" s="338"/>
      <c r="Z24" s="338"/>
      <c r="AA24" s="338"/>
      <c r="AB24" s="340"/>
      <c r="AC24" s="340"/>
    </row>
    <row r="25" spans="1:42" s="279" customFormat="1" ht="30" customHeight="1" thickTop="1">
      <c r="A25" s="268"/>
      <c r="B25" s="476" t="s">
        <v>27</v>
      </c>
      <c r="C25" s="476"/>
      <c r="D25" s="476"/>
      <c r="E25" s="476"/>
      <c r="F25" s="476"/>
      <c r="G25" s="268"/>
      <c r="H25" s="347"/>
      <c r="I25" s="571" t="s">
        <v>547</v>
      </c>
      <c r="J25" s="571"/>
      <c r="K25" s="571"/>
      <c r="L25" s="268"/>
      <c r="M25" s="268"/>
      <c r="N25" s="268"/>
      <c r="O25" s="333"/>
      <c r="P25" s="263"/>
      <c r="Q25" s="342" t="s">
        <v>22</v>
      </c>
      <c r="R25" s="498" t="s">
        <v>43</v>
      </c>
      <c r="S25" s="342" t="s">
        <v>22</v>
      </c>
      <c r="T25" s="342" t="s">
        <v>22</v>
      </c>
      <c r="U25" s="511" t="s">
        <v>535</v>
      </c>
      <c r="V25" s="514" t="s">
        <v>44</v>
      </c>
      <c r="W25" s="343" t="s">
        <v>606</v>
      </c>
      <c r="X25" s="343" t="s">
        <v>607</v>
      </c>
      <c r="Y25" s="344" t="s">
        <v>608</v>
      </c>
      <c r="Z25" s="344" t="s">
        <v>738</v>
      </c>
      <c r="AA25" s="345" t="s">
        <v>743</v>
      </c>
      <c r="AB25" s="495" t="s">
        <v>540</v>
      </c>
      <c r="AC25" s="346"/>
      <c r="AD25" s="481" t="s">
        <v>723</v>
      </c>
      <c r="AE25" s="485" t="s">
        <v>679</v>
      </c>
      <c r="AF25" s="460"/>
      <c r="AG25" s="461"/>
      <c r="AH25" s="459" t="s">
        <v>677</v>
      </c>
      <c r="AI25" s="460"/>
      <c r="AJ25" s="461"/>
      <c r="AK25" s="459" t="s">
        <v>678</v>
      </c>
      <c r="AL25" s="460"/>
      <c r="AM25" s="480"/>
      <c r="AN25" s="477" t="s">
        <v>689</v>
      </c>
      <c r="AO25" s="478"/>
      <c r="AP25" s="479"/>
    </row>
    <row r="26" spans="2:42" ht="36.75" customHeight="1" thickBot="1">
      <c r="B26" s="446" t="s">
        <v>28</v>
      </c>
      <c r="C26" s="447"/>
      <c r="D26" s="446" t="s">
        <v>746</v>
      </c>
      <c r="E26" s="447"/>
      <c r="F26" s="446" t="s">
        <v>548</v>
      </c>
      <c r="G26" s="447"/>
      <c r="H26" s="354"/>
      <c r="I26" s="557" t="s">
        <v>28</v>
      </c>
      <c r="J26" s="558"/>
      <c r="K26" s="446" t="s">
        <v>746</v>
      </c>
      <c r="L26" s="447"/>
      <c r="M26" s="557" t="s">
        <v>29</v>
      </c>
      <c r="N26" s="558"/>
      <c r="O26" s="333"/>
      <c r="P26" s="263"/>
      <c r="Q26" s="348" t="s">
        <v>536</v>
      </c>
      <c r="R26" s="499"/>
      <c r="S26" s="348" t="s">
        <v>537</v>
      </c>
      <c r="T26" s="348" t="s">
        <v>23</v>
      </c>
      <c r="U26" s="512"/>
      <c r="V26" s="515"/>
      <c r="W26" s="465" t="s">
        <v>542</v>
      </c>
      <c r="X26" s="483" t="s">
        <v>727</v>
      </c>
      <c r="Y26" s="465" t="s">
        <v>744</v>
      </c>
      <c r="Z26" s="465" t="s">
        <v>730</v>
      </c>
      <c r="AA26" s="501" t="s">
        <v>722</v>
      </c>
      <c r="AB26" s="496"/>
      <c r="AC26" s="346"/>
      <c r="AD26" s="482"/>
      <c r="AE26" s="350" t="s">
        <v>686</v>
      </c>
      <c r="AF26" s="351" t="s">
        <v>687</v>
      </c>
      <c r="AG26" s="351" t="s">
        <v>688</v>
      </c>
      <c r="AH26" s="351" t="s">
        <v>686</v>
      </c>
      <c r="AI26" s="351" t="s">
        <v>687</v>
      </c>
      <c r="AJ26" s="351" t="s">
        <v>688</v>
      </c>
      <c r="AK26" s="351" t="s">
        <v>686</v>
      </c>
      <c r="AL26" s="351" t="s">
        <v>687</v>
      </c>
      <c r="AM26" s="352" t="s">
        <v>688</v>
      </c>
      <c r="AN26" s="353" t="s">
        <v>686</v>
      </c>
      <c r="AO26" s="351" t="s">
        <v>687</v>
      </c>
      <c r="AP26" s="351" t="s">
        <v>688</v>
      </c>
    </row>
    <row r="27" spans="2:42" ht="30" customHeight="1" thickBot="1" thickTop="1">
      <c r="B27" s="448"/>
      <c r="C27" s="449"/>
      <c r="D27" s="448"/>
      <c r="E27" s="449"/>
      <c r="F27" s="448"/>
      <c r="G27" s="449"/>
      <c r="H27" s="266"/>
      <c r="I27" s="559"/>
      <c r="J27" s="560"/>
      <c r="K27" s="448"/>
      <c r="L27" s="449"/>
      <c r="M27" s="559"/>
      <c r="N27" s="560"/>
      <c r="O27" s="333"/>
      <c r="P27" s="263"/>
      <c r="Q27" s="355" t="s">
        <v>24</v>
      </c>
      <c r="R27" s="500"/>
      <c r="S27" s="349" t="s">
        <v>24</v>
      </c>
      <c r="T27" s="349" t="s">
        <v>24</v>
      </c>
      <c r="U27" s="513"/>
      <c r="V27" s="516"/>
      <c r="W27" s="466"/>
      <c r="X27" s="484"/>
      <c r="Y27" s="466"/>
      <c r="Z27" s="466"/>
      <c r="AA27" s="502"/>
      <c r="AB27" s="497"/>
      <c r="AC27" s="346"/>
      <c r="AD27" s="356" t="s">
        <v>47</v>
      </c>
      <c r="AE27" s="357">
        <v>10000000</v>
      </c>
      <c r="AF27" s="226">
        <f>$K$19</f>
        <v>5000000</v>
      </c>
      <c r="AG27" s="358" t="str">
        <f>IF(AE27-AF27&gt;=0,"○","×")</f>
        <v>○</v>
      </c>
      <c r="AH27" s="226">
        <v>5000000</v>
      </c>
      <c r="AI27" s="226">
        <f>$K$19</f>
        <v>5000000</v>
      </c>
      <c r="AJ27" s="358" t="str">
        <f>IF(AH27-AI27&gt;=0,"○","×")</f>
        <v>○</v>
      </c>
      <c r="AK27" s="226">
        <v>30000000</v>
      </c>
      <c r="AL27" s="226">
        <f>$K$19</f>
        <v>5000000</v>
      </c>
      <c r="AM27" s="359" t="str">
        <f>IF(AK27-AL27&gt;=0,"○","×")</f>
        <v>○</v>
      </c>
      <c r="AN27" s="360">
        <f>IF('基本情報入力（使い方）'!$C$20=1,AE27,IF(OR('基本情報入力（使い方）'!$C$20=2,'基本情報入力（使い方）'!$C$20=3),AH27,AK27))</f>
        <v>5000000</v>
      </c>
      <c r="AO27" s="361">
        <f>IF('基本情報入力（使い方）'!$C$20=1,AF27,IF(OR('基本情報入力（使い方）'!$C$20=2,'基本情報入力（使い方）'!$C$20=3),AI27,AL27))</f>
        <v>5000000</v>
      </c>
      <c r="AP27" s="362" t="str">
        <f>IF('基本情報入力（使い方）'!$C$20=1,AG27,IF(OR('基本情報入力（使い方）'!$C$20=2,'基本情報入力（使い方）'!$C$20=3),AJ27,AM27))</f>
        <v>○</v>
      </c>
    </row>
    <row r="28" spans="2:42" ht="30" customHeight="1" thickTop="1">
      <c r="B28" s="537" t="s">
        <v>549</v>
      </c>
      <c r="C28" s="538"/>
      <c r="D28" s="541">
        <f>D32-D29-D30-D31</f>
        <v>11608726</v>
      </c>
      <c r="E28" s="542"/>
      <c r="F28" s="545"/>
      <c r="G28" s="546"/>
      <c r="H28" s="369"/>
      <c r="I28" s="525" t="s">
        <v>30</v>
      </c>
      <c r="J28" s="526"/>
      <c r="K28" s="541">
        <v>0</v>
      </c>
      <c r="L28" s="542"/>
      <c r="M28" s="517"/>
      <c r="N28" s="518"/>
      <c r="O28" s="363"/>
      <c r="P28" s="288" t="s">
        <v>572</v>
      </c>
      <c r="Q28" s="219">
        <f>'機械装置費（50万円以上）'!Q33</f>
        <v>1333333</v>
      </c>
      <c r="R28" s="220">
        <f>IF($S$28&gt;0,1,"")</f>
        <v>1</v>
      </c>
      <c r="S28" s="45">
        <f>IF(事業類型="革新的サービス（コンパクト型）",0,MIN(Q28,Q40))</f>
        <v>1333333</v>
      </c>
      <c r="T28" s="45">
        <f>IF(S28=0,0,MIN(S28,Q40))</f>
        <v>1333333</v>
      </c>
      <c r="U28" s="46">
        <f aca="true" t="shared" si="2" ref="U28:U37">K9-Q28</f>
        <v>0</v>
      </c>
      <c r="V28" s="227" t="str">
        <f>IF(AND(W28&lt;&gt;"×",X28&lt;&gt;"×",Y28&lt;&gt;"×",Z28&lt;&gt;"×",AA28&lt;&gt;"×"),"○","×")</f>
        <v>○</v>
      </c>
      <c r="W28" s="227"/>
      <c r="X28" s="227">
        <f aca="true" t="shared" si="3" ref="X28:X37">IF(AND(E9&gt;=G9,G9&gt;=I9),"","×")</f>
      </c>
      <c r="Y28" s="255" t="str">
        <f>AP29</f>
        <v> </v>
      </c>
      <c r="Z28" s="255"/>
      <c r="AA28" s="228"/>
      <c r="AB28" s="508" t="str">
        <f>IF(OR(V28="×",V29="×",V30="×",V31="×",V32="×",V33="×",V34="×",V35="×",V36="×",V37="×",Q9="×",Q11="×",V13="×",Q15="×",V9="×",V11="×",V15="×",V17="×",V19="×"),"×","○")</f>
        <v>○</v>
      </c>
      <c r="AC28" s="364"/>
      <c r="AD28" s="365" t="s">
        <v>698</v>
      </c>
      <c r="AE28" s="366">
        <v>1000000</v>
      </c>
      <c r="AF28" s="229">
        <f>$K$19</f>
        <v>5000000</v>
      </c>
      <c r="AG28" s="367" t="str">
        <f>IF(AF28-AE28&gt;=0,"○","×")</f>
        <v>○</v>
      </c>
      <c r="AH28" s="229">
        <v>1000000</v>
      </c>
      <c r="AI28" s="229">
        <f>$K$19</f>
        <v>5000000</v>
      </c>
      <c r="AJ28" s="367" t="str">
        <f>IF(AI28-AH28&gt;=0,"○","×")</f>
        <v>○</v>
      </c>
      <c r="AK28" s="229">
        <v>1000000</v>
      </c>
      <c r="AL28" s="229">
        <f>$K$19</f>
        <v>5000000</v>
      </c>
      <c r="AM28" s="368" t="str">
        <f>IF(AL28-AK28&gt;=0,"○","×")</f>
        <v>○</v>
      </c>
      <c r="AN28" s="360">
        <f>IF('基本情報入力（使い方）'!$C$20=1,AE28,IF(OR('基本情報入力（使い方）'!$C$20=2,'基本情報入力（使い方）'!$C$20=3),AH28,AK28))</f>
        <v>1000000</v>
      </c>
      <c r="AO28" s="361">
        <f>IF('基本情報入力（使い方）'!$C$20=1,AF28,IF(OR('基本情報入力（使い方）'!$C$20=2,'基本情報入力（使い方）'!$C$20=3),AI28,AL28))</f>
        <v>5000000</v>
      </c>
      <c r="AP28" s="362" t="str">
        <f>IF('基本情報入力（使い方）'!$C$20=1,AG28,IF(OR('基本情報入力（使い方）'!$C$20=2,'基本情報入力（使い方）'!$C$20=3),AJ28,AM28))</f>
        <v>○</v>
      </c>
    </row>
    <row r="29" spans="2:42" ht="30" customHeight="1">
      <c r="B29" s="567" t="s">
        <v>550</v>
      </c>
      <c r="C29" s="568"/>
      <c r="D29" s="573">
        <f>K19</f>
        <v>5000000</v>
      </c>
      <c r="E29" s="574"/>
      <c r="F29" s="543"/>
      <c r="G29" s="544"/>
      <c r="H29" s="376"/>
      <c r="I29" s="525" t="s">
        <v>551</v>
      </c>
      <c r="J29" s="526"/>
      <c r="K29" s="539">
        <f>K31-K28-K30</f>
        <v>5000000</v>
      </c>
      <c r="L29" s="540"/>
      <c r="M29" s="535" t="str">
        <f>IF(K29=0,"",'基本情報入力（使い方）'!C28)</f>
        <v>○○信用金庫　○○支店</v>
      </c>
      <c r="N29" s="536"/>
      <c r="O29" s="363"/>
      <c r="P29" s="298" t="s">
        <v>573</v>
      </c>
      <c r="Q29" s="184">
        <f>'機械装置費（50万円未満）'!Q33</f>
        <v>2133328</v>
      </c>
      <c r="R29" s="127">
        <f>IF($S$29&gt;0,1,"")</f>
        <v>1</v>
      </c>
      <c r="S29" s="48">
        <f>IF(AND(事業類型="革新的サービス（コンパクト型）",Q29&gt;=500000*2/3),499999,MIN(Q29,Q40))</f>
        <v>2133328</v>
      </c>
      <c r="T29" s="48">
        <f>IF(S29=0,0,MIN(S29,(Q40-S28)))</f>
        <v>2133328</v>
      </c>
      <c r="U29" s="49">
        <f t="shared" si="2"/>
        <v>0</v>
      </c>
      <c r="V29" s="230" t="str">
        <f aca="true" t="shared" si="4" ref="V29:V37">IF(AND(W29&lt;&gt;"×",X29&lt;&gt;"×",Y29&lt;&gt;"×",Z29&lt;&gt;"×",AA29&lt;&gt;"×"),"○","×")</f>
        <v>○</v>
      </c>
      <c r="W29" s="230"/>
      <c r="X29" s="230">
        <f t="shared" si="3"/>
      </c>
      <c r="Y29" s="256"/>
      <c r="Z29" s="256"/>
      <c r="AA29" s="231"/>
      <c r="AB29" s="509"/>
      <c r="AC29" s="364"/>
      <c r="AD29" s="370" t="s">
        <v>48</v>
      </c>
      <c r="AE29" s="371" t="s">
        <v>714</v>
      </c>
      <c r="AF29" s="372">
        <f>$I$9</f>
        <v>2000000</v>
      </c>
      <c r="AG29" s="367" t="str">
        <f>IF(AF29&gt;=500000,"○","×")</f>
        <v>○</v>
      </c>
      <c r="AH29" s="373" t="s">
        <v>691</v>
      </c>
      <c r="AI29" s="374" t="s">
        <v>731</v>
      </c>
      <c r="AJ29" s="374" t="s">
        <v>731</v>
      </c>
      <c r="AK29" s="375" t="s">
        <v>538</v>
      </c>
      <c r="AL29" s="372">
        <f>$I$9</f>
        <v>2000000</v>
      </c>
      <c r="AM29" s="368" t="str">
        <f>IF(AL29&gt;=500000,"○","×")</f>
        <v>○</v>
      </c>
      <c r="AN29" s="360" t="str">
        <f>IF('基本情報入力（使い方）'!$C$20=1,AE29,IF(OR('基本情報入力（使い方）'!$C$20=2,'基本情報入力（使い方）'!$C$20=3),AH29,AK29))</f>
        <v>判定対象外</v>
      </c>
      <c r="AO29" s="361" t="str">
        <f>IF('基本情報入力（使い方）'!$C$20=1,AF29,IF(OR('基本情報入力（使い方）'!$C$20=2,'基本情報入力（使い方）'!$C$20=3),AI29,AL29))</f>
        <v> </v>
      </c>
      <c r="AP29" s="362" t="str">
        <f>IF('基本情報入力（使い方）'!$C$20=1,AG29,IF(OR('基本情報入力（使い方）'!$C$20=2,'基本情報入力（使い方）'!$C$20=3),AJ29,AM29))</f>
        <v> </v>
      </c>
    </row>
    <row r="30" spans="2:42" ht="30" customHeight="1">
      <c r="B30" s="537" t="s">
        <v>552</v>
      </c>
      <c r="C30" s="538"/>
      <c r="D30" s="541">
        <v>0</v>
      </c>
      <c r="E30" s="542"/>
      <c r="F30" s="519">
        <f>IF(D30=0,"",'基本情報入力（使い方）'!C28)</f>
      </c>
      <c r="G30" s="520"/>
      <c r="H30" s="377"/>
      <c r="I30" s="525" t="s">
        <v>31</v>
      </c>
      <c r="J30" s="526"/>
      <c r="K30" s="541">
        <v>0</v>
      </c>
      <c r="L30" s="542"/>
      <c r="M30" s="552"/>
      <c r="N30" s="553"/>
      <c r="O30" s="363"/>
      <c r="P30" s="298" t="s">
        <v>708</v>
      </c>
      <c r="Q30" s="47">
        <f aca="true" t="shared" si="5" ref="Q30:Q37">IF(I11="",0,ROUNDDOWN(I11*2/3,0))</f>
        <v>342300</v>
      </c>
      <c r="R30" s="127">
        <f aca="true" t="shared" si="6" ref="R30:R37">IF(Q30=0,"",IF(SUM($Q$28:$Q$29)&gt;0,RANK(S30,$S$30:$S$37)+1,RANK(S30,$S$30:$S$37)))</f>
        <v>7</v>
      </c>
      <c r="S30" s="48">
        <f aca="true" t="shared" si="7" ref="S30:S37">IF(SUM($S$28:$S$29)-$Q$40&gt;=0,0,ROUNDDOWN(Q30/$Q$39*$Q$43,0))</f>
        <v>77349</v>
      </c>
      <c r="T30" s="48">
        <f aca="true" t="shared" si="8" ref="T30:T37">IF($S$39-S30=0,S30+$S$43,S30)</f>
        <v>77349</v>
      </c>
      <c r="U30" s="49">
        <f t="shared" si="2"/>
        <v>-264951</v>
      </c>
      <c r="V30" s="230" t="str">
        <f t="shared" si="4"/>
        <v>○</v>
      </c>
      <c r="W30" s="230"/>
      <c r="X30" s="230">
        <f t="shared" si="3"/>
      </c>
      <c r="Y30" s="256"/>
      <c r="Z30" s="256" t="str">
        <f>AP30</f>
        <v> </v>
      </c>
      <c r="AA30" s="231" t="str">
        <f>IF(OR(I11=0,I11=""),"○",$AP$35)</f>
        <v>○</v>
      </c>
      <c r="AB30" s="509"/>
      <c r="AC30" s="364"/>
      <c r="AD30" s="370" t="s">
        <v>49</v>
      </c>
      <c r="AE30" s="371" t="s">
        <v>539</v>
      </c>
      <c r="AF30" s="372">
        <f>$K$19-SUM($K$9:$K$10)</f>
        <v>1533339</v>
      </c>
      <c r="AG30" s="367" t="str">
        <f>IF(AF30&lt;=5000000,"○","×")</f>
        <v>○</v>
      </c>
      <c r="AH30" s="373" t="s">
        <v>691</v>
      </c>
      <c r="AI30" s="374" t="s">
        <v>731</v>
      </c>
      <c r="AJ30" s="374" t="s">
        <v>731</v>
      </c>
      <c r="AK30" s="375" t="s">
        <v>539</v>
      </c>
      <c r="AL30" s="372">
        <f>$K$19-SUM($K$9:$K$10)</f>
        <v>1533339</v>
      </c>
      <c r="AM30" s="368" t="str">
        <f>IF(AL30&lt;=5000000,"○","×")</f>
        <v>○</v>
      </c>
      <c r="AN30" s="360" t="str">
        <f>IF('基本情報入力（使い方）'!$C$20=1,AE30,IF(OR('基本情報入力（使い方）'!$C$20=2,'基本情報入力（使い方）'!$C$20=3),AH30,AK30))</f>
        <v>判定対象外</v>
      </c>
      <c r="AO30" s="361" t="str">
        <f>IF('基本情報入力（使い方）'!$C$20=1,AF30,IF(OR('基本情報入力（使い方）'!$C$20=2,'基本情報入力（使い方）'!$C$20=3),AI30,AL30))</f>
        <v> </v>
      </c>
      <c r="AP30" s="362" t="str">
        <f>IF('基本情報入力（使い方）'!$C$20=1,AG30,IF(OR('基本情報入力（使い方）'!$C$20=2,'基本情報入力（使い方）'!$C$20=3),AJ30,AM30))</f>
        <v> </v>
      </c>
    </row>
    <row r="31" spans="2:42" ht="30" customHeight="1">
      <c r="B31" s="537" t="s">
        <v>553</v>
      </c>
      <c r="C31" s="538"/>
      <c r="D31" s="541">
        <v>0</v>
      </c>
      <c r="E31" s="542"/>
      <c r="F31" s="547"/>
      <c r="G31" s="548"/>
      <c r="H31" s="369"/>
      <c r="I31" s="555" t="s">
        <v>554</v>
      </c>
      <c r="J31" s="556"/>
      <c r="K31" s="539">
        <f>D29</f>
        <v>5000000</v>
      </c>
      <c r="L31" s="540"/>
      <c r="M31" s="517"/>
      <c r="N31" s="518"/>
      <c r="O31" s="363"/>
      <c r="P31" s="298" t="s">
        <v>33</v>
      </c>
      <c r="Q31" s="47">
        <f t="shared" si="5"/>
        <v>3600000</v>
      </c>
      <c r="R31" s="127">
        <f t="shared" si="6"/>
        <v>2</v>
      </c>
      <c r="S31" s="48">
        <f t="shared" si="7"/>
        <v>813486</v>
      </c>
      <c r="T31" s="48">
        <f t="shared" si="8"/>
        <v>813490</v>
      </c>
      <c r="U31" s="49">
        <f t="shared" si="2"/>
        <v>-2786510</v>
      </c>
      <c r="V31" s="230" t="str">
        <f t="shared" si="4"/>
        <v>○</v>
      </c>
      <c r="W31" s="260"/>
      <c r="X31" s="230">
        <f t="shared" si="3"/>
      </c>
      <c r="Y31" s="256"/>
      <c r="Z31" s="256" t="str">
        <f>AP30</f>
        <v> </v>
      </c>
      <c r="AA31" s="231"/>
      <c r="AB31" s="509"/>
      <c r="AC31" s="364"/>
      <c r="AD31" s="378" t="s">
        <v>35</v>
      </c>
      <c r="AE31" s="379" t="s">
        <v>691</v>
      </c>
      <c r="AF31" s="374" t="s">
        <v>731</v>
      </c>
      <c r="AG31" s="374" t="s">
        <v>731</v>
      </c>
      <c r="AH31" s="375" t="s">
        <v>718</v>
      </c>
      <c r="AI31" s="372">
        <f>$I$13</f>
        <v>500000</v>
      </c>
      <c r="AJ31" s="367" t="str">
        <f>IF('基本情報入力（使い方）'!C20=2,IF($I$19/2-$I$13&gt;=0,"○","×"),IF(AI31=0,"○","×"))</f>
        <v>○</v>
      </c>
      <c r="AK31" s="373" t="s">
        <v>691</v>
      </c>
      <c r="AL31" s="374" t="s">
        <v>731</v>
      </c>
      <c r="AM31" s="380" t="s">
        <v>731</v>
      </c>
      <c r="AN31" s="360" t="str">
        <f>IF('基本情報入力（使い方）'!$C$20=1,AE31,IF(OR('基本情報入力（使い方）'!$C$20=2,'基本情報入力（使い方）'!$C$20=3),AH31,AK31))</f>
        <v>外注加工費は補助対象経費の1/2を超えていないか※１</v>
      </c>
      <c r="AO31" s="361">
        <f>IF('基本情報入力（使い方）'!$C$20=1,AF31,IF(OR('基本情報入力（使い方）'!$C$20=2,'基本情報入力（使い方）'!$C$20=3),AI31,AL31))</f>
        <v>500000</v>
      </c>
      <c r="AP31" s="362" t="str">
        <f>IF('基本情報入力（使い方）'!$C$20=1,AG31,IF(OR('基本情報入力（使い方）'!$C$20=2,'基本情報入力（使い方）'!$C$20=3),AJ31,AM31))</f>
        <v>○</v>
      </c>
    </row>
    <row r="32" spans="2:42" ht="30" customHeight="1">
      <c r="B32" s="537" t="s">
        <v>555</v>
      </c>
      <c r="C32" s="538"/>
      <c r="D32" s="539">
        <f>E19</f>
        <v>16608726</v>
      </c>
      <c r="E32" s="540"/>
      <c r="F32" s="545"/>
      <c r="G32" s="546"/>
      <c r="H32" s="369"/>
      <c r="I32" s="382"/>
      <c r="J32" s="382"/>
      <c r="K32" s="313"/>
      <c r="O32" s="363"/>
      <c r="P32" s="298" t="s">
        <v>709</v>
      </c>
      <c r="Q32" s="47">
        <f t="shared" si="5"/>
        <v>333333</v>
      </c>
      <c r="R32" s="127">
        <f t="shared" si="6"/>
        <v>8</v>
      </c>
      <c r="S32" s="48">
        <f t="shared" si="7"/>
        <v>75322</v>
      </c>
      <c r="T32" s="48">
        <f t="shared" si="8"/>
        <v>75322</v>
      </c>
      <c r="U32" s="49">
        <f t="shared" si="2"/>
        <v>-258011</v>
      </c>
      <c r="V32" s="230" t="str">
        <f t="shared" si="4"/>
        <v>○</v>
      </c>
      <c r="W32" s="261" t="str">
        <f>IF(OR(AO31=0,AO31=""),"○",AP33)</f>
        <v>○</v>
      </c>
      <c r="X32" s="230">
        <f t="shared" si="3"/>
      </c>
      <c r="Y32" s="256"/>
      <c r="Z32" s="256" t="str">
        <f>AP30</f>
        <v> </v>
      </c>
      <c r="AA32" s="231" t="str">
        <f>IF(OR(I13=0,I13=""),"○",$AP$35)</f>
        <v>○</v>
      </c>
      <c r="AB32" s="509"/>
      <c r="AC32" s="364"/>
      <c r="AD32" s="378" t="s">
        <v>690</v>
      </c>
      <c r="AE32" s="379" t="s">
        <v>691</v>
      </c>
      <c r="AF32" s="374" t="s">
        <v>731</v>
      </c>
      <c r="AG32" s="374" t="s">
        <v>731</v>
      </c>
      <c r="AH32" s="375" t="s">
        <v>719</v>
      </c>
      <c r="AI32" s="372">
        <f>$I$14</f>
        <v>1080000</v>
      </c>
      <c r="AJ32" s="367" t="str">
        <f>IF('基本情報入力（使い方）'!C20=2,IF($I$19/2-$I$14&gt;=0,"○","×"),IF(AI32=0,"○","×"))</f>
        <v>○</v>
      </c>
      <c r="AK32" s="373" t="s">
        <v>691</v>
      </c>
      <c r="AL32" s="374" t="s">
        <v>731</v>
      </c>
      <c r="AM32" s="380" t="s">
        <v>731</v>
      </c>
      <c r="AN32" s="381" t="str">
        <f>IF('基本情報入力（使い方）'!$C$20=1,AE32,IF(OR('基本情報入力（使い方）'!$C$20=2,'基本情報入力（使い方）'!$C$20=3),AH32,AK32))</f>
        <v>委託費は補助対象経費の1/2を超えていないか※１</v>
      </c>
      <c r="AO32" s="361">
        <f>IF('基本情報入力（使い方）'!$C$20=1,AF32,IF(OR('基本情報入力（使い方）'!$C$20=2,'基本情報入力（使い方）'!$C$20=3),AI32,AL32))</f>
        <v>1080000</v>
      </c>
      <c r="AP32" s="362" t="str">
        <f>IF('基本情報入力（使い方）'!$C$20=1,AG32,IF(OR('基本情報入力（使い方）'!$C$20=2,'基本情報入力（使い方）'!$C$20=3),AJ32,AM32))</f>
        <v>○</v>
      </c>
    </row>
    <row r="33" spans="3:42" ht="30" customHeight="1">
      <c r="C33" s="383"/>
      <c r="D33" s="383"/>
      <c r="E33" s="384"/>
      <c r="F33" s="384"/>
      <c r="G33" s="384"/>
      <c r="H33" s="385"/>
      <c r="I33" s="386" t="s">
        <v>670</v>
      </c>
      <c r="J33" s="386"/>
      <c r="K33" s="385"/>
      <c r="O33" s="363"/>
      <c r="P33" s="298" t="s">
        <v>710</v>
      </c>
      <c r="Q33" s="47">
        <f t="shared" si="5"/>
        <v>720000</v>
      </c>
      <c r="R33" s="127">
        <f t="shared" si="6"/>
        <v>3</v>
      </c>
      <c r="S33" s="48">
        <f t="shared" si="7"/>
        <v>162697</v>
      </c>
      <c r="T33" s="48">
        <f t="shared" si="8"/>
        <v>162697</v>
      </c>
      <c r="U33" s="49">
        <f t="shared" si="2"/>
        <v>-557303</v>
      </c>
      <c r="V33" s="230" t="str">
        <f t="shared" si="4"/>
        <v>○</v>
      </c>
      <c r="W33" s="261" t="str">
        <f>IF(OR(AO32=0,AO32=""),"○",AP33)</f>
        <v>○</v>
      </c>
      <c r="X33" s="230">
        <f t="shared" si="3"/>
      </c>
      <c r="Y33" s="256"/>
      <c r="Z33" s="256" t="str">
        <f>AP30</f>
        <v> </v>
      </c>
      <c r="AA33" s="231" t="str">
        <f>IF(OR(I14=0,I14=""),"○",$AP$35)</f>
        <v>○</v>
      </c>
      <c r="AB33" s="509"/>
      <c r="AC33" s="364"/>
      <c r="AD33" s="378" t="s">
        <v>50</v>
      </c>
      <c r="AE33" s="379" t="s">
        <v>691</v>
      </c>
      <c r="AF33" s="374" t="s">
        <v>731</v>
      </c>
      <c r="AG33" s="374" t="s">
        <v>731</v>
      </c>
      <c r="AH33" s="375" t="s">
        <v>720</v>
      </c>
      <c r="AI33" s="372">
        <f>$I$13+$I$14</f>
        <v>1580000</v>
      </c>
      <c r="AJ33" s="367" t="str">
        <f>IF('基本情報入力（使い方）'!C20=2,IF($I$19/2-($I$13+$I$14)&gt;=0,"○","×"),IF(AI33=0,"○","×"))</f>
        <v>○</v>
      </c>
      <c r="AK33" s="373" t="s">
        <v>691</v>
      </c>
      <c r="AL33" s="374" t="s">
        <v>731</v>
      </c>
      <c r="AM33" s="380" t="s">
        <v>731</v>
      </c>
      <c r="AN33" s="381" t="str">
        <f>IF('基本情報入力（使い方）'!$C$20=1,AE33,IF(OR('基本情報入力（使い方）'!$C$20=2,'基本情報入力（使い方）'!$C$20=3),AH33,AK33))</f>
        <v>上記の合計額が補助対象経費の1/2を超えていないか。※１</v>
      </c>
      <c r="AO33" s="361">
        <f>IF('基本情報入力（使い方）'!$C$20=1,AF33,IF(OR('基本情報入力（使い方）'!$C$20=2,'基本情報入力（使い方）'!$C$20=3),AI33,AL33))</f>
        <v>1580000</v>
      </c>
      <c r="AP33" s="362" t="str">
        <f>IF('基本情報入力（使い方）'!$C$20=1,AG33,IF(OR('基本情報入力（使い方）'!$C$20=2,'基本情報入力（使い方）'!$C$20=3),AJ33,AM33))</f>
        <v>○</v>
      </c>
    </row>
    <row r="34" spans="3:42" ht="30" customHeight="1">
      <c r="C34" s="313"/>
      <c r="D34" s="313"/>
      <c r="E34" s="388"/>
      <c r="F34" s="388"/>
      <c r="G34" s="388"/>
      <c r="H34" s="388"/>
      <c r="I34" s="389" t="s">
        <v>671</v>
      </c>
      <c r="J34" s="390" t="str">
        <f>'基本情報入力（使い方）'!C32</f>
        <v>総務部長　経済計子</v>
      </c>
      <c r="K34" s="388"/>
      <c r="O34" s="387"/>
      <c r="P34" s="298" t="s">
        <v>711</v>
      </c>
      <c r="Q34" s="47">
        <f t="shared" si="5"/>
        <v>366666</v>
      </c>
      <c r="R34" s="127">
        <f t="shared" si="6"/>
        <v>6</v>
      </c>
      <c r="S34" s="48">
        <f t="shared" si="7"/>
        <v>82854</v>
      </c>
      <c r="T34" s="48">
        <f t="shared" si="8"/>
        <v>82854</v>
      </c>
      <c r="U34" s="49">
        <f t="shared" si="2"/>
        <v>-283812</v>
      </c>
      <c r="V34" s="230" t="str">
        <f t="shared" si="4"/>
        <v>○</v>
      </c>
      <c r="W34" s="261" t="str">
        <f>AP34</f>
        <v>○</v>
      </c>
      <c r="X34" s="230">
        <f t="shared" si="3"/>
      </c>
      <c r="Y34" s="256"/>
      <c r="Z34" s="256" t="str">
        <f>AP30</f>
        <v> </v>
      </c>
      <c r="AA34" s="231" t="str">
        <f>IF(OR(I15=0,I15=""),"○",$AP$35)</f>
        <v>○</v>
      </c>
      <c r="AB34" s="509"/>
      <c r="AC34" s="364"/>
      <c r="AD34" s="378" t="s">
        <v>717</v>
      </c>
      <c r="AE34" s="379" t="s">
        <v>691</v>
      </c>
      <c r="AF34" s="374" t="s">
        <v>731</v>
      </c>
      <c r="AG34" s="374" t="s">
        <v>731</v>
      </c>
      <c r="AH34" s="375" t="s">
        <v>721</v>
      </c>
      <c r="AI34" s="372">
        <f>$I$15</f>
        <v>550000</v>
      </c>
      <c r="AJ34" s="367" t="str">
        <f>IF($I$19/3-$I$15&gt;=0,"○","×")</f>
        <v>○</v>
      </c>
      <c r="AK34" s="373" t="s">
        <v>691</v>
      </c>
      <c r="AL34" s="374" t="s">
        <v>731</v>
      </c>
      <c r="AM34" s="380" t="s">
        <v>731</v>
      </c>
      <c r="AN34" s="381" t="str">
        <f>IF('基本情報入力（使い方）'!$C$20=1,AE34,IF(OR('基本情報入力（使い方）'!$C$20=2,'基本情報入力（使い方）'!$C$20=3),AH34,AK34))</f>
        <v>知的財産権関連経費が補助対象経費の1/3を超えていないか</v>
      </c>
      <c r="AO34" s="361">
        <f>IF('基本情報入力（使い方）'!$C$20=1,AF34,IF(OR('基本情報入力（使い方）'!$C$20=2,'基本情報入力（使い方）'!$C$20=3),AI34,AL34))</f>
        <v>550000</v>
      </c>
      <c r="AP34" s="362" t="str">
        <f>IF('基本情報入力（使い方）'!$C$20=1,AG34,IF(OR('基本情報入力（使い方）'!$C$20=2,'基本情報入力（使い方）'!$C$20=3),AJ34,AM34))</f>
        <v>○</v>
      </c>
    </row>
    <row r="35" spans="9:42" ht="30" customHeight="1">
      <c r="I35" s="389" t="s">
        <v>672</v>
      </c>
      <c r="J35" s="392" t="str">
        <f>'基本情報入力（使い方）'!C33</f>
        <v>052-123-4567</v>
      </c>
      <c r="O35" s="363"/>
      <c r="P35" s="298" t="s">
        <v>36</v>
      </c>
      <c r="Q35" s="47">
        <f t="shared" si="5"/>
        <v>590000</v>
      </c>
      <c r="R35" s="127">
        <f t="shared" si="6"/>
        <v>5</v>
      </c>
      <c r="S35" s="48">
        <f t="shared" si="7"/>
        <v>133321</v>
      </c>
      <c r="T35" s="48">
        <f t="shared" si="8"/>
        <v>133321</v>
      </c>
      <c r="U35" s="49">
        <f t="shared" si="2"/>
        <v>-456679</v>
      </c>
      <c r="V35" s="230" t="str">
        <f t="shared" si="4"/>
        <v>○</v>
      </c>
      <c r="W35" s="230"/>
      <c r="X35" s="230">
        <f t="shared" si="3"/>
      </c>
      <c r="Y35" s="256"/>
      <c r="Z35" s="256" t="str">
        <f>AP30</f>
        <v> </v>
      </c>
      <c r="AA35" s="231"/>
      <c r="AB35" s="509"/>
      <c r="AC35" s="364"/>
      <c r="AD35" s="378" t="s">
        <v>716</v>
      </c>
      <c r="AE35" s="371" t="s">
        <v>722</v>
      </c>
      <c r="AF35" s="372">
        <f>SUM(I11,I13,I14,I15,I18)</f>
        <v>2893450</v>
      </c>
      <c r="AG35" s="367" t="str">
        <f>IF(AF35=0,"○","×")</f>
        <v>×</v>
      </c>
      <c r="AH35" s="375" t="s">
        <v>725</v>
      </c>
      <c r="AI35" s="372">
        <f>SUM(I11,I13,I14,I15,I18)</f>
        <v>2893450</v>
      </c>
      <c r="AJ35" s="367" t="str">
        <f>IF('基本情報入力（使い方）'!C20=2,"○",IF(AI35=0,"○","×"))</f>
        <v>○</v>
      </c>
      <c r="AK35" s="375" t="s">
        <v>722</v>
      </c>
      <c r="AL35" s="372">
        <f>SUM(I11,I13,I14,I15,I18)</f>
        <v>2893450</v>
      </c>
      <c r="AM35" s="391" t="str">
        <f>IF(AL35=0,"○","×")</f>
        <v>×</v>
      </c>
      <c r="AN35" s="381" t="str">
        <f>IF('基本情報入力（使い方）'!$C$20=1,AE35,IF(OR('基本情報入力（使い方）'!$C$20=2,'基本情報入力（使い方）'!$C$20=3),AH35,AK35))</f>
        <v>事業対象外の経費を使用していないか※２</v>
      </c>
      <c r="AO35" s="361">
        <f>IF('基本情報入力（使い方）'!$C$20=1,AF35,IF(OR('基本情報入力（使い方）'!$C$20=2,'基本情報入力（使い方）'!$C$20=3),AI35,AL35))</f>
        <v>2893450</v>
      </c>
      <c r="AP35" s="362" t="str">
        <f>IF('基本情報入力（使い方）'!$C$20=1,AG35,IF(OR('基本情報入力（使い方）'!$C$20=2,'基本情報入力（使い方）'!$C$20=3),AJ35,AM35))</f>
        <v>○</v>
      </c>
    </row>
    <row r="36" spans="9:42" ht="30" customHeight="1">
      <c r="I36" s="389"/>
      <c r="J36" s="393"/>
      <c r="O36" s="363"/>
      <c r="P36" s="298" t="s">
        <v>574</v>
      </c>
      <c r="Q36" s="47">
        <f t="shared" si="5"/>
        <v>666666</v>
      </c>
      <c r="R36" s="127">
        <f t="shared" si="6"/>
        <v>4</v>
      </c>
      <c r="S36" s="48">
        <f t="shared" si="7"/>
        <v>150645</v>
      </c>
      <c r="T36" s="48">
        <f t="shared" si="8"/>
        <v>150645</v>
      </c>
      <c r="U36" s="51">
        <f t="shared" si="2"/>
        <v>-516021</v>
      </c>
      <c r="V36" s="230" t="str">
        <f t="shared" si="4"/>
        <v>○</v>
      </c>
      <c r="W36" s="230"/>
      <c r="X36" s="230">
        <f t="shared" si="3"/>
      </c>
      <c r="Y36" s="256"/>
      <c r="Z36" s="256" t="str">
        <f>AP30</f>
        <v> </v>
      </c>
      <c r="AA36" s="231"/>
      <c r="AB36" s="509"/>
      <c r="AC36" s="364"/>
      <c r="AD36" s="271"/>
      <c r="AE36" s="271"/>
      <c r="AF36" s="271"/>
      <c r="AG36" s="271"/>
      <c r="AH36" s="271" t="s">
        <v>724</v>
      </c>
      <c r="AI36" s="271"/>
      <c r="AJ36" s="271"/>
      <c r="AK36" s="271"/>
      <c r="AL36" s="271"/>
      <c r="AM36" s="271"/>
      <c r="AN36" s="271"/>
      <c r="AO36" s="271"/>
      <c r="AP36" s="271"/>
    </row>
    <row r="37" spans="2:42" ht="30" customHeight="1" thickBot="1">
      <c r="B37" s="561" t="s">
        <v>750</v>
      </c>
      <c r="C37" s="561"/>
      <c r="D37" s="561"/>
      <c r="E37" s="561"/>
      <c r="F37" s="561"/>
      <c r="G37" s="561"/>
      <c r="H37" s="561"/>
      <c r="I37" s="561"/>
      <c r="J37" s="561"/>
      <c r="K37" s="561"/>
      <c r="L37" s="561"/>
      <c r="M37" s="561"/>
      <c r="N37" s="561"/>
      <c r="O37" s="363"/>
      <c r="P37" s="316" t="s">
        <v>712</v>
      </c>
      <c r="Q37" s="52">
        <f t="shared" si="5"/>
        <v>166666</v>
      </c>
      <c r="R37" s="221">
        <f t="shared" si="6"/>
        <v>9</v>
      </c>
      <c r="S37" s="53">
        <f t="shared" si="7"/>
        <v>37661</v>
      </c>
      <c r="T37" s="53">
        <f t="shared" si="8"/>
        <v>37661</v>
      </c>
      <c r="U37" s="128">
        <f t="shared" si="2"/>
        <v>-129005</v>
      </c>
      <c r="V37" s="232" t="str">
        <f t="shared" si="4"/>
        <v>○</v>
      </c>
      <c r="W37" s="232"/>
      <c r="X37" s="232">
        <f t="shared" si="3"/>
      </c>
      <c r="Y37" s="257"/>
      <c r="Z37" s="257" t="str">
        <f>AP30</f>
        <v> </v>
      </c>
      <c r="AA37" s="233" t="str">
        <f>IF(OR(I18=0,I18=""),"○",$AP$35)</f>
        <v>○</v>
      </c>
      <c r="AB37" s="510"/>
      <c r="AC37" s="364"/>
      <c r="AD37" s="271"/>
      <c r="AE37" s="271"/>
      <c r="AF37" s="271"/>
      <c r="AG37" s="271"/>
      <c r="AH37" s="271" t="s">
        <v>726</v>
      </c>
      <c r="AI37" s="271"/>
      <c r="AJ37" s="271"/>
      <c r="AK37" s="271"/>
      <c r="AL37" s="271"/>
      <c r="AM37" s="271"/>
      <c r="AN37" s="271"/>
      <c r="AO37" s="271"/>
      <c r="AP37" s="271"/>
    </row>
    <row r="38" spans="2:42" ht="30" customHeight="1" thickTop="1">
      <c r="B38" s="561"/>
      <c r="C38" s="561"/>
      <c r="D38" s="561"/>
      <c r="E38" s="561"/>
      <c r="F38" s="561"/>
      <c r="G38" s="561"/>
      <c r="H38" s="561"/>
      <c r="I38" s="561"/>
      <c r="J38" s="561"/>
      <c r="K38" s="561"/>
      <c r="L38" s="561"/>
      <c r="M38" s="561"/>
      <c r="N38" s="561"/>
      <c r="O38" s="333"/>
      <c r="P38" s="394" t="s">
        <v>32</v>
      </c>
      <c r="Q38" s="50">
        <f>SUM(Q28:Q37)</f>
        <v>10252292</v>
      </c>
      <c r="R38" s="395"/>
      <c r="S38" s="54">
        <f>SUM(S28:S37)</f>
        <v>4999996</v>
      </c>
      <c r="T38" s="50">
        <f>SUM(T28:T37)</f>
        <v>5000000</v>
      </c>
      <c r="U38" s="396"/>
      <c r="V38" s="397" t="s">
        <v>557</v>
      </c>
      <c r="W38" s="234"/>
      <c r="X38" s="235"/>
      <c r="Y38" s="235"/>
      <c r="Z38" s="236"/>
      <c r="AB38" s="279"/>
      <c r="AC38" s="279"/>
      <c r="AD38" s="271"/>
      <c r="AE38" s="271"/>
      <c r="AF38" s="271"/>
      <c r="AG38" s="271"/>
      <c r="AH38" s="271"/>
      <c r="AI38" s="271"/>
      <c r="AJ38" s="271"/>
      <c r="AK38" s="271"/>
      <c r="AL38" s="271"/>
      <c r="AM38" s="271"/>
      <c r="AN38" s="271"/>
      <c r="AO38" s="271"/>
      <c r="AP38" s="271"/>
    </row>
    <row r="39" spans="2:43" ht="30" customHeight="1">
      <c r="B39" s="561"/>
      <c r="C39" s="561"/>
      <c r="D39" s="561"/>
      <c r="E39" s="561"/>
      <c r="F39" s="561"/>
      <c r="G39" s="561"/>
      <c r="H39" s="561"/>
      <c r="I39" s="561"/>
      <c r="J39" s="561"/>
      <c r="K39" s="561"/>
      <c r="L39" s="561"/>
      <c r="M39" s="561"/>
      <c r="N39" s="561"/>
      <c r="O39" s="398"/>
      <c r="P39" s="399" t="s">
        <v>559</v>
      </c>
      <c r="Q39" s="400">
        <f>Q38-SUM(Q28:Q29)</f>
        <v>6785631</v>
      </c>
      <c r="R39" s="399" t="s">
        <v>560</v>
      </c>
      <c r="S39" s="137">
        <f>IF(ISERROR(VLOOKUP(2,$R$28:$S$37,2,FALSE)),0,VLOOKUP(2,$R$28:$S$37,2,FALSE))</f>
        <v>813486</v>
      </c>
      <c r="T39" s="401" t="s">
        <v>747</v>
      </c>
      <c r="U39" s="278"/>
      <c r="V39" s="402" t="s">
        <v>748</v>
      </c>
      <c r="X39" s="268"/>
      <c r="AA39" s="338"/>
      <c r="AE39" s="271"/>
      <c r="AF39" s="271"/>
      <c r="AG39" s="271"/>
      <c r="AH39" s="271"/>
      <c r="AI39" s="271"/>
      <c r="AJ39" s="271"/>
      <c r="AK39" s="271"/>
      <c r="AL39" s="271"/>
      <c r="AM39" s="271"/>
      <c r="AN39" s="271"/>
      <c r="AO39" s="271"/>
      <c r="AP39" s="271"/>
      <c r="AQ39" s="271"/>
    </row>
    <row r="40" spans="2:43" ht="30" customHeight="1">
      <c r="B40" s="561"/>
      <c r="C40" s="561"/>
      <c r="D40" s="561"/>
      <c r="E40" s="561"/>
      <c r="F40" s="561"/>
      <c r="G40" s="561"/>
      <c r="H40" s="561"/>
      <c r="I40" s="561"/>
      <c r="J40" s="561"/>
      <c r="K40" s="561"/>
      <c r="L40" s="561"/>
      <c r="M40" s="561"/>
      <c r="N40" s="561"/>
      <c r="O40" s="398"/>
      <c r="P40" s="399" t="s">
        <v>561</v>
      </c>
      <c r="Q40" s="400">
        <f>MIN(Q38,補助上限額)</f>
        <v>5000000</v>
      </c>
      <c r="R40" s="399" t="s">
        <v>562</v>
      </c>
      <c r="S40" s="137">
        <f>SUMIF(R28:R37,2,S28:S37)</f>
        <v>813486</v>
      </c>
      <c r="T40" s="401" t="s">
        <v>563</v>
      </c>
      <c r="U40" s="278"/>
      <c r="W40" s="268"/>
      <c r="X40" s="268"/>
      <c r="AE40" s="271"/>
      <c r="AF40" s="271"/>
      <c r="AG40" s="271"/>
      <c r="AH40" s="271"/>
      <c r="AI40" s="271"/>
      <c r="AJ40" s="271"/>
      <c r="AK40" s="271"/>
      <c r="AL40" s="271"/>
      <c r="AM40" s="271"/>
      <c r="AN40" s="271"/>
      <c r="AO40" s="271"/>
      <c r="AP40" s="271"/>
      <c r="AQ40" s="271"/>
    </row>
    <row r="41" spans="2:42" ht="30" customHeight="1">
      <c r="B41" s="561"/>
      <c r="C41" s="561"/>
      <c r="D41" s="561"/>
      <c r="E41" s="561"/>
      <c r="F41" s="561"/>
      <c r="G41" s="561"/>
      <c r="H41" s="561"/>
      <c r="I41" s="561"/>
      <c r="J41" s="561"/>
      <c r="K41" s="561"/>
      <c r="L41" s="561"/>
      <c r="M41" s="561"/>
      <c r="N41" s="561"/>
      <c r="O41" s="398"/>
      <c r="P41" s="399" t="s">
        <v>594</v>
      </c>
      <c r="Q41" s="400">
        <f>MAX(Q40-SUM(Q28:Q29),0)</f>
        <v>1533339</v>
      </c>
      <c r="R41" s="399" t="s">
        <v>661</v>
      </c>
      <c r="S41" s="57">
        <f>MIN(Q42-(S38-SUM(S28:S29)),Q40-S38)</f>
        <v>4</v>
      </c>
      <c r="T41" s="404"/>
      <c r="U41" s="278"/>
      <c r="W41" s="268"/>
      <c r="X41" s="268"/>
      <c r="AC41" s="271"/>
      <c r="AD41" s="271"/>
      <c r="AE41" s="271"/>
      <c r="AF41" s="271"/>
      <c r="AG41" s="271"/>
      <c r="AH41" s="271"/>
      <c r="AI41" s="271"/>
      <c r="AJ41" s="271"/>
      <c r="AK41" s="271"/>
      <c r="AL41" s="271"/>
      <c r="AM41" s="271"/>
      <c r="AN41" s="271"/>
      <c r="AO41" s="271"/>
      <c r="AP41" s="271"/>
    </row>
    <row r="42" spans="2:34" ht="30" customHeight="1">
      <c r="B42" s="561"/>
      <c r="C42" s="561"/>
      <c r="D42" s="561"/>
      <c r="E42" s="561"/>
      <c r="F42" s="561"/>
      <c r="G42" s="561"/>
      <c r="H42" s="561"/>
      <c r="I42" s="561"/>
      <c r="J42" s="561"/>
      <c r="K42" s="561"/>
      <c r="L42" s="561"/>
      <c r="M42" s="561"/>
      <c r="N42" s="561"/>
      <c r="O42" s="398"/>
      <c r="P42" s="399" t="s">
        <v>595</v>
      </c>
      <c r="Q42" s="400">
        <f>IF(VLOOKUP('基本情報入力（使い方）'!C20,'設定'!E:H,2)&lt;&gt;"小規模型",5000000,Q40)</f>
        <v>5000000</v>
      </c>
      <c r="R42" s="399" t="s">
        <v>662</v>
      </c>
      <c r="S42" s="58">
        <f>IF(S39=0,0,S40/S39)</f>
        <v>1</v>
      </c>
      <c r="T42" s="405"/>
      <c r="U42" s="406"/>
      <c r="W42" s="268"/>
      <c r="X42" s="268"/>
      <c r="AC42" s="271"/>
      <c r="AD42" s="271"/>
      <c r="AE42" s="271"/>
      <c r="AF42" s="271"/>
      <c r="AG42" s="271"/>
      <c r="AH42" s="271"/>
    </row>
    <row r="43" spans="2:42" ht="30" customHeight="1">
      <c r="B43" s="561"/>
      <c r="C43" s="561"/>
      <c r="D43" s="561"/>
      <c r="E43" s="561"/>
      <c r="F43" s="561"/>
      <c r="G43" s="561"/>
      <c r="H43" s="561"/>
      <c r="I43" s="561"/>
      <c r="J43" s="561"/>
      <c r="K43" s="561"/>
      <c r="L43" s="561"/>
      <c r="M43" s="561"/>
      <c r="N43" s="561"/>
      <c r="O43" s="407"/>
      <c r="P43" s="408" t="s">
        <v>564</v>
      </c>
      <c r="Q43" s="400">
        <f>IF(SUM(Q28:Q29)=0,Q42,MIN(Q40,Q41,Q42))</f>
        <v>1533339</v>
      </c>
      <c r="R43" s="409" t="s">
        <v>45</v>
      </c>
      <c r="S43" s="57">
        <f>IF(S42=0,0,ROUNDDOWN(S41/S42,0))</f>
        <v>4</v>
      </c>
      <c r="T43" s="405"/>
      <c r="U43" s="406"/>
      <c r="W43" s="268"/>
      <c r="X43" s="268"/>
      <c r="AI43" s="279"/>
      <c r="AJ43" s="279"/>
      <c r="AK43" s="279"/>
      <c r="AL43" s="279"/>
      <c r="AM43" s="279"/>
      <c r="AN43" s="279"/>
      <c r="AO43" s="279"/>
      <c r="AP43" s="279"/>
    </row>
    <row r="44" spans="2:41" ht="30" customHeight="1">
      <c r="B44" s="561"/>
      <c r="C44" s="561"/>
      <c r="D44" s="561"/>
      <c r="E44" s="561"/>
      <c r="F44" s="561"/>
      <c r="G44" s="561"/>
      <c r="H44" s="561"/>
      <c r="I44" s="561"/>
      <c r="J44" s="561"/>
      <c r="K44" s="561"/>
      <c r="L44" s="561"/>
      <c r="M44" s="561"/>
      <c r="N44" s="561"/>
      <c r="P44" s="328" t="s">
        <v>713</v>
      </c>
      <c r="W44" s="268"/>
      <c r="X44" s="268"/>
      <c r="AC44" s="279"/>
      <c r="AD44" s="279"/>
      <c r="AE44" s="279"/>
      <c r="AF44" s="279"/>
      <c r="AG44" s="279"/>
      <c r="AH44" s="279"/>
      <c r="AI44" s="279"/>
      <c r="AJ44" s="279"/>
      <c r="AK44" s="279"/>
      <c r="AL44" s="279"/>
      <c r="AM44" s="279"/>
      <c r="AN44" s="279"/>
      <c r="AO44" s="279"/>
    </row>
    <row r="45" spans="2:24" ht="30" customHeight="1">
      <c r="B45" s="561"/>
      <c r="C45" s="561"/>
      <c r="D45" s="561"/>
      <c r="E45" s="561"/>
      <c r="F45" s="561"/>
      <c r="G45" s="561"/>
      <c r="H45" s="561"/>
      <c r="I45" s="561"/>
      <c r="J45" s="561"/>
      <c r="K45" s="561"/>
      <c r="L45" s="561"/>
      <c r="M45" s="561"/>
      <c r="N45" s="561"/>
      <c r="P45" s="259"/>
      <c r="W45" s="268"/>
      <c r="X45" s="268"/>
    </row>
    <row r="46" spans="2:24" ht="30" customHeight="1" thickBot="1">
      <c r="B46" s="561"/>
      <c r="C46" s="561"/>
      <c r="D46" s="561"/>
      <c r="E46" s="561"/>
      <c r="F46" s="561"/>
      <c r="G46" s="561"/>
      <c r="H46" s="561"/>
      <c r="I46" s="561"/>
      <c r="J46" s="561"/>
      <c r="K46" s="561"/>
      <c r="L46" s="561"/>
      <c r="M46" s="561"/>
      <c r="N46" s="561"/>
      <c r="P46" s="239" t="s">
        <v>541</v>
      </c>
      <c r="Q46" s="240"/>
      <c r="R46" s="240"/>
      <c r="S46" s="410"/>
      <c r="T46" s="411"/>
      <c r="W46" s="268"/>
      <c r="X46" s="268"/>
    </row>
    <row r="47" spans="2:24" ht="30" customHeight="1" thickTop="1">
      <c r="B47" s="561"/>
      <c r="C47" s="561"/>
      <c r="D47" s="561"/>
      <c r="E47" s="561"/>
      <c r="F47" s="561"/>
      <c r="G47" s="561"/>
      <c r="H47" s="561"/>
      <c r="I47" s="561"/>
      <c r="J47" s="561"/>
      <c r="K47" s="561"/>
      <c r="L47" s="561"/>
      <c r="M47" s="561"/>
      <c r="N47" s="561"/>
      <c r="P47" s="246" t="s">
        <v>543</v>
      </c>
      <c r="Q47" s="549" t="s">
        <v>57</v>
      </c>
      <c r="R47" s="550"/>
      <c r="S47" s="551"/>
      <c r="T47" s="411"/>
      <c r="W47" s="268"/>
      <c r="X47" s="268"/>
    </row>
    <row r="48" spans="2:24" ht="30" customHeight="1">
      <c r="B48" s="561"/>
      <c r="C48" s="561"/>
      <c r="D48" s="561"/>
      <c r="E48" s="561"/>
      <c r="F48" s="561"/>
      <c r="G48" s="561"/>
      <c r="H48" s="561"/>
      <c r="I48" s="561"/>
      <c r="J48" s="561"/>
      <c r="K48" s="561"/>
      <c r="L48" s="561"/>
      <c r="M48" s="561"/>
      <c r="N48" s="561"/>
      <c r="P48" s="247" t="s">
        <v>544</v>
      </c>
      <c r="Q48" s="522">
        <v>0.08</v>
      </c>
      <c r="R48" s="523"/>
      <c r="S48" s="524"/>
      <c r="T48" s="411"/>
      <c r="W48" s="268"/>
      <c r="X48" s="268"/>
    </row>
    <row r="49" spans="2:24" ht="30" customHeight="1">
      <c r="B49" s="561"/>
      <c r="C49" s="561"/>
      <c r="D49" s="561"/>
      <c r="E49" s="561"/>
      <c r="F49" s="561"/>
      <c r="G49" s="561"/>
      <c r="H49" s="561"/>
      <c r="I49" s="561"/>
      <c r="J49" s="561"/>
      <c r="K49" s="561"/>
      <c r="L49" s="561"/>
      <c r="M49" s="561"/>
      <c r="N49" s="561"/>
      <c r="P49" s="248" t="s">
        <v>545</v>
      </c>
      <c r="Q49" s="532" t="str">
        <f>VLOOKUP('基本情報入力（使い方）'!C14,'設定'!B:C,2)</f>
        <v>ものづくり技術</v>
      </c>
      <c r="R49" s="533"/>
      <c r="S49" s="534"/>
      <c r="T49" s="411"/>
      <c r="W49" s="268"/>
      <c r="X49" s="268"/>
    </row>
    <row r="50" spans="2:24" ht="30" customHeight="1">
      <c r="B50" s="561"/>
      <c r="C50" s="561"/>
      <c r="D50" s="561"/>
      <c r="E50" s="561"/>
      <c r="F50" s="561"/>
      <c r="G50" s="561"/>
      <c r="H50" s="561"/>
      <c r="I50" s="561"/>
      <c r="J50" s="561"/>
      <c r="K50" s="561"/>
      <c r="L50" s="561"/>
      <c r="M50" s="561"/>
      <c r="N50" s="561"/>
      <c r="P50" s="248"/>
      <c r="Q50" s="532" t="str">
        <f>VLOOKUP('基本情報入力（使い方）'!C20,'設定'!E:H,2)&amp;VLOOKUP('基本情報入力（使い方）'!C20,'設定'!E:H,3)</f>
        <v>小規模型（試作開発等）</v>
      </c>
      <c r="R50" s="533"/>
      <c r="S50" s="534"/>
      <c r="T50" s="411"/>
      <c r="W50" s="268"/>
      <c r="X50" s="268"/>
    </row>
    <row r="51" spans="2:24" ht="30" customHeight="1">
      <c r="B51" s="561"/>
      <c r="C51" s="561"/>
      <c r="D51" s="561"/>
      <c r="E51" s="561"/>
      <c r="F51" s="561"/>
      <c r="G51" s="561"/>
      <c r="H51" s="561"/>
      <c r="I51" s="561"/>
      <c r="J51" s="561"/>
      <c r="K51" s="561"/>
      <c r="L51" s="561"/>
      <c r="M51" s="561"/>
      <c r="N51" s="561"/>
      <c r="P51" s="248" t="s">
        <v>546</v>
      </c>
      <c r="Q51" s="441">
        <f>VLOOKUP('基本情報入力（使い方）'!C20,'設定'!E:H,4)</f>
        <v>5000000</v>
      </c>
      <c r="R51" s="442"/>
      <c r="S51" s="420" t="s">
        <v>752</v>
      </c>
      <c r="T51" s="410"/>
      <c r="U51" s="241"/>
      <c r="W51" s="268"/>
      <c r="X51" s="268"/>
    </row>
    <row r="52" spans="2:24" ht="30" customHeight="1" thickBot="1">
      <c r="B52" s="419"/>
      <c r="C52" s="419"/>
      <c r="D52" s="419"/>
      <c r="E52" s="419"/>
      <c r="F52" s="419"/>
      <c r="G52" s="419"/>
      <c r="H52" s="419"/>
      <c r="I52" s="419"/>
      <c r="J52" s="419"/>
      <c r="K52" s="419"/>
      <c r="L52" s="419"/>
      <c r="M52" s="419"/>
      <c r="N52" s="419"/>
      <c r="P52" s="249" t="s">
        <v>698</v>
      </c>
      <c r="Q52" s="439">
        <f>VLOOKUP('基本情報入力（使い方）'!C20,'設定'!E:I,5)</f>
        <v>1000000</v>
      </c>
      <c r="R52" s="440"/>
      <c r="S52" s="418" t="s">
        <v>752</v>
      </c>
      <c r="W52" s="443"/>
      <c r="X52" s="268"/>
    </row>
    <row r="53" spans="2:24" ht="30" customHeight="1" thickTop="1">
      <c r="B53" s="419"/>
      <c r="C53" s="419"/>
      <c r="D53" s="419"/>
      <c r="E53" s="419"/>
      <c r="F53" s="419"/>
      <c r="G53" s="419"/>
      <c r="H53" s="419"/>
      <c r="I53" s="419"/>
      <c r="J53" s="419"/>
      <c r="K53" s="419"/>
      <c r="L53" s="419"/>
      <c r="M53" s="419"/>
      <c r="N53" s="419"/>
      <c r="Q53" s="410"/>
      <c r="R53" s="410"/>
      <c r="S53" s="242"/>
      <c r="W53" s="443"/>
      <c r="X53" s="268"/>
    </row>
    <row r="54" spans="17:24" ht="30" customHeight="1">
      <c r="Q54" s="410"/>
      <c r="R54" s="410"/>
      <c r="S54" s="410"/>
      <c r="W54" s="443"/>
      <c r="X54" s="268"/>
    </row>
    <row r="55" spans="23:24" ht="30" customHeight="1">
      <c r="W55" s="443"/>
      <c r="X55" s="268"/>
    </row>
    <row r="56" spans="23:24" ht="30" customHeight="1">
      <c r="W56" s="443"/>
      <c r="X56" s="268"/>
    </row>
    <row r="57" spans="23:24" ht="30" customHeight="1">
      <c r="W57" s="443"/>
      <c r="X57" s="268"/>
    </row>
    <row r="58" spans="23:24" ht="30" customHeight="1">
      <c r="W58" s="443"/>
      <c r="X58" s="263"/>
    </row>
    <row r="59" spans="23:24" ht="30" customHeight="1">
      <c r="W59" s="443"/>
      <c r="X59" s="263"/>
    </row>
    <row r="60" spans="23:50" ht="31.5" customHeight="1">
      <c r="W60" s="443"/>
      <c r="X60" s="263"/>
      <c r="AT60" s="263"/>
      <c r="AU60" s="263"/>
      <c r="AV60" s="263"/>
      <c r="AW60" s="263"/>
      <c r="AX60" s="263"/>
    </row>
    <row r="61" spans="23:50" ht="38.25" customHeight="1">
      <c r="W61" s="443"/>
      <c r="X61" s="263"/>
      <c r="AT61" s="263"/>
      <c r="AU61" s="263"/>
      <c r="AV61" s="263"/>
      <c r="AW61" s="263"/>
      <c r="AX61" s="263"/>
    </row>
    <row r="62" spans="23:28" ht="38.25" customHeight="1">
      <c r="W62" s="443"/>
      <c r="X62" s="263"/>
      <c r="Y62" s="263"/>
      <c r="Z62" s="263"/>
      <c r="AA62" s="263"/>
      <c r="AB62" s="263"/>
    </row>
    <row r="63" spans="23:28" ht="38.25" customHeight="1">
      <c r="W63" s="443"/>
      <c r="X63" s="263"/>
      <c r="Y63" s="263"/>
      <c r="Z63" s="263"/>
      <c r="AA63" s="263"/>
      <c r="AB63" s="263"/>
    </row>
    <row r="64" spans="18:28" ht="38.25" customHeight="1">
      <c r="R64" s="410"/>
      <c r="S64" s="410"/>
      <c r="W64" s="443"/>
      <c r="X64" s="263"/>
      <c r="Y64" s="263"/>
      <c r="Z64" s="263"/>
      <c r="AA64" s="263"/>
      <c r="AB64" s="263"/>
    </row>
    <row r="65" spans="18:28" ht="30" customHeight="1">
      <c r="R65" s="410"/>
      <c r="S65" s="410"/>
      <c r="W65" s="443"/>
      <c r="X65" s="263"/>
      <c r="Y65" s="263"/>
      <c r="Z65" s="263"/>
      <c r="AA65" s="263"/>
      <c r="AB65" s="263"/>
    </row>
    <row r="66" spans="17:28" ht="30" customHeight="1">
      <c r="Q66" s="315"/>
      <c r="R66" s="410"/>
      <c r="S66" s="410"/>
      <c r="W66" s="443"/>
      <c r="X66" s="521"/>
      <c r="Y66" s="521"/>
      <c r="Z66" s="521"/>
      <c r="AA66" s="266"/>
      <c r="AB66" s="266"/>
    </row>
    <row r="67" spans="23:28" ht="30" customHeight="1">
      <c r="W67" s="443"/>
      <c r="X67" s="521"/>
      <c r="Y67" s="521"/>
      <c r="Z67" s="521"/>
      <c r="AA67" s="266"/>
      <c r="AB67" s="266"/>
    </row>
    <row r="68" spans="23:24" ht="30" customHeight="1">
      <c r="W68" s="268"/>
      <c r="X68" s="268"/>
    </row>
    <row r="69" spans="23:24" ht="20.25" customHeight="1">
      <c r="W69" s="268"/>
      <c r="X69" s="268"/>
    </row>
    <row r="70" spans="23:55" ht="30" customHeight="1">
      <c r="W70" s="268"/>
      <c r="X70" s="268"/>
      <c r="AQ70" s="412"/>
      <c r="AR70" s="412"/>
      <c r="AS70" s="244"/>
      <c r="AT70" s="244"/>
      <c r="AU70" s="244"/>
      <c r="AV70" s="244"/>
      <c r="AW70" s="244"/>
      <c r="AX70" s="244"/>
      <c r="AY70" s="244"/>
      <c r="AZ70" s="244"/>
      <c r="BA70" s="244"/>
      <c r="BB70" s="244"/>
      <c r="BC70" s="244"/>
    </row>
    <row r="71" spans="23:55" ht="30" customHeight="1">
      <c r="W71" s="268"/>
      <c r="X71" s="268"/>
      <c r="AQ71" s="413"/>
      <c r="AR71" s="243"/>
      <c r="AS71" s="243"/>
      <c r="AT71" s="244"/>
      <c r="AU71" s="243"/>
      <c r="AV71" s="244"/>
      <c r="AW71" s="243"/>
      <c r="AX71" s="244"/>
      <c r="AY71" s="243"/>
      <c r="AZ71" s="244"/>
      <c r="BA71" s="243"/>
      <c r="BB71" s="243"/>
      <c r="BC71" s="243"/>
    </row>
    <row r="72" spans="23:55" ht="30" customHeight="1">
      <c r="W72" s="268"/>
      <c r="X72" s="268"/>
      <c r="AQ72" s="413"/>
      <c r="AR72" s="243"/>
      <c r="AS72" s="243"/>
      <c r="AT72" s="244"/>
      <c r="AU72" s="243"/>
      <c r="AV72" s="244"/>
      <c r="AW72" s="243"/>
      <c r="AX72" s="244"/>
      <c r="AY72" s="243"/>
      <c r="AZ72" s="244"/>
      <c r="BA72" s="243"/>
      <c r="BB72" s="243"/>
      <c r="BC72" s="243"/>
    </row>
    <row r="73" spans="23:55" ht="30" customHeight="1">
      <c r="W73" s="268"/>
      <c r="X73" s="268"/>
      <c r="AQ73" s="413"/>
      <c r="AR73" s="243"/>
      <c r="AS73" s="243"/>
      <c r="AT73" s="244"/>
      <c r="AU73" s="243"/>
      <c r="AV73" s="244"/>
      <c r="AW73" s="243"/>
      <c r="AX73" s="244"/>
      <c r="AY73" s="243"/>
      <c r="AZ73" s="244"/>
      <c r="BA73" s="243"/>
      <c r="BB73" s="243"/>
      <c r="BC73" s="243"/>
    </row>
    <row r="74" spans="23:55" ht="30" customHeight="1">
      <c r="W74" s="268"/>
      <c r="X74" s="268"/>
      <c r="AQ74" s="413"/>
      <c r="AR74" s="244"/>
      <c r="AS74" s="243"/>
      <c r="AT74" s="244"/>
      <c r="AU74" s="243"/>
      <c r="AV74" s="244"/>
      <c r="AW74" s="243"/>
      <c r="AX74" s="244"/>
      <c r="AY74" s="243"/>
      <c r="AZ74" s="244"/>
      <c r="BA74" s="243"/>
      <c r="BB74" s="243"/>
      <c r="BC74" s="243"/>
    </row>
    <row r="75" spans="23:55" ht="30" customHeight="1">
      <c r="W75" s="268"/>
      <c r="X75" s="268"/>
      <c r="AQ75" s="315"/>
      <c r="AR75" s="315"/>
      <c r="AS75" s="315"/>
      <c r="AT75" s="315"/>
      <c r="AU75" s="315"/>
      <c r="AV75" s="315"/>
      <c r="AW75" s="315"/>
      <c r="AX75" s="315"/>
      <c r="AY75" s="315"/>
      <c r="AZ75" s="315"/>
      <c r="BA75" s="315"/>
      <c r="BB75" s="315"/>
      <c r="BC75" s="315"/>
    </row>
    <row r="76" spans="23:55" ht="26.25" customHeight="1">
      <c r="W76" s="268"/>
      <c r="X76" s="268"/>
      <c r="AQ76" s="412"/>
      <c r="AR76" s="244"/>
      <c r="AS76" s="412"/>
      <c r="AT76" s="244"/>
      <c r="AU76" s="412"/>
      <c r="AV76" s="244"/>
      <c r="AW76" s="412"/>
      <c r="AX76" s="244"/>
      <c r="AY76" s="412"/>
      <c r="AZ76" s="244"/>
      <c r="BA76" s="412"/>
      <c r="BB76" s="412"/>
      <c r="BC76" s="412"/>
    </row>
    <row r="77" spans="23:48" ht="13.5">
      <c r="W77" s="268"/>
      <c r="X77" s="268"/>
      <c r="AQ77" s="263"/>
      <c r="AR77" s="263"/>
      <c r="AS77" s="263"/>
      <c r="AT77" s="263"/>
      <c r="AU77" s="263"/>
      <c r="AV77" s="263"/>
    </row>
    <row r="78" spans="23:24" ht="11.25">
      <c r="W78" s="268"/>
      <c r="X78" s="268"/>
    </row>
    <row r="79" spans="23:24" ht="11.25">
      <c r="W79" s="268"/>
      <c r="X79" s="268"/>
    </row>
    <row r="80" spans="23:24" ht="11.25">
      <c r="W80" s="268"/>
      <c r="X80" s="268"/>
    </row>
    <row r="81" spans="23:55" ht="13.5">
      <c r="W81" s="268"/>
      <c r="X81" s="268"/>
      <c r="AQ81" s="263"/>
      <c r="AR81" s="263"/>
      <c r="AS81" s="263"/>
      <c r="AT81" s="263"/>
      <c r="AU81" s="263"/>
      <c r="AV81" s="263"/>
      <c r="AW81" s="263"/>
      <c r="AX81" s="263"/>
      <c r="AY81" s="263"/>
      <c r="AZ81" s="263"/>
      <c r="BA81" s="279"/>
      <c r="BB81" s="279"/>
      <c r="BC81" s="279"/>
    </row>
    <row r="82" spans="23:55" ht="13.5">
      <c r="W82" s="268"/>
      <c r="X82" s="268"/>
      <c r="AQ82" s="263"/>
      <c r="AR82" s="263"/>
      <c r="AS82" s="263"/>
      <c r="AT82" s="263"/>
      <c r="AU82" s="263"/>
      <c r="AV82" s="263"/>
      <c r="AW82" s="263"/>
      <c r="AX82" s="263"/>
      <c r="AY82" s="263"/>
      <c r="AZ82" s="263"/>
      <c r="BA82" s="279"/>
      <c r="BB82" s="279"/>
      <c r="BC82" s="279"/>
    </row>
    <row r="83" spans="21:55" ht="13.5">
      <c r="U83" s="279"/>
      <c r="V83" s="279"/>
      <c r="W83" s="268"/>
      <c r="X83" s="268"/>
      <c r="AQ83" s="263"/>
      <c r="AR83" s="263"/>
      <c r="AS83" s="263"/>
      <c r="AT83" s="263"/>
      <c r="AU83" s="263"/>
      <c r="AV83" s="263"/>
      <c r="AW83" s="263"/>
      <c r="AX83" s="263"/>
      <c r="AY83" s="263"/>
      <c r="AZ83" s="263"/>
      <c r="BA83" s="279"/>
      <c r="BB83" s="279"/>
      <c r="BC83" s="279"/>
    </row>
    <row r="84" spans="15:52" ht="24">
      <c r="O84" s="333"/>
      <c r="P84" s="274"/>
      <c r="Q84" s="414"/>
      <c r="R84" s="414"/>
      <c r="S84" s="414"/>
      <c r="T84" s="242"/>
      <c r="W84" s="268"/>
      <c r="X84" s="268"/>
      <c r="AQ84" s="263"/>
      <c r="AR84" s="263"/>
      <c r="AS84" s="263"/>
      <c r="AT84" s="263"/>
      <c r="AU84" s="263"/>
      <c r="AV84" s="263"/>
      <c r="AW84" s="263"/>
      <c r="AX84" s="263"/>
      <c r="AY84" s="263"/>
      <c r="AZ84" s="263"/>
    </row>
    <row r="85" spans="23:50" ht="13.5">
      <c r="W85" s="268"/>
      <c r="X85" s="268"/>
      <c r="AQ85" s="263"/>
      <c r="AR85" s="263"/>
      <c r="AS85" s="263"/>
      <c r="AT85" s="263"/>
      <c r="AU85" s="263"/>
      <c r="AV85" s="263"/>
      <c r="AW85" s="263"/>
      <c r="AX85" s="263"/>
    </row>
    <row r="86" spans="23:50" ht="13.5">
      <c r="W86" s="268"/>
      <c r="X86" s="268"/>
      <c r="AQ86" s="263"/>
      <c r="AR86" s="263"/>
      <c r="AS86" s="263"/>
      <c r="AT86" s="263"/>
      <c r="AU86" s="263"/>
      <c r="AV86" s="263"/>
      <c r="AW86" s="263"/>
      <c r="AX86" s="263"/>
    </row>
    <row r="87" spans="23:50" ht="13.5">
      <c r="W87" s="268"/>
      <c r="X87" s="268"/>
      <c r="AQ87" s="263"/>
      <c r="AR87" s="263"/>
      <c r="AS87" s="263"/>
      <c r="AT87" s="263"/>
      <c r="AU87" s="263"/>
      <c r="AV87" s="263"/>
      <c r="AW87" s="263"/>
      <c r="AX87" s="263"/>
    </row>
    <row r="88" spans="23:50" ht="13.5">
      <c r="W88" s="268"/>
      <c r="X88" s="268"/>
      <c r="AP88" s="412"/>
      <c r="AQ88" s="263"/>
      <c r="AR88" s="263"/>
      <c r="AS88" s="263"/>
      <c r="AT88" s="263"/>
      <c r="AU88" s="263"/>
      <c r="AV88" s="263"/>
      <c r="AW88" s="263"/>
      <c r="AX88" s="263"/>
    </row>
    <row r="89" spans="23:50" ht="13.5">
      <c r="W89" s="268"/>
      <c r="X89" s="268"/>
      <c r="AK89" s="412"/>
      <c r="AL89" s="412"/>
      <c r="AM89" s="412"/>
      <c r="AN89" s="412"/>
      <c r="AO89" s="412"/>
      <c r="AP89" s="244"/>
      <c r="AQ89" s="263"/>
      <c r="AR89" s="263"/>
      <c r="AS89" s="263"/>
      <c r="AT89" s="263"/>
      <c r="AU89" s="263"/>
      <c r="AV89" s="263"/>
      <c r="AW89" s="263"/>
      <c r="AX89" s="263"/>
    </row>
    <row r="90" spans="23:51" ht="13.5">
      <c r="W90" s="415"/>
      <c r="X90" s="263"/>
      <c r="Y90" s="263"/>
      <c r="AK90" s="243"/>
      <c r="AL90" s="243"/>
      <c r="AM90" s="243"/>
      <c r="AN90" s="243"/>
      <c r="AO90" s="243"/>
      <c r="AP90" s="244"/>
      <c r="AQ90" s="263"/>
      <c r="AR90" s="263"/>
      <c r="AS90" s="263"/>
      <c r="AT90" s="263"/>
      <c r="AU90" s="263"/>
      <c r="AV90" s="263"/>
      <c r="AW90" s="263"/>
      <c r="AX90" s="263"/>
      <c r="AY90" s="263"/>
    </row>
    <row r="91" spans="23:51" ht="13.5">
      <c r="W91" s="416"/>
      <c r="X91" s="263"/>
      <c r="Y91" s="263"/>
      <c r="Z91" s="417"/>
      <c r="AA91" s="263"/>
      <c r="AB91" s="263"/>
      <c r="AK91" s="243"/>
      <c r="AL91" s="243"/>
      <c r="AM91" s="243"/>
      <c r="AN91" s="243"/>
      <c r="AO91" s="243"/>
      <c r="AP91" s="244"/>
      <c r="AQ91" s="263"/>
      <c r="AR91" s="263"/>
      <c r="AS91" s="263"/>
      <c r="AT91" s="263"/>
      <c r="AU91" s="263"/>
      <c r="AV91" s="263"/>
      <c r="AW91" s="263"/>
      <c r="AX91" s="263"/>
      <c r="AY91" s="263"/>
    </row>
    <row r="92" spans="23:51" ht="13.5">
      <c r="W92" s="415"/>
      <c r="X92" s="263"/>
      <c r="Y92" s="263"/>
      <c r="Z92" s="245"/>
      <c r="AA92" s="263"/>
      <c r="AB92" s="263"/>
      <c r="AK92" s="243"/>
      <c r="AL92" s="243"/>
      <c r="AM92" s="243"/>
      <c r="AN92" s="243"/>
      <c r="AO92" s="243"/>
      <c r="AP92" s="244"/>
      <c r="AQ92" s="263"/>
      <c r="AR92" s="263"/>
      <c r="AS92" s="263"/>
      <c r="AT92" s="263"/>
      <c r="AU92" s="263"/>
      <c r="AV92" s="263"/>
      <c r="AW92" s="263"/>
      <c r="AX92" s="263"/>
      <c r="AY92" s="263"/>
    </row>
    <row r="93" spans="23:51" ht="13.5">
      <c r="W93" s="268"/>
      <c r="X93" s="263"/>
      <c r="Y93" s="263"/>
      <c r="Z93" s="245"/>
      <c r="AA93" s="263"/>
      <c r="AB93" s="263"/>
      <c r="AK93" s="243"/>
      <c r="AL93" s="243"/>
      <c r="AM93" s="243"/>
      <c r="AN93" s="243"/>
      <c r="AO93" s="243"/>
      <c r="AP93" s="315"/>
      <c r="AQ93" s="263"/>
      <c r="AR93" s="263"/>
      <c r="AS93" s="263"/>
      <c r="AT93" s="263"/>
      <c r="AU93" s="263"/>
      <c r="AV93" s="263"/>
      <c r="AW93" s="263"/>
      <c r="AX93" s="263"/>
      <c r="AY93" s="263"/>
    </row>
    <row r="94" spans="25:54" ht="17.25">
      <c r="Y94" s="364"/>
      <c r="AA94" s="263"/>
      <c r="AB94" s="263"/>
      <c r="AK94" s="315"/>
      <c r="AL94" s="315"/>
      <c r="AM94" s="315"/>
      <c r="AN94" s="315"/>
      <c r="AO94" s="315"/>
      <c r="AP94" s="244"/>
      <c r="AQ94" s="263"/>
      <c r="AR94" s="263"/>
      <c r="AS94" s="263"/>
      <c r="AT94" s="263"/>
      <c r="AU94" s="263"/>
      <c r="AV94" s="263"/>
      <c r="AW94" s="263"/>
      <c r="AX94" s="263"/>
      <c r="AY94" s="263"/>
      <c r="AZ94" s="263"/>
      <c r="BA94" s="263"/>
      <c r="BB94" s="263"/>
    </row>
    <row r="95" spans="25:54" ht="17.25">
      <c r="Y95" s="364"/>
      <c r="AA95" s="263"/>
      <c r="AB95" s="263"/>
      <c r="AK95" s="244"/>
      <c r="AL95" s="244"/>
      <c r="AM95" s="412"/>
      <c r="AN95" s="244"/>
      <c r="AO95" s="244"/>
      <c r="AP95" s="263"/>
      <c r="AQ95" s="263"/>
      <c r="AR95" s="263"/>
      <c r="AS95" s="263"/>
      <c r="AT95" s="263"/>
      <c r="AU95" s="263"/>
      <c r="AV95" s="263"/>
      <c r="AW95" s="263"/>
      <c r="AX95" s="263"/>
      <c r="AY95" s="263"/>
      <c r="AZ95" s="263"/>
      <c r="BA95" s="263"/>
      <c r="BB95" s="263"/>
    </row>
    <row r="96" spans="25:54" ht="17.25">
      <c r="Y96" s="364"/>
      <c r="AK96" s="263"/>
      <c r="AL96" s="263"/>
      <c r="AM96" s="263"/>
      <c r="AN96" s="263"/>
      <c r="AO96" s="263"/>
      <c r="AQ96" s="263"/>
      <c r="AR96" s="263"/>
      <c r="AS96" s="263"/>
      <c r="AT96" s="263"/>
      <c r="AU96" s="263"/>
      <c r="AV96" s="263"/>
      <c r="AW96" s="263"/>
      <c r="AX96" s="263"/>
      <c r="AY96" s="263"/>
      <c r="AZ96" s="263"/>
      <c r="BA96" s="263"/>
      <c r="BB96" s="263"/>
    </row>
    <row r="97" spans="25:57" ht="17.25">
      <c r="Y97" s="364"/>
      <c r="AQ97" s="263"/>
      <c r="AR97" s="263"/>
      <c r="AS97" s="263"/>
      <c r="AT97" s="263"/>
      <c r="AU97" s="263"/>
      <c r="AV97" s="263"/>
      <c r="AW97" s="263"/>
      <c r="AX97" s="263"/>
      <c r="AY97" s="263"/>
      <c r="AZ97" s="263"/>
      <c r="BA97" s="263"/>
      <c r="BB97" s="263"/>
      <c r="BC97" s="263"/>
      <c r="BD97" s="263"/>
      <c r="BE97" s="263"/>
    </row>
    <row r="98" spans="25:53" ht="17.25">
      <c r="Y98" s="364"/>
      <c r="AQ98" s="263"/>
      <c r="AR98" s="263"/>
      <c r="AS98" s="263"/>
      <c r="AT98" s="263"/>
      <c r="AU98" s="263"/>
      <c r="AV98" s="263"/>
      <c r="AW98" s="263"/>
      <c r="AX98" s="263"/>
      <c r="AY98" s="263"/>
      <c r="AZ98" s="263"/>
      <c r="BA98" s="263"/>
    </row>
    <row r="99" spans="25:46" ht="17.25">
      <c r="Y99" s="364"/>
      <c r="AA99" s="263"/>
      <c r="AB99" s="263"/>
      <c r="AP99" s="263"/>
      <c r="AQ99" s="263"/>
      <c r="AR99" s="263"/>
      <c r="AS99" s="263"/>
      <c r="AT99" s="263"/>
    </row>
    <row r="100" spans="25:42" ht="13.5">
      <c r="Y100" s="263"/>
      <c r="Z100" s="263"/>
      <c r="AK100" s="263"/>
      <c r="AL100" s="263"/>
      <c r="AM100" s="263"/>
      <c r="AN100" s="263"/>
      <c r="AO100" s="263"/>
      <c r="AP100" s="263"/>
    </row>
    <row r="101" spans="25:42" ht="13.5">
      <c r="Y101" s="403"/>
      <c r="Z101" s="403"/>
      <c r="AK101" s="263"/>
      <c r="AL101" s="263"/>
      <c r="AM101" s="263"/>
      <c r="AN101" s="263"/>
      <c r="AO101" s="263"/>
      <c r="AP101" s="263"/>
    </row>
    <row r="102" spans="37:48" ht="13.5">
      <c r="AK102" s="263"/>
      <c r="AL102" s="263"/>
      <c r="AM102" s="263"/>
      <c r="AN102" s="263"/>
      <c r="AO102" s="263"/>
      <c r="AP102" s="263"/>
      <c r="AQ102" s="263"/>
      <c r="AR102" s="263"/>
      <c r="AS102" s="263"/>
      <c r="AT102" s="263"/>
      <c r="AU102" s="263"/>
      <c r="AV102" s="263"/>
    </row>
    <row r="103" spans="25:42" ht="13.5">
      <c r="Y103" s="263"/>
      <c r="Z103" s="263"/>
      <c r="AA103" s="263"/>
      <c r="AB103" s="263"/>
      <c r="AK103" s="263"/>
      <c r="AL103" s="263"/>
      <c r="AM103" s="263"/>
      <c r="AN103" s="263"/>
      <c r="AO103" s="263"/>
      <c r="AP103" s="263"/>
    </row>
    <row r="104" spans="25:42" ht="13.5">
      <c r="Y104" s="263"/>
      <c r="Z104" s="263"/>
      <c r="AA104" s="263"/>
      <c r="AB104" s="263"/>
      <c r="AK104" s="263"/>
      <c r="AL104" s="263"/>
      <c r="AM104" s="263"/>
      <c r="AN104" s="263"/>
      <c r="AO104" s="263"/>
      <c r="AP104" s="263"/>
    </row>
    <row r="105" spans="25:42" ht="13.5">
      <c r="Y105" s="263"/>
      <c r="Z105" s="263"/>
      <c r="AA105" s="263"/>
      <c r="AB105" s="263"/>
      <c r="AK105" s="263"/>
      <c r="AL105" s="263"/>
      <c r="AM105" s="263"/>
      <c r="AN105" s="263"/>
      <c r="AO105" s="263"/>
      <c r="AP105" s="263"/>
    </row>
    <row r="106" spans="25:42" ht="13.5">
      <c r="Y106" s="263"/>
      <c r="Z106" s="263"/>
      <c r="AA106" s="263"/>
      <c r="AB106" s="263"/>
      <c r="AK106" s="263"/>
      <c r="AL106" s="263"/>
      <c r="AM106" s="263"/>
      <c r="AN106" s="263"/>
      <c r="AO106" s="263"/>
      <c r="AP106" s="263"/>
    </row>
    <row r="107" spans="25:42" ht="13.5">
      <c r="Y107" s="263"/>
      <c r="Z107" s="263"/>
      <c r="AA107" s="263"/>
      <c r="AB107" s="263"/>
      <c r="AK107" s="263"/>
      <c r="AL107" s="263"/>
      <c r="AM107" s="263"/>
      <c r="AN107" s="263"/>
      <c r="AO107" s="263"/>
      <c r="AP107" s="263"/>
    </row>
    <row r="108" spans="25:42" ht="13.5">
      <c r="Y108" s="263"/>
      <c r="Z108" s="263"/>
      <c r="AA108" s="263"/>
      <c r="AB108" s="263"/>
      <c r="AK108" s="263"/>
      <c r="AL108" s="263"/>
      <c r="AM108" s="263"/>
      <c r="AN108" s="263"/>
      <c r="AO108" s="263"/>
      <c r="AP108" s="263"/>
    </row>
    <row r="109" spans="25:42" ht="13.5">
      <c r="Y109" s="263"/>
      <c r="Z109" s="263"/>
      <c r="AA109" s="263"/>
      <c r="AB109" s="263"/>
      <c r="AC109" s="263"/>
      <c r="AD109" s="263"/>
      <c r="AE109" s="263"/>
      <c r="AF109" s="263"/>
      <c r="AG109" s="263"/>
      <c r="AH109" s="263"/>
      <c r="AI109" s="263"/>
      <c r="AJ109" s="263"/>
      <c r="AK109" s="263"/>
      <c r="AL109" s="263"/>
      <c r="AM109" s="263"/>
      <c r="AN109" s="263"/>
      <c r="AO109" s="263"/>
      <c r="AP109" s="263"/>
    </row>
    <row r="110" spans="29:42" ht="13.5">
      <c r="AC110" s="263"/>
      <c r="AD110" s="263"/>
      <c r="AE110" s="263"/>
      <c r="AF110" s="263"/>
      <c r="AG110" s="263"/>
      <c r="AH110" s="263"/>
      <c r="AI110" s="263"/>
      <c r="AJ110" s="263"/>
      <c r="AK110" s="263"/>
      <c r="AL110" s="263"/>
      <c r="AM110" s="263"/>
      <c r="AN110" s="263"/>
      <c r="AO110" s="263"/>
      <c r="AP110" s="263"/>
    </row>
    <row r="111" spans="29:42" ht="13.5">
      <c r="AC111" s="263"/>
      <c r="AD111" s="263"/>
      <c r="AE111" s="263"/>
      <c r="AF111" s="263"/>
      <c r="AG111" s="263"/>
      <c r="AH111" s="263"/>
      <c r="AI111" s="263"/>
      <c r="AJ111" s="263"/>
      <c r="AK111" s="263"/>
      <c r="AL111" s="263"/>
      <c r="AM111" s="263"/>
      <c r="AN111" s="263"/>
      <c r="AO111" s="263"/>
      <c r="AP111" s="263"/>
    </row>
    <row r="112" spans="29:42" ht="13.5">
      <c r="AC112" s="263"/>
      <c r="AD112" s="263"/>
      <c r="AE112" s="263"/>
      <c r="AF112" s="263"/>
      <c r="AG112" s="263"/>
      <c r="AH112" s="263"/>
      <c r="AI112" s="263"/>
      <c r="AJ112" s="263"/>
      <c r="AK112" s="263"/>
      <c r="AL112" s="263"/>
      <c r="AM112" s="263"/>
      <c r="AN112" s="263"/>
      <c r="AO112" s="263"/>
      <c r="AP112" s="263"/>
    </row>
    <row r="113" spans="29:42" ht="13.5">
      <c r="AC113" s="263"/>
      <c r="AD113" s="263"/>
      <c r="AE113" s="263"/>
      <c r="AF113" s="263"/>
      <c r="AG113" s="263"/>
      <c r="AH113" s="263"/>
      <c r="AI113" s="263"/>
      <c r="AJ113" s="263"/>
      <c r="AK113" s="263"/>
      <c r="AL113" s="263"/>
      <c r="AM113" s="263"/>
      <c r="AN113" s="263"/>
      <c r="AO113" s="263"/>
      <c r="AP113" s="263"/>
    </row>
    <row r="114" spans="29:42" ht="13.5">
      <c r="AC114" s="263"/>
      <c r="AD114" s="263"/>
      <c r="AE114" s="263"/>
      <c r="AF114" s="263"/>
      <c r="AG114" s="263"/>
      <c r="AH114" s="263"/>
      <c r="AI114" s="263"/>
      <c r="AJ114" s="263"/>
      <c r="AK114" s="263"/>
      <c r="AL114" s="263"/>
      <c r="AM114" s="263"/>
      <c r="AN114" s="263"/>
      <c r="AO114" s="263"/>
      <c r="AP114" s="263"/>
    </row>
    <row r="115" spans="29:42" ht="13.5">
      <c r="AC115" s="263"/>
      <c r="AD115" s="263"/>
      <c r="AE115" s="263"/>
      <c r="AF115" s="263"/>
      <c r="AG115" s="263"/>
      <c r="AH115" s="263"/>
      <c r="AI115" s="263"/>
      <c r="AJ115" s="263"/>
      <c r="AK115" s="263"/>
      <c r="AL115" s="263"/>
      <c r="AM115" s="263"/>
      <c r="AN115" s="263"/>
      <c r="AO115" s="263"/>
      <c r="AP115" s="263"/>
    </row>
    <row r="116" spans="29:42" ht="13.5">
      <c r="AC116" s="263"/>
      <c r="AD116" s="263"/>
      <c r="AE116" s="263"/>
      <c r="AF116" s="263"/>
      <c r="AG116" s="263"/>
      <c r="AH116" s="263"/>
      <c r="AI116" s="263"/>
      <c r="AJ116" s="263"/>
      <c r="AK116" s="263"/>
      <c r="AL116" s="263"/>
      <c r="AM116" s="263"/>
      <c r="AN116" s="263"/>
      <c r="AO116" s="263"/>
      <c r="AP116" s="263"/>
    </row>
    <row r="117" spans="23:42" ht="13.5">
      <c r="W117" s="268"/>
      <c r="Y117" s="403"/>
      <c r="AC117" s="263"/>
      <c r="AD117" s="263"/>
      <c r="AE117" s="263"/>
      <c r="AF117" s="263"/>
      <c r="AG117" s="263"/>
      <c r="AH117" s="263"/>
      <c r="AI117" s="263"/>
      <c r="AJ117" s="263"/>
      <c r="AK117" s="263"/>
      <c r="AL117" s="263"/>
      <c r="AM117" s="263"/>
      <c r="AN117" s="263"/>
      <c r="AO117" s="263"/>
      <c r="AP117" s="263"/>
    </row>
    <row r="118" spans="15:41" ht="14.25">
      <c r="O118" s="263"/>
      <c r="P118" s="263"/>
      <c r="Q118" s="242"/>
      <c r="R118" s="242"/>
      <c r="S118" s="401"/>
      <c r="T118" s="401"/>
      <c r="AC118" s="263"/>
      <c r="AD118" s="263"/>
      <c r="AE118" s="263"/>
      <c r="AF118" s="263"/>
      <c r="AG118" s="263"/>
      <c r="AH118" s="263"/>
      <c r="AI118" s="263"/>
      <c r="AJ118" s="263"/>
      <c r="AK118" s="263"/>
      <c r="AL118" s="263"/>
      <c r="AM118" s="263"/>
      <c r="AN118" s="263"/>
      <c r="AO118" s="263"/>
    </row>
    <row r="119" spans="29:41" ht="13.5">
      <c r="AC119" s="263"/>
      <c r="AD119" s="263"/>
      <c r="AE119" s="263"/>
      <c r="AF119" s="263"/>
      <c r="AG119" s="263"/>
      <c r="AH119" s="263"/>
      <c r="AI119" s="263"/>
      <c r="AJ119" s="263"/>
      <c r="AK119" s="263"/>
      <c r="AL119" s="263"/>
      <c r="AM119" s="263"/>
      <c r="AN119" s="263"/>
      <c r="AO119" s="263"/>
    </row>
    <row r="120" spans="29:42" ht="13.5">
      <c r="AC120" s="263"/>
      <c r="AD120" s="263"/>
      <c r="AE120" s="263"/>
      <c r="AF120" s="263"/>
      <c r="AG120" s="263"/>
      <c r="AH120" s="263"/>
      <c r="AI120" s="263"/>
      <c r="AJ120" s="263"/>
      <c r="AK120" s="263"/>
      <c r="AL120" s="263"/>
      <c r="AM120" s="263"/>
      <c r="AN120" s="263"/>
      <c r="AO120" s="263"/>
      <c r="AP120" s="263"/>
    </row>
    <row r="121" spans="29:41" ht="13.5">
      <c r="AC121" s="263"/>
      <c r="AD121" s="263"/>
      <c r="AE121" s="263"/>
      <c r="AF121" s="263"/>
      <c r="AG121" s="263"/>
      <c r="AH121" s="263"/>
      <c r="AI121" s="263"/>
      <c r="AJ121" s="263"/>
      <c r="AK121" s="263"/>
      <c r="AL121" s="263"/>
      <c r="AM121" s="263"/>
      <c r="AN121" s="263"/>
      <c r="AO121" s="263"/>
    </row>
  </sheetData>
  <sheetProtection sheet="1"/>
  <mergeCells count="102">
    <mergeCell ref="D5:G5"/>
    <mergeCell ref="D31:E31"/>
    <mergeCell ref="D30:E30"/>
    <mergeCell ref="D29:E29"/>
    <mergeCell ref="D28:E28"/>
    <mergeCell ref="B30:C30"/>
    <mergeCell ref="B28:C28"/>
    <mergeCell ref="B14:C14"/>
    <mergeCell ref="B7:C8"/>
    <mergeCell ref="D7:E7"/>
    <mergeCell ref="B37:N51"/>
    <mergeCell ref="B6:K6"/>
    <mergeCell ref="B19:C19"/>
    <mergeCell ref="B18:C18"/>
    <mergeCell ref="B29:C29"/>
    <mergeCell ref="D32:E32"/>
    <mergeCell ref="B11:C11"/>
    <mergeCell ref="B9:C9"/>
    <mergeCell ref="I25:K25"/>
    <mergeCell ref="M26:N27"/>
    <mergeCell ref="Q47:S47"/>
    <mergeCell ref="I29:J29"/>
    <mergeCell ref="M30:N30"/>
    <mergeCell ref="D26:E27"/>
    <mergeCell ref="I20:K20"/>
    <mergeCell ref="I31:J31"/>
    <mergeCell ref="I28:J28"/>
    <mergeCell ref="I26:J27"/>
    <mergeCell ref="K28:L28"/>
    <mergeCell ref="F28:G28"/>
    <mergeCell ref="Q50:S50"/>
    <mergeCell ref="M29:N29"/>
    <mergeCell ref="B32:C32"/>
    <mergeCell ref="B31:C31"/>
    <mergeCell ref="K31:L31"/>
    <mergeCell ref="K30:L30"/>
    <mergeCell ref="K29:L29"/>
    <mergeCell ref="F29:G29"/>
    <mergeCell ref="F32:G32"/>
    <mergeCell ref="F31:G31"/>
    <mergeCell ref="W66:W67"/>
    <mergeCell ref="X66:Z67"/>
    <mergeCell ref="Q48:S48"/>
    <mergeCell ref="I30:J30"/>
    <mergeCell ref="M31:N31"/>
    <mergeCell ref="Q6:Q7"/>
    <mergeCell ref="L8:N8"/>
    <mergeCell ref="H7:I7"/>
    <mergeCell ref="W60:W61"/>
    <mergeCell ref="Q49:S49"/>
    <mergeCell ref="AB28:AB37"/>
    <mergeCell ref="U25:U27"/>
    <mergeCell ref="Z26:Z27"/>
    <mergeCell ref="F8:G8"/>
    <mergeCell ref="H8:I8"/>
    <mergeCell ref="F26:G27"/>
    <mergeCell ref="W26:W27"/>
    <mergeCell ref="V25:V27"/>
    <mergeCell ref="M28:N28"/>
    <mergeCell ref="F30:G30"/>
    <mergeCell ref="W10:Z11"/>
    <mergeCell ref="W6:Z7"/>
    <mergeCell ref="AB25:AB27"/>
    <mergeCell ref="R25:R27"/>
    <mergeCell ref="J7:K7"/>
    <mergeCell ref="AA26:AA27"/>
    <mergeCell ref="R7:T7"/>
    <mergeCell ref="V6:V7"/>
    <mergeCell ref="AN25:AP25"/>
    <mergeCell ref="AK25:AM25"/>
    <mergeCell ref="B12:C12"/>
    <mergeCell ref="B16:C16"/>
    <mergeCell ref="B15:C15"/>
    <mergeCell ref="AD25:AD26"/>
    <mergeCell ref="X26:X27"/>
    <mergeCell ref="AE25:AG25"/>
    <mergeCell ref="B13:C13"/>
    <mergeCell ref="W15:Z15"/>
    <mergeCell ref="AH25:AJ25"/>
    <mergeCell ref="W14:Z14"/>
    <mergeCell ref="Y26:Y27"/>
    <mergeCell ref="W13:Z13"/>
    <mergeCell ref="W16:Z17"/>
    <mergeCell ref="B17:C17"/>
    <mergeCell ref="B26:C27"/>
    <mergeCell ref="B25:F25"/>
    <mergeCell ref="B10:C10"/>
    <mergeCell ref="K26:L27"/>
    <mergeCell ref="L7:N7"/>
    <mergeCell ref="F7:G7"/>
    <mergeCell ref="D8:E8"/>
    <mergeCell ref="J8:K8"/>
    <mergeCell ref="V4:Z4"/>
    <mergeCell ref="Q52:R52"/>
    <mergeCell ref="Q51:R51"/>
    <mergeCell ref="W64:W65"/>
    <mergeCell ref="W52:W53"/>
    <mergeCell ref="W54:W55"/>
    <mergeCell ref="W56:W57"/>
    <mergeCell ref="W58:W59"/>
    <mergeCell ref="W62:W63"/>
    <mergeCell ref="W8:Z9"/>
  </mergeCells>
  <conditionalFormatting sqref="Q8:T9 K19">
    <cfRule type="expression" priority="44" dxfId="0" stopIfTrue="1">
      <formula>$Q$9="×"</formula>
    </cfRule>
  </conditionalFormatting>
  <conditionalFormatting sqref="B9:K9 V12:Z12 V13">
    <cfRule type="expression" priority="43" dxfId="0" stopIfTrue="1">
      <formula>$V$13="×"</formula>
    </cfRule>
  </conditionalFormatting>
  <conditionalFormatting sqref="V8:Z9">
    <cfRule type="expression" priority="42" dxfId="0" stopIfTrue="1">
      <formula>$V$9="×"</formula>
    </cfRule>
  </conditionalFormatting>
  <conditionalFormatting sqref="B15:K15">
    <cfRule type="expression" priority="4" dxfId="0" stopIfTrue="1">
      <formula>$V$34="×"</formula>
    </cfRule>
    <cfRule type="expression" priority="39" dxfId="0" stopIfTrue="1">
      <formula>$H$15="×"</formula>
    </cfRule>
  </conditionalFormatting>
  <conditionalFormatting sqref="K13">
    <cfRule type="expression" priority="34" dxfId="0" stopIfTrue="1">
      <formula>$J$13="×"</formula>
    </cfRule>
  </conditionalFormatting>
  <conditionalFormatting sqref="K14">
    <cfRule type="expression" priority="33" dxfId="0" stopIfTrue="1">
      <formula>$J$14="×"</formula>
    </cfRule>
  </conditionalFormatting>
  <conditionalFormatting sqref="K15">
    <cfRule type="expression" priority="32" dxfId="0" stopIfTrue="1">
      <formula>$J$15="×"</formula>
    </cfRule>
  </conditionalFormatting>
  <conditionalFormatting sqref="K16">
    <cfRule type="expression" priority="31" dxfId="0" stopIfTrue="1">
      <formula>$J$16="×"</formula>
    </cfRule>
  </conditionalFormatting>
  <conditionalFormatting sqref="K17">
    <cfRule type="expression" priority="30" dxfId="0" stopIfTrue="1">
      <formula>$J$17="×"</formula>
    </cfRule>
  </conditionalFormatting>
  <conditionalFormatting sqref="K18">
    <cfRule type="expression" priority="28" dxfId="0" stopIfTrue="1">
      <formula>$J$18="×"</formula>
    </cfRule>
  </conditionalFormatting>
  <conditionalFormatting sqref="K9">
    <cfRule type="expression" priority="38" dxfId="0" stopIfTrue="1">
      <formula>$J$9="×"</formula>
    </cfRule>
  </conditionalFormatting>
  <conditionalFormatting sqref="K10">
    <cfRule type="expression" priority="37" dxfId="0" stopIfTrue="1">
      <formula>$J$10="×"</formula>
    </cfRule>
  </conditionalFormatting>
  <conditionalFormatting sqref="K11">
    <cfRule type="expression" priority="36" dxfId="0" stopIfTrue="1">
      <formula>$J$11="×"</formula>
    </cfRule>
  </conditionalFormatting>
  <conditionalFormatting sqref="K12">
    <cfRule type="expression" priority="27" dxfId="0" stopIfTrue="1">
      <formula>$J$12="×"</formula>
    </cfRule>
  </conditionalFormatting>
  <conditionalFormatting sqref="V10:Z11">
    <cfRule type="expression" priority="25" dxfId="0" stopIfTrue="1">
      <formula>$V$11="×"</formula>
    </cfRule>
  </conditionalFormatting>
  <conditionalFormatting sqref="V14:W15">
    <cfRule type="expression" priority="20" dxfId="0" stopIfTrue="1">
      <formula>$V$15="×"</formula>
    </cfRule>
  </conditionalFormatting>
  <conditionalFormatting sqref="Q10:T11 K19">
    <cfRule type="expression" priority="19" dxfId="0" stopIfTrue="1">
      <formula>$Q$11="×"</formula>
    </cfRule>
  </conditionalFormatting>
  <conditionalFormatting sqref="B18:K18">
    <cfRule type="expression" priority="1" dxfId="0" stopIfTrue="1">
      <formula>$V$37="×"</formula>
    </cfRule>
    <cfRule type="expression" priority="18" dxfId="0" stopIfTrue="1">
      <formula>$H$5="×"</formula>
    </cfRule>
  </conditionalFormatting>
  <conditionalFormatting sqref="V16:Z17">
    <cfRule type="expression" priority="15" dxfId="0" stopIfTrue="1">
      <formula>$V$17="×"</formula>
    </cfRule>
  </conditionalFormatting>
  <conditionalFormatting sqref="B14:K14">
    <cfRule type="expression" priority="5" dxfId="0" stopIfTrue="1">
      <formula>$V$33="×"</formula>
    </cfRule>
    <cfRule type="expression" priority="14" dxfId="0" stopIfTrue="1">
      <formula>$H$14="×"</formula>
    </cfRule>
  </conditionalFormatting>
  <conditionalFormatting sqref="B13:K13">
    <cfRule type="expression" priority="6" dxfId="0" stopIfTrue="1">
      <formula>$V$32="×"</formula>
    </cfRule>
    <cfRule type="expression" priority="13" dxfId="0" stopIfTrue="1">
      <formula>$H$13="×"</formula>
    </cfRule>
  </conditionalFormatting>
  <conditionalFormatting sqref="V12:Z13">
    <cfRule type="expression" priority="12" dxfId="0" stopIfTrue="1">
      <formula>$V$13="×"</formula>
    </cfRule>
  </conditionalFormatting>
  <conditionalFormatting sqref="B9:K9">
    <cfRule type="expression" priority="10" dxfId="0" stopIfTrue="1">
      <formula>$V$28="×"</formula>
    </cfRule>
  </conditionalFormatting>
  <conditionalFormatting sqref="B10:K10">
    <cfRule type="expression" priority="9" dxfId="0" stopIfTrue="1">
      <formula>$V$29="×"</formula>
    </cfRule>
  </conditionalFormatting>
  <conditionalFormatting sqref="B11:K11">
    <cfRule type="expression" priority="8" dxfId="0" stopIfTrue="1">
      <formula>$V$30="×"</formula>
    </cfRule>
  </conditionalFormatting>
  <conditionalFormatting sqref="B12:K12">
    <cfRule type="expression" priority="7" dxfId="0" stopIfTrue="1">
      <formula>$V$31="×"</formula>
    </cfRule>
  </conditionalFormatting>
  <conditionalFormatting sqref="B16:K16">
    <cfRule type="expression" priority="3" dxfId="0" stopIfTrue="1">
      <formula>$V$35="×"</formula>
    </cfRule>
  </conditionalFormatting>
  <conditionalFormatting sqref="B17:K17">
    <cfRule type="expression" priority="2" dxfId="0" stopIfTrue="1">
      <formula>$V$36="×"</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G9:G18 E9:E18 K9:K18 I9:I18">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41" r:id="rId4"/>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37" customWidth="1"/>
    <col min="2" max="2" width="33.57421875" style="34" customWidth="1"/>
    <col min="3" max="3" width="33.57421875" style="34" hidden="1" customWidth="1"/>
    <col min="4" max="4" width="15.28125" style="33" hidden="1" customWidth="1"/>
    <col min="5" max="5" width="33.57421875" style="34" hidden="1" customWidth="1"/>
    <col min="6" max="6" width="33.57421875" style="32" hidden="1" customWidth="1"/>
    <col min="7" max="7" width="33.57421875" style="37" hidden="1" customWidth="1"/>
    <col min="8" max="9" width="0" style="32" hidden="1" customWidth="1"/>
    <col min="10" max="16384" width="33.57421875" style="32" customWidth="1"/>
  </cols>
  <sheetData>
    <row r="1" spans="1:9" ht="30.75" customHeight="1">
      <c r="A1" s="29" t="s">
        <v>56</v>
      </c>
      <c r="B1" s="30" t="s">
        <v>57</v>
      </c>
      <c r="C1" s="30" t="str">
        <f>CONCATENATE(A1,B1)</f>
        <v>中分類　コード内容</v>
      </c>
      <c r="D1" s="29" t="s">
        <v>58</v>
      </c>
      <c r="E1" s="30" t="s">
        <v>57</v>
      </c>
      <c r="F1" s="30" t="str">
        <f>CONCATENATE(D1,E1)</f>
        <v>全中分類コード内容</v>
      </c>
      <c r="G1" s="31" t="s">
        <v>59</v>
      </c>
      <c r="H1" s="29" t="str">
        <f>CONCATENATE(D1,I1)</f>
        <v>全中分類コード小分類</v>
      </c>
      <c r="I1" s="31" t="s">
        <v>60</v>
      </c>
    </row>
    <row r="2" spans="1:9" ht="30.75" customHeight="1">
      <c r="A2" s="33" t="s">
        <v>61</v>
      </c>
      <c r="B2" s="34" t="s">
        <v>62</v>
      </c>
      <c r="C2" s="35" t="str">
        <f>CONCATENATE(A2,B2)</f>
        <v>01　農業</v>
      </c>
      <c r="D2" s="36" t="s">
        <v>63</v>
      </c>
      <c r="E2" s="34" t="s">
        <v>62</v>
      </c>
      <c r="F2" s="34" t="str">
        <f>CONCATENATE(D2,E2)</f>
        <v>010000　農業</v>
      </c>
      <c r="G2" s="37" t="s">
        <v>64</v>
      </c>
      <c r="H2" s="34" t="str">
        <f>CONCATENATE(D2,I2)</f>
        <v>010000管理，補助的経済活動を行う事業所（01農業） </v>
      </c>
      <c r="I2" s="32" t="s">
        <v>65</v>
      </c>
    </row>
    <row r="3" spans="1:9" ht="30.75" customHeight="1">
      <c r="A3" s="37" t="s">
        <v>66</v>
      </c>
      <c r="B3" s="34" t="s">
        <v>67</v>
      </c>
      <c r="C3" s="35" t="str">
        <f aca="true" t="shared" si="0" ref="C3:C66">CONCATENATE(A3,B3)</f>
        <v>02　林業</v>
      </c>
      <c r="D3" s="36" t="s">
        <v>68</v>
      </c>
      <c r="E3" s="34" t="s">
        <v>67</v>
      </c>
      <c r="F3" s="34" t="str">
        <f aca="true" t="shared" si="1" ref="F3:F66">CONCATENATE(D3,E3)</f>
        <v>020000　林業</v>
      </c>
      <c r="G3" s="37" t="s">
        <v>69</v>
      </c>
      <c r="H3" s="34" t="str">
        <f aca="true" t="shared" si="2" ref="H3:H66">CONCATENATE(D3,I3)</f>
        <v>020000管理，補助的経済活動を行う事業所（02林業） </v>
      </c>
      <c r="I3" s="32" t="s">
        <v>70</v>
      </c>
    </row>
    <row r="4" spans="1:9" ht="30.75" customHeight="1">
      <c r="A4" s="37" t="s">
        <v>71</v>
      </c>
      <c r="B4" s="34" t="s">
        <v>72</v>
      </c>
      <c r="C4" s="35" t="str">
        <f t="shared" si="0"/>
        <v>03　漁業（水産養殖業を除く）</v>
      </c>
      <c r="D4" s="36" t="s">
        <v>73</v>
      </c>
      <c r="E4" s="34" t="s">
        <v>72</v>
      </c>
      <c r="F4" s="34" t="str">
        <f t="shared" si="1"/>
        <v>030000　漁業（水産養殖業を除く）</v>
      </c>
      <c r="G4" s="37" t="s">
        <v>74</v>
      </c>
      <c r="H4" s="34" t="str">
        <f t="shared" si="2"/>
        <v>030000管理，補助的経済活動を行う事業所（03漁業） </v>
      </c>
      <c r="I4" s="32" t="s">
        <v>75</v>
      </c>
    </row>
    <row r="5" spans="1:9" ht="30.75" customHeight="1">
      <c r="A5" s="37" t="s">
        <v>76</v>
      </c>
      <c r="B5" s="34" t="s">
        <v>77</v>
      </c>
      <c r="C5" s="35" t="str">
        <f t="shared" si="0"/>
        <v>04　水産養殖業</v>
      </c>
      <c r="D5" s="36" t="s">
        <v>73</v>
      </c>
      <c r="E5" s="34" t="s">
        <v>77</v>
      </c>
      <c r="F5" s="34" t="str">
        <f t="shared" si="1"/>
        <v>030000　水産養殖業</v>
      </c>
      <c r="G5" s="37" t="s">
        <v>78</v>
      </c>
      <c r="H5" s="34" t="str">
        <f t="shared" si="2"/>
        <v>030000管理，補助的経済活動を行う事業所（04水産養殖業） </v>
      </c>
      <c r="I5" s="32" t="s">
        <v>79</v>
      </c>
    </row>
    <row r="6" spans="1:9" ht="30.75" customHeight="1">
      <c r="A6" s="37" t="s">
        <v>80</v>
      </c>
      <c r="B6" s="34" t="s">
        <v>81</v>
      </c>
      <c r="C6" s="35" t="str">
        <f t="shared" si="0"/>
        <v>05　鉱業，採石業，砂利採取業</v>
      </c>
      <c r="D6" s="36" t="s">
        <v>82</v>
      </c>
      <c r="E6" s="34" t="s">
        <v>83</v>
      </c>
      <c r="F6" s="34" t="str">
        <f t="shared" si="1"/>
        <v>040000　鉱業</v>
      </c>
      <c r="G6" s="37" t="s">
        <v>84</v>
      </c>
      <c r="H6" s="34" t="str">
        <f t="shared" si="2"/>
        <v>040000管理，補助的経済活動を行う事業所（05鉱業，採石業，砂利採取業） </v>
      </c>
      <c r="I6" s="32" t="s">
        <v>85</v>
      </c>
    </row>
    <row r="7" spans="1:9" ht="30.75" customHeight="1">
      <c r="A7" s="37" t="s">
        <v>86</v>
      </c>
      <c r="B7" s="34" t="s">
        <v>87</v>
      </c>
      <c r="C7" s="35" t="str">
        <f t="shared" si="0"/>
        <v>06　総合工事業</v>
      </c>
      <c r="D7" s="36" t="s">
        <v>88</v>
      </c>
      <c r="E7" s="34" t="s">
        <v>87</v>
      </c>
      <c r="F7" s="34" t="str">
        <f t="shared" si="1"/>
        <v>050100　総合工事業</v>
      </c>
      <c r="G7" s="37" t="s">
        <v>89</v>
      </c>
      <c r="H7" s="34" t="str">
        <f t="shared" si="2"/>
        <v>050100管理，補助的経済活動を行う事業所（06総合工事業） </v>
      </c>
      <c r="I7" s="32" t="s">
        <v>90</v>
      </c>
    </row>
    <row r="8" spans="1:9" ht="30.75" customHeight="1">
      <c r="A8" s="37" t="s">
        <v>91</v>
      </c>
      <c r="B8" s="34" t="s">
        <v>92</v>
      </c>
      <c r="C8" s="35" t="str">
        <f t="shared" si="0"/>
        <v>07　職別工事業(設備工事業を除く)</v>
      </c>
      <c r="D8" s="36" t="s">
        <v>93</v>
      </c>
      <c r="E8" s="34" t="s">
        <v>92</v>
      </c>
      <c r="F8" s="34" t="str">
        <f t="shared" si="1"/>
        <v>050300　職別工事業(設備工事業を除く)</v>
      </c>
      <c r="G8" s="37" t="s">
        <v>94</v>
      </c>
      <c r="H8" s="34" t="str">
        <f t="shared" si="2"/>
        <v>050300管理，補助的経済活動を行う事業所（07職別工事業） </v>
      </c>
      <c r="I8" s="32" t="s">
        <v>95</v>
      </c>
    </row>
    <row r="9" spans="1:9" ht="30.75" customHeight="1">
      <c r="A9" s="37" t="s">
        <v>96</v>
      </c>
      <c r="B9" s="34" t="s">
        <v>97</v>
      </c>
      <c r="C9" s="35" t="str">
        <f t="shared" si="0"/>
        <v>08　設備工事業</v>
      </c>
      <c r="D9" s="36" t="s">
        <v>98</v>
      </c>
      <c r="E9" s="34" t="s">
        <v>97</v>
      </c>
      <c r="F9" s="34" t="str">
        <f t="shared" si="1"/>
        <v>050500　設備工事業</v>
      </c>
      <c r="G9" s="37" t="s">
        <v>99</v>
      </c>
      <c r="H9" s="34" t="str">
        <f t="shared" si="2"/>
        <v>050500管理，補助的経済活動を行う事業所（08設備工事業） </v>
      </c>
      <c r="I9" s="32" t="s">
        <v>100</v>
      </c>
    </row>
    <row r="10" spans="1:9" ht="30.75" customHeight="1">
      <c r="A10" s="37" t="s">
        <v>101</v>
      </c>
      <c r="B10" s="34" t="s">
        <v>102</v>
      </c>
      <c r="C10" s="35" t="str">
        <f t="shared" si="0"/>
        <v>09　食料品製造業</v>
      </c>
      <c r="D10" s="36" t="s">
        <v>103</v>
      </c>
      <c r="E10" s="34" t="s">
        <v>102</v>
      </c>
      <c r="F10" s="34" t="str">
        <f t="shared" si="1"/>
        <v>060100　食料品製造業</v>
      </c>
      <c r="G10" s="37" t="s">
        <v>104</v>
      </c>
      <c r="H10" s="34" t="str">
        <f t="shared" si="2"/>
        <v>060100管理，補助的経済活動を行う事業所（09食料品製造業） </v>
      </c>
      <c r="I10" s="32" t="s">
        <v>105</v>
      </c>
    </row>
    <row r="11" spans="1:9" ht="30.75" customHeight="1">
      <c r="A11" s="37" t="s">
        <v>106</v>
      </c>
      <c r="B11" s="34" t="s">
        <v>107</v>
      </c>
      <c r="C11" s="35" t="str">
        <f t="shared" si="0"/>
        <v>10　飲料・たばこ・飼料製造業</v>
      </c>
      <c r="D11" s="36" t="s">
        <v>108</v>
      </c>
      <c r="E11" s="34" t="s">
        <v>107</v>
      </c>
      <c r="F11" s="34" t="str">
        <f t="shared" si="1"/>
        <v>060300　飲料・たばこ・飼料製造業</v>
      </c>
      <c r="G11" s="37" t="s">
        <v>109</v>
      </c>
      <c r="H11" s="34" t="str">
        <f t="shared" si="2"/>
        <v>060300管理，補助的経済活動を行う事業所（10飲料・たばこ・飼料製造業） </v>
      </c>
      <c r="I11" s="32" t="s">
        <v>110</v>
      </c>
    </row>
    <row r="12" spans="1:9" ht="30.75" customHeight="1">
      <c r="A12" s="37" t="s">
        <v>111</v>
      </c>
      <c r="B12" s="34" t="s">
        <v>112</v>
      </c>
      <c r="C12" s="35" t="str">
        <f t="shared" si="0"/>
        <v>11　繊維工業</v>
      </c>
      <c r="D12" s="36" t="s">
        <v>113</v>
      </c>
      <c r="E12" s="34" t="s">
        <v>114</v>
      </c>
      <c r="F12" s="34" t="str">
        <f t="shared" si="1"/>
        <v>060500繊維工業（衣服、その他の繊維製品を除く）</v>
      </c>
      <c r="G12" s="37" t="s">
        <v>115</v>
      </c>
      <c r="H12" s="34" t="str">
        <f t="shared" si="2"/>
        <v>060500管理，補助的経済活動を行う事業所（11繊維工業） </v>
      </c>
      <c r="I12" s="32" t="s">
        <v>116</v>
      </c>
    </row>
    <row r="13" spans="1:9" ht="30.75" customHeight="1">
      <c r="A13" s="37" t="s">
        <v>117</v>
      </c>
      <c r="B13" s="34" t="s">
        <v>118</v>
      </c>
      <c r="C13" s="35" t="str">
        <f t="shared" si="0"/>
        <v>12　木材・木製品製造業（家具を除く）</v>
      </c>
      <c r="D13" s="36" t="s">
        <v>119</v>
      </c>
      <c r="E13" s="34" t="s">
        <v>118</v>
      </c>
      <c r="F13" s="34" t="str">
        <f t="shared" si="1"/>
        <v>060900　木材・木製品製造業（家具を除く）</v>
      </c>
      <c r="G13" s="37" t="s">
        <v>120</v>
      </c>
      <c r="H13" s="34" t="str">
        <f t="shared" si="2"/>
        <v>060900管理，補助的経済活動を行う事業所（12木材・木製品製造業） </v>
      </c>
      <c r="I13" s="32" t="s">
        <v>121</v>
      </c>
    </row>
    <row r="14" spans="1:9" ht="30.75" customHeight="1">
      <c r="A14" s="37" t="s">
        <v>122</v>
      </c>
      <c r="B14" s="34" t="s">
        <v>123</v>
      </c>
      <c r="C14" s="35" t="str">
        <f t="shared" si="0"/>
        <v>13　家具・装備品製造業</v>
      </c>
      <c r="D14" s="36" t="s">
        <v>124</v>
      </c>
      <c r="E14" s="34" t="s">
        <v>123</v>
      </c>
      <c r="F14" s="34" t="str">
        <f t="shared" si="1"/>
        <v>061100　家具・装備品製造業</v>
      </c>
      <c r="G14" s="37" t="s">
        <v>125</v>
      </c>
      <c r="H14" s="34" t="str">
        <f t="shared" si="2"/>
        <v>061100管理，補助的経済活動を行う事業所（13家具・装備品製造業） </v>
      </c>
      <c r="I14" s="32" t="s">
        <v>126</v>
      </c>
    </row>
    <row r="15" spans="1:9" ht="30.75" customHeight="1">
      <c r="A15" s="37" t="s">
        <v>127</v>
      </c>
      <c r="B15" s="34" t="s">
        <v>128</v>
      </c>
      <c r="C15" s="35" t="str">
        <f t="shared" si="0"/>
        <v>14　パルプ・紙・紙加工品製造業</v>
      </c>
      <c r="D15" s="36" t="s">
        <v>129</v>
      </c>
      <c r="E15" s="34" t="s">
        <v>128</v>
      </c>
      <c r="F15" s="34" t="str">
        <f t="shared" si="1"/>
        <v>061300　パルプ・紙・紙加工品製造業</v>
      </c>
      <c r="G15" s="37" t="s">
        <v>130</v>
      </c>
      <c r="H15" s="34" t="str">
        <f t="shared" si="2"/>
        <v>061300管理，補助的経済活動を行う事業所（14パルプ・紙・紙加工品製造業） </v>
      </c>
      <c r="I15" s="32" t="s">
        <v>131</v>
      </c>
    </row>
    <row r="16" spans="1:9" ht="30.75" customHeight="1">
      <c r="A16" s="37" t="s">
        <v>132</v>
      </c>
      <c r="B16" s="34" t="s">
        <v>133</v>
      </c>
      <c r="C16" s="35" t="str">
        <f t="shared" si="0"/>
        <v>15　印刷・同関連業</v>
      </c>
      <c r="D16" s="36" t="s">
        <v>134</v>
      </c>
      <c r="E16" s="34" t="s">
        <v>133</v>
      </c>
      <c r="F16" s="34" t="str">
        <f t="shared" si="1"/>
        <v>061500　印刷・同関連業</v>
      </c>
      <c r="G16" s="37" t="s">
        <v>135</v>
      </c>
      <c r="H16" s="34" t="str">
        <f t="shared" si="2"/>
        <v>061500管理，補助的経済活動を行う事業所（15印刷・同関連業） </v>
      </c>
      <c r="I16" s="32" t="s">
        <v>136</v>
      </c>
    </row>
    <row r="17" spans="1:9" ht="30.75" customHeight="1">
      <c r="A17" s="37" t="s">
        <v>137</v>
      </c>
      <c r="B17" s="34" t="s">
        <v>138</v>
      </c>
      <c r="C17" s="35" t="str">
        <f t="shared" si="0"/>
        <v>16　化学工業</v>
      </c>
      <c r="D17" s="36" t="s">
        <v>139</v>
      </c>
      <c r="E17" s="34" t="s">
        <v>138</v>
      </c>
      <c r="F17" s="34" t="str">
        <f t="shared" si="1"/>
        <v>061700　化学工業</v>
      </c>
      <c r="G17" s="37" t="s">
        <v>140</v>
      </c>
      <c r="H17" s="34" t="str">
        <f t="shared" si="2"/>
        <v>061700管理，補助的経済活動を行う事業所（16化学工業） </v>
      </c>
      <c r="I17" s="32" t="s">
        <v>141</v>
      </c>
    </row>
    <row r="18" spans="1:9" ht="30.75" customHeight="1">
      <c r="A18" s="37" t="s">
        <v>142</v>
      </c>
      <c r="B18" s="34" t="s">
        <v>143</v>
      </c>
      <c r="C18" s="35" t="str">
        <f t="shared" si="0"/>
        <v>17　石油製品・石炭製品製造業</v>
      </c>
      <c r="D18" s="36" t="s">
        <v>144</v>
      </c>
      <c r="E18" s="34" t="s">
        <v>143</v>
      </c>
      <c r="F18" s="34" t="str">
        <f t="shared" si="1"/>
        <v>061900　石油製品・石炭製品製造業</v>
      </c>
      <c r="G18" s="37" t="s">
        <v>145</v>
      </c>
      <c r="H18" s="34" t="str">
        <f t="shared" si="2"/>
        <v>061900管理，補助的経済活動を行う事業所（17石油製品・石炭製品製造業） </v>
      </c>
      <c r="I18" s="32" t="s">
        <v>146</v>
      </c>
    </row>
    <row r="19" spans="1:9" ht="30.75" customHeight="1">
      <c r="A19" s="37" t="s">
        <v>147</v>
      </c>
      <c r="B19" s="34" t="s">
        <v>148</v>
      </c>
      <c r="C19" s="35" t="str">
        <f t="shared" si="0"/>
        <v>18　プラスチック製品製造業（別掲を除く）</v>
      </c>
      <c r="D19" s="36" t="s">
        <v>149</v>
      </c>
      <c r="E19" s="34" t="s">
        <v>148</v>
      </c>
      <c r="F19" s="34" t="str">
        <f t="shared" si="1"/>
        <v>062100　プラスチック製品製造業（別掲を除く）</v>
      </c>
      <c r="G19" s="37" t="s">
        <v>150</v>
      </c>
      <c r="H19" s="34" t="str">
        <f t="shared" si="2"/>
        <v>062100管理，補助的経済活動を行う事業所（18プラスチック製品製造業） </v>
      </c>
      <c r="I19" s="32" t="s">
        <v>151</v>
      </c>
    </row>
    <row r="20" spans="1:9" ht="30.75" customHeight="1">
      <c r="A20" s="37" t="s">
        <v>152</v>
      </c>
      <c r="B20" s="34" t="s">
        <v>153</v>
      </c>
      <c r="C20" s="35" t="str">
        <f t="shared" si="0"/>
        <v>19　ゴム製品製造業</v>
      </c>
      <c r="D20" s="36" t="s">
        <v>154</v>
      </c>
      <c r="E20" s="34" t="s">
        <v>153</v>
      </c>
      <c r="F20" s="34" t="str">
        <f t="shared" si="1"/>
        <v>062300　ゴム製品製造業</v>
      </c>
      <c r="G20" s="37" t="s">
        <v>155</v>
      </c>
      <c r="H20" s="34" t="str">
        <f t="shared" si="2"/>
        <v>062300管理，補助的経済活動を行う事業所（19ゴム製品製造業） </v>
      </c>
      <c r="I20" s="32" t="s">
        <v>156</v>
      </c>
    </row>
    <row r="21" spans="1:9" ht="30.75" customHeight="1">
      <c r="A21" s="37" t="s">
        <v>157</v>
      </c>
      <c r="B21" s="34" t="s">
        <v>158</v>
      </c>
      <c r="C21" s="35" t="str">
        <f t="shared" si="0"/>
        <v>20　なめし革・同製品・毛皮製造業</v>
      </c>
      <c r="D21" s="36" t="s">
        <v>159</v>
      </c>
      <c r="E21" s="34" t="s">
        <v>158</v>
      </c>
      <c r="F21" s="34" t="str">
        <f t="shared" si="1"/>
        <v>062500　なめし革・同製品・毛皮製造業</v>
      </c>
      <c r="G21" s="37" t="s">
        <v>160</v>
      </c>
      <c r="H21" s="34" t="str">
        <f t="shared" si="2"/>
        <v>062500管理，補助的経済活動を行う事業所（20なめし革・同製品・毛皮製造業） </v>
      </c>
      <c r="I21" s="32" t="s">
        <v>161</v>
      </c>
    </row>
    <row r="22" spans="1:9" ht="30.75" customHeight="1">
      <c r="A22" s="37" t="s">
        <v>162</v>
      </c>
      <c r="B22" s="34" t="s">
        <v>163</v>
      </c>
      <c r="C22" s="35" t="str">
        <f t="shared" si="0"/>
        <v>21　窯業・土石製品製造業</v>
      </c>
      <c r="D22" s="36" t="s">
        <v>164</v>
      </c>
      <c r="E22" s="34" t="s">
        <v>163</v>
      </c>
      <c r="F22" s="34" t="str">
        <f t="shared" si="1"/>
        <v>062700　窯業・土石製品製造業</v>
      </c>
      <c r="G22" s="37" t="s">
        <v>165</v>
      </c>
      <c r="H22" s="34" t="str">
        <f t="shared" si="2"/>
        <v>062700管理，補助的経済活動を行う事業所（21窯業・土石製品製造業） </v>
      </c>
      <c r="I22" s="32" t="s">
        <v>166</v>
      </c>
    </row>
    <row r="23" spans="1:9" ht="30.75" customHeight="1">
      <c r="A23" s="37" t="s">
        <v>167</v>
      </c>
      <c r="B23" s="34" t="s">
        <v>168</v>
      </c>
      <c r="C23" s="35" t="str">
        <f t="shared" si="0"/>
        <v>22　鉄鋼業</v>
      </c>
      <c r="D23" s="36" t="s">
        <v>169</v>
      </c>
      <c r="E23" s="34" t="s">
        <v>168</v>
      </c>
      <c r="F23" s="34" t="str">
        <f t="shared" si="1"/>
        <v>062900　鉄鋼業</v>
      </c>
      <c r="G23" s="37" t="s">
        <v>170</v>
      </c>
      <c r="H23" s="34" t="str">
        <f t="shared" si="2"/>
        <v>062900管理，補助的経済活動を行う事業所（22鉄鋼業） </v>
      </c>
      <c r="I23" s="32" t="s">
        <v>171</v>
      </c>
    </row>
    <row r="24" spans="1:9" ht="30.75" customHeight="1">
      <c r="A24" s="37" t="s">
        <v>172</v>
      </c>
      <c r="B24" s="34" t="s">
        <v>173</v>
      </c>
      <c r="C24" s="35" t="str">
        <f t="shared" si="0"/>
        <v>23　非鉄金属製造業</v>
      </c>
      <c r="D24" s="36" t="s">
        <v>174</v>
      </c>
      <c r="E24" s="34" t="s">
        <v>173</v>
      </c>
      <c r="F24" s="34" t="str">
        <f t="shared" si="1"/>
        <v>063100　非鉄金属製造業</v>
      </c>
      <c r="G24" s="37" t="s">
        <v>175</v>
      </c>
      <c r="H24" s="34" t="str">
        <f t="shared" si="2"/>
        <v>063100管理，補助的経済活動を行う事業所（23非鉄金属製造業） </v>
      </c>
      <c r="I24" s="32" t="s">
        <v>176</v>
      </c>
    </row>
    <row r="25" spans="1:9" ht="30.75" customHeight="1">
      <c r="A25" s="37" t="s">
        <v>177</v>
      </c>
      <c r="B25" s="34" t="s">
        <v>178</v>
      </c>
      <c r="C25" s="35" t="str">
        <f t="shared" si="0"/>
        <v>24　金属製品製造業</v>
      </c>
      <c r="D25" s="36" t="s">
        <v>179</v>
      </c>
      <c r="E25" s="34" t="s">
        <v>178</v>
      </c>
      <c r="F25" s="34" t="str">
        <f t="shared" si="1"/>
        <v>063300　金属製品製造業</v>
      </c>
      <c r="G25" s="37" t="s">
        <v>180</v>
      </c>
      <c r="H25" s="34" t="str">
        <f t="shared" si="2"/>
        <v>063300管理，補助的経済活動を行う事業所（24金属製品製造業） </v>
      </c>
      <c r="I25" s="32" t="s">
        <v>181</v>
      </c>
    </row>
    <row r="26" spans="1:9" ht="30.75" customHeight="1">
      <c r="A26" s="37" t="s">
        <v>182</v>
      </c>
      <c r="B26" s="34" t="s">
        <v>183</v>
      </c>
      <c r="C26" s="35" t="str">
        <f t="shared" si="0"/>
        <v>25　はん用機械器具製造業</v>
      </c>
      <c r="D26" s="36" t="s">
        <v>184</v>
      </c>
      <c r="E26" s="34" t="s">
        <v>185</v>
      </c>
      <c r="F26" s="34" t="str">
        <f t="shared" si="1"/>
        <v>063500一般機械器具製造業　 </v>
      </c>
      <c r="G26" s="37" t="s">
        <v>186</v>
      </c>
      <c r="H26" s="34" t="str">
        <f t="shared" si="2"/>
        <v>063500管理，補助的経済活動を行う事業所（25はん用機械器具製造業） </v>
      </c>
      <c r="I26" s="32" t="s">
        <v>187</v>
      </c>
    </row>
    <row r="27" spans="1:9" ht="30.75" customHeight="1">
      <c r="A27" s="37" t="s">
        <v>188</v>
      </c>
      <c r="B27" s="34" t="s">
        <v>189</v>
      </c>
      <c r="C27" s="35" t="str">
        <f t="shared" si="0"/>
        <v>26　生産用機械器具製造業</v>
      </c>
      <c r="D27" s="36" t="s">
        <v>184</v>
      </c>
      <c r="E27" s="34" t="s">
        <v>185</v>
      </c>
      <c r="F27" s="34" t="str">
        <f t="shared" si="1"/>
        <v>063500一般機械器具製造業　 </v>
      </c>
      <c r="G27" s="37" t="s">
        <v>190</v>
      </c>
      <c r="H27" s="34" t="str">
        <f t="shared" si="2"/>
        <v>063500管理，補助的経済活動を行う事業所（26生産用機械器具製造業） </v>
      </c>
      <c r="I27" s="32" t="s">
        <v>191</v>
      </c>
    </row>
    <row r="28" spans="1:9" ht="30.75" customHeight="1">
      <c r="A28" s="37" t="s">
        <v>192</v>
      </c>
      <c r="B28" s="34" t="s">
        <v>193</v>
      </c>
      <c r="C28" s="35" t="str">
        <f t="shared" si="0"/>
        <v>27　業務用機械器具製造業</v>
      </c>
      <c r="D28" s="36" t="s">
        <v>194</v>
      </c>
      <c r="E28" s="34" t="s">
        <v>195</v>
      </c>
      <c r="F28" s="34" t="str">
        <f t="shared" si="1"/>
        <v>064500精密機械器具製造業   　</v>
      </c>
      <c r="G28" s="37" t="s">
        <v>196</v>
      </c>
      <c r="H28" s="34" t="str">
        <f t="shared" si="2"/>
        <v>064500管理，補助的経済活動を行う事業所（27業務用機械器具製造業） </v>
      </c>
      <c r="I28" s="32" t="s">
        <v>197</v>
      </c>
    </row>
    <row r="29" spans="1:9" ht="30.75" customHeight="1">
      <c r="A29" s="37" t="s">
        <v>198</v>
      </c>
      <c r="B29" s="34" t="s">
        <v>199</v>
      </c>
      <c r="C29" s="35" t="str">
        <f t="shared" si="0"/>
        <v>28　電子部品・デバイス製造業</v>
      </c>
      <c r="D29" s="36" t="s">
        <v>200</v>
      </c>
      <c r="E29" s="34" t="s">
        <v>201</v>
      </c>
      <c r="F29" s="34" t="str">
        <f t="shared" si="1"/>
        <v>064100　電子部品・デバイス・電子回路製造業</v>
      </c>
      <c r="G29" s="37" t="s">
        <v>202</v>
      </c>
      <c r="H29" s="34" t="str">
        <f t="shared" si="2"/>
        <v>064100管理，補助的経済活動を行う事業所（28電子部品・デバイス・電子回路製造業） </v>
      </c>
      <c r="I29" s="32" t="s">
        <v>203</v>
      </c>
    </row>
    <row r="30" spans="1:9" ht="30.75" customHeight="1">
      <c r="A30" s="37" t="s">
        <v>204</v>
      </c>
      <c r="B30" s="34" t="s">
        <v>205</v>
      </c>
      <c r="C30" s="35" t="str">
        <f t="shared" si="0"/>
        <v>29　電気機械器具製造業</v>
      </c>
      <c r="D30" s="36" t="s">
        <v>206</v>
      </c>
      <c r="E30" s="34" t="s">
        <v>205</v>
      </c>
      <c r="F30" s="34" t="str">
        <f t="shared" si="1"/>
        <v>063700　電気機械器具製造業</v>
      </c>
      <c r="G30" s="37" t="s">
        <v>207</v>
      </c>
      <c r="H30" s="34" t="str">
        <f t="shared" si="2"/>
        <v>063700管理，補助的経済活動を行う事業所（29電気機械器具製造業） </v>
      </c>
      <c r="I30" s="32" t="s">
        <v>208</v>
      </c>
    </row>
    <row r="31" spans="1:9" ht="30.75" customHeight="1">
      <c r="A31" s="37" t="s">
        <v>209</v>
      </c>
      <c r="B31" s="34" t="s">
        <v>210</v>
      </c>
      <c r="C31" s="35" t="str">
        <f t="shared" si="0"/>
        <v>30　情報通信機械器具製造業</v>
      </c>
      <c r="D31" s="36" t="s">
        <v>211</v>
      </c>
      <c r="E31" s="34" t="s">
        <v>210</v>
      </c>
      <c r="F31" s="34" t="str">
        <f t="shared" si="1"/>
        <v>063900　情報通信機械器具製造業</v>
      </c>
      <c r="G31" s="37" t="s">
        <v>212</v>
      </c>
      <c r="H31" s="34" t="str">
        <f t="shared" si="2"/>
        <v>063900管理，補助的経済活動を行う事業所（30情報通信機械器具製造業） </v>
      </c>
      <c r="I31" s="32" t="s">
        <v>213</v>
      </c>
    </row>
    <row r="32" spans="1:9" ht="30.75" customHeight="1">
      <c r="A32" s="37" t="s">
        <v>214</v>
      </c>
      <c r="B32" s="34" t="s">
        <v>215</v>
      </c>
      <c r="C32" s="35" t="str">
        <f t="shared" si="0"/>
        <v>31　輸送用機械器具製造業</v>
      </c>
      <c r="D32" s="36" t="s">
        <v>216</v>
      </c>
      <c r="E32" s="34" t="s">
        <v>215</v>
      </c>
      <c r="F32" s="34" t="str">
        <f t="shared" si="1"/>
        <v>064300　輸送用機械器具製造業</v>
      </c>
      <c r="G32" s="37" t="s">
        <v>217</v>
      </c>
      <c r="H32" s="34" t="str">
        <f t="shared" si="2"/>
        <v>064300管理，補助的経済活動を行う事業所（31輸送用機械器具製造業） </v>
      </c>
      <c r="I32" s="32" t="s">
        <v>218</v>
      </c>
    </row>
    <row r="33" spans="1:9" ht="30.75" customHeight="1">
      <c r="A33" s="37" t="s">
        <v>219</v>
      </c>
      <c r="B33" s="34" t="s">
        <v>220</v>
      </c>
      <c r="C33" s="35" t="str">
        <f t="shared" si="0"/>
        <v>32　その他の製造業</v>
      </c>
      <c r="D33" s="36" t="s">
        <v>221</v>
      </c>
      <c r="E33" s="34" t="s">
        <v>220</v>
      </c>
      <c r="F33" s="34" t="str">
        <f t="shared" si="1"/>
        <v>064700　その他の製造業</v>
      </c>
      <c r="G33" s="37" t="s">
        <v>222</v>
      </c>
      <c r="H33" s="34" t="str">
        <f t="shared" si="2"/>
        <v>064700管理，補助的経済活動を行う事業所（32その他の製造業） </v>
      </c>
      <c r="I33" s="32" t="s">
        <v>223</v>
      </c>
    </row>
    <row r="34" spans="1:9" ht="30.75" customHeight="1">
      <c r="A34" s="37" t="s">
        <v>219</v>
      </c>
      <c r="B34" s="34" t="s">
        <v>220</v>
      </c>
      <c r="C34" s="35" t="str">
        <f t="shared" si="0"/>
        <v>32　その他の製造業</v>
      </c>
      <c r="D34" s="36" t="s">
        <v>221</v>
      </c>
      <c r="E34" s="34" t="s">
        <v>220</v>
      </c>
      <c r="F34" s="34" t="str">
        <f t="shared" si="1"/>
        <v>064700　その他の製造業</v>
      </c>
      <c r="G34" s="37" t="s">
        <v>224</v>
      </c>
      <c r="H34" s="34" t="str">
        <f t="shared" si="2"/>
        <v>064700漆器製造業 </v>
      </c>
      <c r="I34" s="32" t="s">
        <v>225</v>
      </c>
    </row>
    <row r="35" spans="1:9" ht="30.75" customHeight="1">
      <c r="A35" s="37" t="s">
        <v>226</v>
      </c>
      <c r="B35" s="34" t="s">
        <v>227</v>
      </c>
      <c r="C35" s="35" t="str">
        <f t="shared" si="0"/>
        <v>33　電気業</v>
      </c>
      <c r="D35" s="36" t="s">
        <v>228</v>
      </c>
      <c r="E35" s="34" t="s">
        <v>227</v>
      </c>
      <c r="F35" s="34" t="str">
        <f t="shared" si="1"/>
        <v>070000　電気業</v>
      </c>
      <c r="G35" s="37" t="s">
        <v>229</v>
      </c>
      <c r="H35" s="34" t="str">
        <f t="shared" si="2"/>
        <v>070000管理，補助的経済活動を行う事業所（33電気業） </v>
      </c>
      <c r="I35" s="32" t="s">
        <v>230</v>
      </c>
    </row>
    <row r="36" spans="1:9" ht="30.75" customHeight="1">
      <c r="A36" s="37" t="s">
        <v>231</v>
      </c>
      <c r="B36" s="34" t="s">
        <v>232</v>
      </c>
      <c r="C36" s="35" t="str">
        <f t="shared" si="0"/>
        <v>34　ガス業</v>
      </c>
      <c r="D36" s="36" t="s">
        <v>228</v>
      </c>
      <c r="E36" s="34" t="s">
        <v>232</v>
      </c>
      <c r="F36" s="34" t="str">
        <f t="shared" si="1"/>
        <v>070000　ガス業</v>
      </c>
      <c r="G36" s="37" t="s">
        <v>233</v>
      </c>
      <c r="H36" s="34" t="str">
        <f t="shared" si="2"/>
        <v>070000管理，補助的経済活動を行う事業所（34ガス業） </v>
      </c>
      <c r="I36" s="32" t="s">
        <v>234</v>
      </c>
    </row>
    <row r="37" spans="1:9" ht="30.75" customHeight="1">
      <c r="A37" s="37" t="s">
        <v>235</v>
      </c>
      <c r="B37" s="34" t="s">
        <v>236</v>
      </c>
      <c r="C37" s="35" t="str">
        <f t="shared" si="0"/>
        <v>35　熱供給業</v>
      </c>
      <c r="D37" s="36" t="s">
        <v>228</v>
      </c>
      <c r="E37" s="34" t="s">
        <v>236</v>
      </c>
      <c r="F37" s="34" t="str">
        <f t="shared" si="1"/>
        <v>070000　熱供給業</v>
      </c>
      <c r="G37" s="37" t="s">
        <v>237</v>
      </c>
      <c r="H37" s="34" t="str">
        <f t="shared" si="2"/>
        <v>070000管理，補助的経済活動を行う事業所（35熱供給業） </v>
      </c>
      <c r="I37" s="32" t="s">
        <v>238</v>
      </c>
    </row>
    <row r="38" spans="1:9" ht="30.75" customHeight="1">
      <c r="A38" s="37" t="s">
        <v>239</v>
      </c>
      <c r="B38" s="34" t="s">
        <v>240</v>
      </c>
      <c r="C38" s="35" t="str">
        <f t="shared" si="0"/>
        <v>36　水道業</v>
      </c>
      <c r="D38" s="36" t="s">
        <v>228</v>
      </c>
      <c r="E38" s="34" t="s">
        <v>240</v>
      </c>
      <c r="F38" s="34" t="str">
        <f t="shared" si="1"/>
        <v>070000　水道業</v>
      </c>
      <c r="G38" s="37" t="s">
        <v>241</v>
      </c>
      <c r="H38" s="34" t="str">
        <f t="shared" si="2"/>
        <v>070000管理，補助的経済活動を行う事業所（36水道業） </v>
      </c>
      <c r="I38" s="32" t="s">
        <v>242</v>
      </c>
    </row>
    <row r="39" spans="1:9" ht="30.75" customHeight="1">
      <c r="A39" s="37" t="s">
        <v>243</v>
      </c>
      <c r="B39" s="34" t="s">
        <v>244</v>
      </c>
      <c r="C39" s="35" t="str">
        <f t="shared" si="0"/>
        <v>37　通信業</v>
      </c>
      <c r="D39" s="36" t="s">
        <v>245</v>
      </c>
      <c r="E39" s="34" t="s">
        <v>244</v>
      </c>
      <c r="F39" s="34" t="str">
        <f t="shared" si="1"/>
        <v>080100　通信業</v>
      </c>
      <c r="G39" s="37" t="s">
        <v>246</v>
      </c>
      <c r="H39" s="34" t="str">
        <f t="shared" si="2"/>
        <v>080100管理，補助的経済活動を行う事業所（37通信業） </v>
      </c>
      <c r="I39" s="32" t="s">
        <v>247</v>
      </c>
    </row>
    <row r="40" spans="1:9" ht="30.75" customHeight="1">
      <c r="A40" s="37" t="s">
        <v>248</v>
      </c>
      <c r="B40" s="34" t="s">
        <v>249</v>
      </c>
      <c r="C40" s="35" t="str">
        <f t="shared" si="0"/>
        <v>38　放送業</v>
      </c>
      <c r="D40" s="36" t="s">
        <v>250</v>
      </c>
      <c r="E40" s="34" t="s">
        <v>249</v>
      </c>
      <c r="F40" s="34" t="str">
        <f t="shared" si="1"/>
        <v>080300　放送業</v>
      </c>
      <c r="G40" s="37" t="s">
        <v>251</v>
      </c>
      <c r="H40" s="34" t="str">
        <f t="shared" si="2"/>
        <v>080300管理，補助的経済活動を行う事業所（38放送業） </v>
      </c>
      <c r="I40" s="32" t="s">
        <v>252</v>
      </c>
    </row>
    <row r="41" spans="1:9" ht="30.75" customHeight="1">
      <c r="A41" s="37" t="s">
        <v>253</v>
      </c>
      <c r="B41" s="34" t="s">
        <v>254</v>
      </c>
      <c r="C41" s="35" t="str">
        <f t="shared" si="0"/>
        <v>39　情報サービス業</v>
      </c>
      <c r="D41" s="36" t="s">
        <v>255</v>
      </c>
      <c r="E41" s="34" t="s">
        <v>254</v>
      </c>
      <c r="F41" s="34" t="str">
        <f t="shared" si="1"/>
        <v>080500　情報サービス業</v>
      </c>
      <c r="G41" s="37" t="s">
        <v>256</v>
      </c>
      <c r="H41" s="34" t="str">
        <f t="shared" si="2"/>
        <v>080500管理，補助的経済活動を行う事業所（39情報サービス業） </v>
      </c>
      <c r="I41" s="32" t="s">
        <v>257</v>
      </c>
    </row>
    <row r="42" spans="1:9" ht="30.75" customHeight="1">
      <c r="A42" s="37" t="s">
        <v>258</v>
      </c>
      <c r="B42" s="34" t="s">
        <v>259</v>
      </c>
      <c r="C42" s="35" t="str">
        <f t="shared" si="0"/>
        <v>40　インターネット附随サービス業</v>
      </c>
      <c r="D42" s="36" t="s">
        <v>260</v>
      </c>
      <c r="E42" s="34" t="s">
        <v>259</v>
      </c>
      <c r="F42" s="34" t="str">
        <f t="shared" si="1"/>
        <v>080700　インターネット附随サービス業</v>
      </c>
      <c r="G42" s="37" t="s">
        <v>261</v>
      </c>
      <c r="H42" s="34" t="str">
        <f t="shared" si="2"/>
        <v>080700管理，補助的経済活動を行う事業所（40インターネット附随サービス業） </v>
      </c>
      <c r="I42" s="32" t="s">
        <v>262</v>
      </c>
    </row>
    <row r="43" spans="1:9" ht="30.75" customHeight="1">
      <c r="A43" s="37" t="s">
        <v>263</v>
      </c>
      <c r="B43" s="34" t="s">
        <v>264</v>
      </c>
      <c r="C43" s="35" t="str">
        <f t="shared" si="0"/>
        <v>41　映像・音声・文字情報制作業</v>
      </c>
      <c r="D43" s="36" t="s">
        <v>265</v>
      </c>
      <c r="E43" s="34" t="s">
        <v>264</v>
      </c>
      <c r="F43" s="34" t="str">
        <f t="shared" si="1"/>
        <v>080900　映像・音声・文字情報制作業</v>
      </c>
      <c r="G43" s="37" t="s">
        <v>266</v>
      </c>
      <c r="H43" s="34" t="str">
        <f t="shared" si="2"/>
        <v>080900管理，補助的経済活動を行う事業所（41映像・音声・文字情報制作業） </v>
      </c>
      <c r="I43" s="32" t="s">
        <v>267</v>
      </c>
    </row>
    <row r="44" spans="1:9" ht="30.75" customHeight="1">
      <c r="A44" s="37" t="s">
        <v>268</v>
      </c>
      <c r="B44" s="34" t="s">
        <v>269</v>
      </c>
      <c r="C44" s="35" t="str">
        <f t="shared" si="0"/>
        <v>42　鉄道業</v>
      </c>
      <c r="D44" s="36" t="s">
        <v>270</v>
      </c>
      <c r="E44" s="34" t="s">
        <v>269</v>
      </c>
      <c r="F44" s="34" t="str">
        <f t="shared" si="1"/>
        <v>090000　鉄道業</v>
      </c>
      <c r="G44" s="37" t="s">
        <v>271</v>
      </c>
      <c r="H44" s="34" t="str">
        <f t="shared" si="2"/>
        <v>090000管理，補助的経済活動を行う事業所（42鉄道業） </v>
      </c>
      <c r="I44" s="32" t="s">
        <v>272</v>
      </c>
    </row>
    <row r="45" spans="1:9" ht="30.75" customHeight="1">
      <c r="A45" s="37" t="s">
        <v>268</v>
      </c>
      <c r="B45" s="34" t="s">
        <v>269</v>
      </c>
      <c r="C45" s="35" t="str">
        <f t="shared" si="0"/>
        <v>42　鉄道業</v>
      </c>
      <c r="D45" s="36" t="s">
        <v>270</v>
      </c>
      <c r="E45" s="34" t="s">
        <v>269</v>
      </c>
      <c r="F45" s="34" t="str">
        <f t="shared" si="1"/>
        <v>090000　鉄道業</v>
      </c>
      <c r="G45" s="37" t="s">
        <v>273</v>
      </c>
      <c r="H45" s="34" t="str">
        <f t="shared" si="2"/>
        <v>090000鉄道業 </v>
      </c>
      <c r="I45" s="32" t="s">
        <v>274</v>
      </c>
    </row>
    <row r="46" spans="1:9" ht="30.75" customHeight="1">
      <c r="A46" s="37" t="s">
        <v>275</v>
      </c>
      <c r="B46" s="34" t="s">
        <v>276</v>
      </c>
      <c r="C46" s="35" t="str">
        <f t="shared" si="0"/>
        <v>43　道路旅客運送業</v>
      </c>
      <c r="D46" s="36" t="s">
        <v>270</v>
      </c>
      <c r="E46" s="34" t="s">
        <v>276</v>
      </c>
      <c r="F46" s="34" t="str">
        <f t="shared" si="1"/>
        <v>090000　道路旅客運送業</v>
      </c>
      <c r="G46" s="37" t="s">
        <v>277</v>
      </c>
      <c r="H46" s="34" t="str">
        <f t="shared" si="2"/>
        <v>090000管理，補助的経済活動を行う事業所（43道路旅客運送業） </v>
      </c>
      <c r="I46" s="32" t="s">
        <v>278</v>
      </c>
    </row>
    <row r="47" spans="1:9" ht="30.75" customHeight="1">
      <c r="A47" s="37" t="s">
        <v>279</v>
      </c>
      <c r="B47" s="34" t="s">
        <v>280</v>
      </c>
      <c r="C47" s="35" t="str">
        <f t="shared" si="0"/>
        <v>44　道路貨物運送業</v>
      </c>
      <c r="D47" s="36" t="s">
        <v>270</v>
      </c>
      <c r="E47" s="34" t="s">
        <v>280</v>
      </c>
      <c r="F47" s="34" t="str">
        <f t="shared" si="1"/>
        <v>090000　道路貨物運送業</v>
      </c>
      <c r="G47" s="37" t="s">
        <v>281</v>
      </c>
      <c r="H47" s="34" t="str">
        <f t="shared" si="2"/>
        <v>090000管理，補助的経済活動を行う事業所（44道路貨物運送業） </v>
      </c>
      <c r="I47" s="32" t="s">
        <v>282</v>
      </c>
    </row>
    <row r="48" spans="1:9" ht="30.75" customHeight="1">
      <c r="A48" s="37" t="s">
        <v>283</v>
      </c>
      <c r="B48" s="34" t="s">
        <v>284</v>
      </c>
      <c r="C48" s="35" t="str">
        <f t="shared" si="0"/>
        <v>45　水運業</v>
      </c>
      <c r="D48" s="36" t="s">
        <v>270</v>
      </c>
      <c r="E48" s="34" t="s">
        <v>284</v>
      </c>
      <c r="F48" s="34" t="str">
        <f t="shared" si="1"/>
        <v>090000　水運業</v>
      </c>
      <c r="G48" s="37" t="s">
        <v>285</v>
      </c>
      <c r="H48" s="34" t="str">
        <f t="shared" si="2"/>
        <v>090000管理，補助的経済活動を行う事業所（45水運業） </v>
      </c>
      <c r="I48" s="32" t="s">
        <v>286</v>
      </c>
    </row>
    <row r="49" spans="1:9" ht="30.75" customHeight="1">
      <c r="A49" s="37" t="s">
        <v>287</v>
      </c>
      <c r="B49" s="34" t="s">
        <v>288</v>
      </c>
      <c r="C49" s="35" t="str">
        <f t="shared" si="0"/>
        <v>46　航空運輸業</v>
      </c>
      <c r="D49" s="36" t="s">
        <v>270</v>
      </c>
      <c r="E49" s="34" t="s">
        <v>288</v>
      </c>
      <c r="F49" s="34" t="str">
        <f t="shared" si="1"/>
        <v>090000　航空運輸業</v>
      </c>
      <c r="G49" s="37" t="s">
        <v>289</v>
      </c>
      <c r="H49" s="34" t="str">
        <f t="shared" si="2"/>
        <v>090000管理，補助的経済活動を行う事業所（46航空運輸業） </v>
      </c>
      <c r="I49" s="32" t="s">
        <v>290</v>
      </c>
    </row>
    <row r="50" spans="1:9" ht="30.75" customHeight="1">
      <c r="A50" s="37" t="s">
        <v>291</v>
      </c>
      <c r="B50" s="34" t="s">
        <v>292</v>
      </c>
      <c r="C50" s="35" t="str">
        <f t="shared" si="0"/>
        <v>47　倉庫業</v>
      </c>
      <c r="D50" s="36" t="s">
        <v>270</v>
      </c>
      <c r="E50" s="34" t="s">
        <v>292</v>
      </c>
      <c r="F50" s="34" t="str">
        <f t="shared" si="1"/>
        <v>090000　倉庫業</v>
      </c>
      <c r="G50" s="37" t="s">
        <v>293</v>
      </c>
      <c r="H50" s="34" t="str">
        <f t="shared" si="2"/>
        <v>090000管理，補助的経済活動を行う事業所（47倉庫業） </v>
      </c>
      <c r="I50" s="32" t="s">
        <v>294</v>
      </c>
    </row>
    <row r="51" spans="1:9" ht="30.75" customHeight="1">
      <c r="A51" s="37" t="s">
        <v>295</v>
      </c>
      <c r="B51" s="34" t="s">
        <v>296</v>
      </c>
      <c r="C51" s="35" t="str">
        <f t="shared" si="0"/>
        <v>48　運輸に附帯するサービス業</v>
      </c>
      <c r="D51" s="36" t="s">
        <v>270</v>
      </c>
      <c r="E51" s="34" t="s">
        <v>296</v>
      </c>
      <c r="F51" s="34" t="str">
        <f t="shared" si="1"/>
        <v>090000　運輸に附帯するサービス業</v>
      </c>
      <c r="G51" s="37" t="s">
        <v>297</v>
      </c>
      <c r="H51" s="34" t="str">
        <f t="shared" si="2"/>
        <v>090000管理，補助的経済活動を行う事業所（48運輸に附帯するサービス業） </v>
      </c>
      <c r="I51" s="32" t="s">
        <v>298</v>
      </c>
    </row>
    <row r="52" spans="1:9" ht="30.75" customHeight="1">
      <c r="A52" s="37" t="s">
        <v>299</v>
      </c>
      <c r="B52" s="34" t="s">
        <v>300</v>
      </c>
      <c r="C52" s="35" t="str">
        <f t="shared" si="0"/>
        <v>49　郵便業（信書便事業を含む）</v>
      </c>
      <c r="D52" s="36" t="s">
        <v>270</v>
      </c>
      <c r="E52" s="34" t="s">
        <v>300</v>
      </c>
      <c r="F52" s="34" t="str">
        <f t="shared" si="1"/>
        <v>090000　郵便業（信書便事業を含む）</v>
      </c>
      <c r="G52" s="37" t="s">
        <v>301</v>
      </c>
      <c r="H52" s="34" t="str">
        <f t="shared" si="2"/>
        <v>090000管理，補助的経済活動を行う事業所（49郵便業） </v>
      </c>
      <c r="I52" s="32" t="s">
        <v>302</v>
      </c>
    </row>
    <row r="53" spans="1:9" ht="30.75" customHeight="1">
      <c r="A53" s="37" t="s">
        <v>303</v>
      </c>
      <c r="B53" s="34" t="s">
        <v>304</v>
      </c>
      <c r="C53" s="35" t="str">
        <f t="shared" si="0"/>
        <v>50　各種商品卸売業</v>
      </c>
      <c r="D53" s="38" t="s">
        <v>305</v>
      </c>
      <c r="E53" s="34" t="s">
        <v>304</v>
      </c>
      <c r="F53" s="34" t="str">
        <f t="shared" si="1"/>
        <v>100100　各種商品卸売業</v>
      </c>
      <c r="G53" s="37" t="s">
        <v>306</v>
      </c>
      <c r="H53" s="34" t="str">
        <f t="shared" si="2"/>
        <v>100100管理，補助的経済活動を行う事業所（50各種商品卸売業） </v>
      </c>
      <c r="I53" s="32" t="s">
        <v>307</v>
      </c>
    </row>
    <row r="54" spans="1:9" ht="30.75" customHeight="1">
      <c r="A54" s="37" t="s">
        <v>308</v>
      </c>
      <c r="B54" s="34" t="s">
        <v>309</v>
      </c>
      <c r="C54" s="35" t="str">
        <f t="shared" si="0"/>
        <v>51　繊維・衣服等卸売業</v>
      </c>
      <c r="D54" s="38" t="s">
        <v>310</v>
      </c>
      <c r="E54" s="34" t="s">
        <v>309</v>
      </c>
      <c r="F54" s="34" t="str">
        <f t="shared" si="1"/>
        <v>100300　繊維・衣服等卸売業</v>
      </c>
      <c r="G54" s="37" t="s">
        <v>311</v>
      </c>
      <c r="H54" s="34" t="str">
        <f t="shared" si="2"/>
        <v>100300管理，補助的経済活動を行う事業所（51繊維・衣服等卸売業） </v>
      </c>
      <c r="I54" s="32" t="s">
        <v>312</v>
      </c>
    </row>
    <row r="55" spans="1:9" ht="30.75" customHeight="1">
      <c r="A55" s="37" t="s">
        <v>313</v>
      </c>
      <c r="B55" s="34" t="s">
        <v>314</v>
      </c>
      <c r="C55" s="35" t="str">
        <f t="shared" si="0"/>
        <v>52　飲食料品卸売業</v>
      </c>
      <c r="D55" s="38" t="s">
        <v>315</v>
      </c>
      <c r="E55" s="34" t="s">
        <v>314</v>
      </c>
      <c r="F55" s="34" t="str">
        <f t="shared" si="1"/>
        <v>100500　飲食料品卸売業</v>
      </c>
      <c r="G55" s="37" t="s">
        <v>316</v>
      </c>
      <c r="H55" s="34" t="str">
        <f t="shared" si="2"/>
        <v>100500管理，補助的経済活動を行う事業所（52飲食料品卸売業） </v>
      </c>
      <c r="I55" s="32" t="s">
        <v>317</v>
      </c>
    </row>
    <row r="56" spans="1:9" ht="30.75" customHeight="1">
      <c r="A56" s="37" t="s">
        <v>318</v>
      </c>
      <c r="B56" s="34" t="s">
        <v>319</v>
      </c>
      <c r="C56" s="35" t="str">
        <f t="shared" si="0"/>
        <v>53　建築材料，鉱物・金属材料等卸売業</v>
      </c>
      <c r="D56" s="38" t="s">
        <v>320</v>
      </c>
      <c r="E56" s="34" t="s">
        <v>319</v>
      </c>
      <c r="F56" s="34" t="str">
        <f t="shared" si="1"/>
        <v>100700　建築材料，鉱物・金属材料等卸売業</v>
      </c>
      <c r="G56" s="37" t="s">
        <v>321</v>
      </c>
      <c r="H56" s="34" t="str">
        <f t="shared" si="2"/>
        <v>100700管理，補助的経済活動を行う事業所（53建築材料，鉱物・金属材料等卸売業） </v>
      </c>
      <c r="I56" s="32" t="s">
        <v>322</v>
      </c>
    </row>
    <row r="57" spans="1:9" ht="30.75" customHeight="1">
      <c r="A57" s="37" t="s">
        <v>323</v>
      </c>
      <c r="B57" s="34" t="s">
        <v>324</v>
      </c>
      <c r="C57" s="35" t="str">
        <f t="shared" si="0"/>
        <v>54　機械器具卸売業</v>
      </c>
      <c r="D57" s="38" t="s">
        <v>325</v>
      </c>
      <c r="E57" s="34" t="s">
        <v>324</v>
      </c>
      <c r="F57" s="34" t="str">
        <f t="shared" si="1"/>
        <v>100900　機械器具卸売業</v>
      </c>
      <c r="G57" s="37" t="s">
        <v>326</v>
      </c>
      <c r="H57" s="34" t="str">
        <f t="shared" si="2"/>
        <v>100900管理，補助的経済活動を行う事業所（54機械器具卸売業） </v>
      </c>
      <c r="I57" s="32" t="s">
        <v>327</v>
      </c>
    </row>
    <row r="58" spans="1:9" ht="30.75" customHeight="1">
      <c r="A58" s="37" t="s">
        <v>328</v>
      </c>
      <c r="B58" s="34" t="s">
        <v>329</v>
      </c>
      <c r="C58" s="35" t="str">
        <f t="shared" si="0"/>
        <v>55　その他の卸売業</v>
      </c>
      <c r="D58" s="38" t="s">
        <v>330</v>
      </c>
      <c r="E58" s="34" t="s">
        <v>329</v>
      </c>
      <c r="F58" s="34" t="str">
        <f t="shared" si="1"/>
        <v>101100　その他の卸売業</v>
      </c>
      <c r="G58" s="37" t="s">
        <v>331</v>
      </c>
      <c r="H58" s="34" t="str">
        <f t="shared" si="2"/>
        <v>101100管理，補助的経済活動を行う事業所（55その他の卸売業） </v>
      </c>
      <c r="I58" s="32" t="s">
        <v>332</v>
      </c>
    </row>
    <row r="59" spans="1:9" ht="30.75" customHeight="1">
      <c r="A59" s="37" t="s">
        <v>333</v>
      </c>
      <c r="B59" s="34" t="s">
        <v>334</v>
      </c>
      <c r="C59" s="35" t="str">
        <f t="shared" si="0"/>
        <v>56　各種商品小売業</v>
      </c>
      <c r="D59" s="38" t="s">
        <v>335</v>
      </c>
      <c r="E59" s="34" t="s">
        <v>334</v>
      </c>
      <c r="F59" s="34" t="str">
        <f t="shared" si="1"/>
        <v>105100　各種商品小売業</v>
      </c>
      <c r="G59" s="37" t="s">
        <v>336</v>
      </c>
      <c r="H59" s="34" t="str">
        <f t="shared" si="2"/>
        <v>105100管理，補助的経済活動を行う事業所（56各種商品小売業） </v>
      </c>
      <c r="I59" s="32" t="s">
        <v>337</v>
      </c>
    </row>
    <row r="60" spans="1:9" ht="30.75" customHeight="1">
      <c r="A60" s="37" t="s">
        <v>338</v>
      </c>
      <c r="B60" s="34" t="s">
        <v>339</v>
      </c>
      <c r="C60" s="35" t="str">
        <f t="shared" si="0"/>
        <v>57　織物・衣服・身の回り品小売業</v>
      </c>
      <c r="D60" s="38" t="s">
        <v>340</v>
      </c>
      <c r="E60" s="34" t="s">
        <v>339</v>
      </c>
      <c r="F60" s="34" t="str">
        <f t="shared" si="1"/>
        <v>105300　織物・衣服・身の回り品小売業</v>
      </c>
      <c r="G60" s="37" t="s">
        <v>341</v>
      </c>
      <c r="H60" s="34" t="str">
        <f t="shared" si="2"/>
        <v>105300管理，補助的経済活動を行う事業所（57織物・衣服・身の回り品小売業） </v>
      </c>
      <c r="I60" s="32" t="s">
        <v>342</v>
      </c>
    </row>
    <row r="61" spans="1:9" ht="30.75" customHeight="1">
      <c r="A61" s="37" t="s">
        <v>343</v>
      </c>
      <c r="B61" s="34" t="s">
        <v>344</v>
      </c>
      <c r="C61" s="35" t="str">
        <f t="shared" si="0"/>
        <v>58　飲食料品小売業</v>
      </c>
      <c r="D61" s="38" t="s">
        <v>345</v>
      </c>
      <c r="E61" s="34" t="s">
        <v>344</v>
      </c>
      <c r="F61" s="34" t="str">
        <f t="shared" si="1"/>
        <v>105500　飲食料品小売業</v>
      </c>
      <c r="G61" s="37" t="s">
        <v>346</v>
      </c>
      <c r="H61" s="34" t="str">
        <f t="shared" si="2"/>
        <v>105500管理，補助的経済活動を行う事業所（58飲食料品小売業） </v>
      </c>
      <c r="I61" s="32" t="s">
        <v>347</v>
      </c>
    </row>
    <row r="62" spans="1:9" ht="30.75" customHeight="1">
      <c r="A62" s="37" t="s">
        <v>348</v>
      </c>
      <c r="B62" s="34" t="s">
        <v>349</v>
      </c>
      <c r="C62" s="35" t="str">
        <f t="shared" si="0"/>
        <v>59　機械器具小売業</v>
      </c>
      <c r="D62" s="38" t="s">
        <v>350</v>
      </c>
      <c r="E62" s="34" t="s">
        <v>351</v>
      </c>
      <c r="F62" s="34" t="str">
        <f t="shared" si="1"/>
        <v>105700自動車・自転車小売業   　　　　</v>
      </c>
      <c r="G62" s="37" t="s">
        <v>352</v>
      </c>
      <c r="H62" s="34" t="str">
        <f t="shared" si="2"/>
        <v>105700管理，補助的経済活動を行う事業所（59機械器具小売業） </v>
      </c>
      <c r="I62" s="32" t="s">
        <v>353</v>
      </c>
    </row>
    <row r="63" spans="1:9" ht="30.75" customHeight="1">
      <c r="A63" s="37" t="s">
        <v>354</v>
      </c>
      <c r="B63" s="34" t="s">
        <v>355</v>
      </c>
      <c r="C63" s="35" t="str">
        <f t="shared" si="0"/>
        <v>60　その他の小売業</v>
      </c>
      <c r="D63" s="38" t="s">
        <v>356</v>
      </c>
      <c r="E63" s="34" t="s">
        <v>357</v>
      </c>
      <c r="F63" s="34" t="str">
        <f t="shared" si="1"/>
        <v>105900家具・じゅう器・機械器具小売業</v>
      </c>
      <c r="G63" s="37" t="s">
        <v>358</v>
      </c>
      <c r="H63" s="34" t="str">
        <f t="shared" si="2"/>
        <v>105900管理，補助的経済活動を行う事業所（60その他の小売業） </v>
      </c>
      <c r="I63" s="32" t="s">
        <v>359</v>
      </c>
    </row>
    <row r="64" spans="1:9" ht="30.75" customHeight="1">
      <c r="A64" s="37" t="s">
        <v>360</v>
      </c>
      <c r="B64" s="34" t="s">
        <v>361</v>
      </c>
      <c r="C64" s="35" t="str">
        <f t="shared" si="0"/>
        <v>61　無店舗小売業</v>
      </c>
      <c r="D64" s="38" t="s">
        <v>362</v>
      </c>
      <c r="E64" s="34" t="s">
        <v>355</v>
      </c>
      <c r="F64" s="34" t="str">
        <f t="shared" si="1"/>
        <v>106100　その他の小売業</v>
      </c>
      <c r="G64" s="37" t="s">
        <v>363</v>
      </c>
      <c r="H64" s="34" t="str">
        <f t="shared" si="2"/>
        <v>106100管理，補助的経済活動を行う事業所（61無店舗小売業） </v>
      </c>
      <c r="I64" s="32" t="s">
        <v>364</v>
      </c>
    </row>
    <row r="65" spans="1:9" ht="30.75" customHeight="1">
      <c r="A65" s="37" t="s">
        <v>365</v>
      </c>
      <c r="B65" s="34" t="s">
        <v>366</v>
      </c>
      <c r="C65" s="35" t="str">
        <f t="shared" si="0"/>
        <v>62　銀行業</v>
      </c>
      <c r="D65" s="38" t="s">
        <v>367</v>
      </c>
      <c r="E65" s="34" t="s">
        <v>366</v>
      </c>
      <c r="F65" s="34" t="str">
        <f t="shared" si="1"/>
        <v>110000　銀行業</v>
      </c>
      <c r="G65" s="37" t="s">
        <v>368</v>
      </c>
      <c r="H65" s="34" t="str">
        <f t="shared" si="2"/>
        <v>110000管理，補助的経済活動を行う事業所（62銀行業） </v>
      </c>
      <c r="I65" s="32" t="s">
        <v>369</v>
      </c>
    </row>
    <row r="66" spans="1:9" ht="30.75" customHeight="1">
      <c r="A66" s="37" t="s">
        <v>370</v>
      </c>
      <c r="B66" s="34" t="s">
        <v>371</v>
      </c>
      <c r="C66" s="35" t="str">
        <f t="shared" si="0"/>
        <v>63　協同組織金融業</v>
      </c>
      <c r="D66" s="38" t="s">
        <v>367</v>
      </c>
      <c r="E66" s="34" t="s">
        <v>371</v>
      </c>
      <c r="F66" s="34" t="str">
        <f t="shared" si="1"/>
        <v>110000　協同組織金融業</v>
      </c>
      <c r="G66" s="37" t="s">
        <v>372</v>
      </c>
      <c r="H66" s="34" t="str">
        <f t="shared" si="2"/>
        <v>110000管理，補助的経済活動を行う事業所（63協同組織金融業） </v>
      </c>
      <c r="I66" s="32" t="s">
        <v>373</v>
      </c>
    </row>
    <row r="67" spans="1:9" ht="30.75" customHeight="1">
      <c r="A67" s="37">
        <v>64</v>
      </c>
      <c r="B67" s="34" t="s">
        <v>374</v>
      </c>
      <c r="C67" s="35" t="str">
        <f aca="true" t="shared" si="3" ref="C67:C97">CONCATENATE(A67,B67)</f>
        <v>64　貸金業，クレジットカード業等非預金信用機関</v>
      </c>
      <c r="D67" s="38" t="s">
        <v>367</v>
      </c>
      <c r="E67" s="34" t="s">
        <v>374</v>
      </c>
      <c r="F67" s="34" t="str">
        <f aca="true" t="shared" si="4" ref="F67:F97">CONCATENATE(D67,E67)</f>
        <v>110000　貸金業，クレジットカード業等非預金信用機関</v>
      </c>
      <c r="G67" s="37" t="s">
        <v>375</v>
      </c>
      <c r="H67" s="34" t="str">
        <f aca="true" t="shared" si="5" ref="H67:H97">CONCATENATE(D67,I67)</f>
        <v>110000管理，補助的経済活動を行う事業所（64貸金業，クレジットカード業等非預金信用機関） </v>
      </c>
      <c r="I67" s="32" t="s">
        <v>376</v>
      </c>
    </row>
    <row r="68" spans="1:9" ht="30.75" customHeight="1">
      <c r="A68" s="37" t="s">
        <v>377</v>
      </c>
      <c r="B68" s="34" t="s">
        <v>378</v>
      </c>
      <c r="C68" s="35" t="str">
        <f t="shared" si="3"/>
        <v>65　金融商品取引業，商品先物取引業</v>
      </c>
      <c r="D68" s="38" t="s">
        <v>367</v>
      </c>
      <c r="E68" s="34" t="s">
        <v>378</v>
      </c>
      <c r="F68" s="34" t="str">
        <f t="shared" si="4"/>
        <v>110000　金融商品取引業，商品先物取引業</v>
      </c>
      <c r="G68" s="37" t="s">
        <v>379</v>
      </c>
      <c r="H68" s="34" t="str">
        <f t="shared" si="5"/>
        <v>110000管理，補助的経済活動を行う事業所（65金融商品取引業，商品先物取引業） </v>
      </c>
      <c r="I68" s="32" t="s">
        <v>380</v>
      </c>
    </row>
    <row r="69" spans="1:9" ht="30.75" customHeight="1">
      <c r="A69" s="37" t="s">
        <v>381</v>
      </c>
      <c r="B69" s="34" t="s">
        <v>382</v>
      </c>
      <c r="C69" s="35" t="str">
        <f t="shared" si="3"/>
        <v>66　補助的金融業等</v>
      </c>
      <c r="D69" s="38" t="s">
        <v>367</v>
      </c>
      <c r="E69" s="34" t="s">
        <v>382</v>
      </c>
      <c r="F69" s="34" t="str">
        <f t="shared" si="4"/>
        <v>110000　補助的金融業等</v>
      </c>
      <c r="G69" s="37" t="s">
        <v>383</v>
      </c>
      <c r="H69" s="34" t="str">
        <f t="shared" si="5"/>
        <v>110000管理，補助的経済活動を行う事業所（66補助的金融業等） </v>
      </c>
      <c r="I69" s="32" t="s">
        <v>384</v>
      </c>
    </row>
    <row r="70" spans="1:9" ht="30.75" customHeight="1">
      <c r="A70" s="37" t="s">
        <v>385</v>
      </c>
      <c r="B70" s="34" t="s">
        <v>386</v>
      </c>
      <c r="C70" s="35" t="str">
        <f t="shared" si="3"/>
        <v>67　保険業（保険媒介代理業，保険サービス業を含む）</v>
      </c>
      <c r="D70" s="38" t="s">
        <v>367</v>
      </c>
      <c r="E70" s="34" t="s">
        <v>386</v>
      </c>
      <c r="F70" s="34" t="str">
        <f t="shared" si="4"/>
        <v>110000　保険業（保険媒介代理業，保険サービス業を含む）</v>
      </c>
      <c r="G70" s="37" t="s">
        <v>387</v>
      </c>
      <c r="H70" s="34" t="str">
        <f t="shared" si="5"/>
        <v>110000管理，補助的経済活動を行う事業所（67保険業） </v>
      </c>
      <c r="I70" s="32" t="s">
        <v>388</v>
      </c>
    </row>
    <row r="71" spans="1:9" ht="30.75" customHeight="1">
      <c r="A71" s="37" t="s">
        <v>389</v>
      </c>
      <c r="B71" s="34" t="s">
        <v>390</v>
      </c>
      <c r="C71" s="35" t="str">
        <f t="shared" si="3"/>
        <v>68　不動産取引業</v>
      </c>
      <c r="D71" s="38" t="s">
        <v>391</v>
      </c>
      <c r="E71" s="34" t="s">
        <v>390</v>
      </c>
      <c r="F71" s="34" t="str">
        <f t="shared" si="4"/>
        <v>120000　不動産取引業</v>
      </c>
      <c r="G71" s="37" t="s">
        <v>392</v>
      </c>
      <c r="H71" s="34" t="str">
        <f t="shared" si="5"/>
        <v>120000管理，補助的経済活動を行う事業所（68不動産取引業） </v>
      </c>
      <c r="I71" s="32" t="s">
        <v>393</v>
      </c>
    </row>
    <row r="72" spans="1:9" ht="30.75" customHeight="1">
      <c r="A72" s="37" t="s">
        <v>394</v>
      </c>
      <c r="B72" s="34" t="s">
        <v>395</v>
      </c>
      <c r="C72" s="35" t="str">
        <f t="shared" si="3"/>
        <v>69　不動産賃貸業・管理業</v>
      </c>
      <c r="D72" s="38" t="s">
        <v>391</v>
      </c>
      <c r="E72" s="34" t="s">
        <v>395</v>
      </c>
      <c r="F72" s="34" t="str">
        <f t="shared" si="4"/>
        <v>120000　不動産賃貸業・管理業</v>
      </c>
      <c r="G72" s="37" t="s">
        <v>396</v>
      </c>
      <c r="H72" s="34" t="str">
        <f t="shared" si="5"/>
        <v>120000管理，補助的経済活動を行う事業所（69不動産賃貸業・管理業） </v>
      </c>
      <c r="I72" s="32" t="s">
        <v>397</v>
      </c>
    </row>
    <row r="73" spans="1:9" ht="30.75" customHeight="1">
      <c r="A73" s="37" t="s">
        <v>398</v>
      </c>
      <c r="B73" s="34" t="s">
        <v>399</v>
      </c>
      <c r="C73" s="35" t="str">
        <f t="shared" si="3"/>
        <v>70　物品賃貸業</v>
      </c>
      <c r="D73" s="38" t="s">
        <v>400</v>
      </c>
      <c r="E73" s="34" t="s">
        <v>399</v>
      </c>
      <c r="F73" s="34" t="str">
        <f t="shared" si="4"/>
        <v>171700　物品賃貸業</v>
      </c>
      <c r="G73" s="37" t="s">
        <v>401</v>
      </c>
      <c r="H73" s="34" t="str">
        <f t="shared" si="5"/>
        <v>171700管理，補助的経済活動を行う事業所（70物品賃貸業） </v>
      </c>
      <c r="I73" s="32" t="s">
        <v>402</v>
      </c>
    </row>
    <row r="74" spans="1:9" ht="30.75" customHeight="1">
      <c r="A74" s="37" t="s">
        <v>403</v>
      </c>
      <c r="B74" s="34" t="s">
        <v>404</v>
      </c>
      <c r="C74" s="35" t="str">
        <f t="shared" si="3"/>
        <v>71　学術・開発研究機関</v>
      </c>
      <c r="D74" s="38" t="s">
        <v>405</v>
      </c>
      <c r="E74" s="34" t="s">
        <v>404</v>
      </c>
      <c r="F74" s="34" t="str">
        <f t="shared" si="4"/>
        <v>170300　学術・開発研究機関</v>
      </c>
      <c r="G74" s="37" t="s">
        <v>406</v>
      </c>
      <c r="H74" s="34" t="str">
        <f t="shared" si="5"/>
        <v>170300管理，補助的経済活動を行う事業所（71学術・開発研究機関） </v>
      </c>
      <c r="I74" s="32" t="s">
        <v>407</v>
      </c>
    </row>
    <row r="75" spans="1:9" ht="30.75" customHeight="1">
      <c r="A75" s="37">
        <v>72</v>
      </c>
      <c r="B75" s="39" t="s">
        <v>408</v>
      </c>
      <c r="C75" s="35" t="str">
        <f t="shared" si="3"/>
        <v>72専門サービス業</v>
      </c>
      <c r="D75" s="38" t="s">
        <v>409</v>
      </c>
      <c r="E75" s="34" t="s">
        <v>408</v>
      </c>
      <c r="F75" s="34" t="str">
        <f t="shared" si="4"/>
        <v>170100専門サービス業</v>
      </c>
      <c r="G75" s="37" t="s">
        <v>410</v>
      </c>
      <c r="H75" s="34" t="str">
        <f t="shared" si="5"/>
        <v>170100管理，補助的経済活動を行う事業所（72専門サービス業） </v>
      </c>
      <c r="I75" s="32" t="s">
        <v>411</v>
      </c>
    </row>
    <row r="76" spans="1:9" ht="30.75" customHeight="1">
      <c r="A76" s="37">
        <v>73</v>
      </c>
      <c r="B76" s="39" t="s">
        <v>412</v>
      </c>
      <c r="C76" s="35" t="str">
        <f t="shared" si="3"/>
        <v>73広告業</v>
      </c>
      <c r="D76" s="38" t="s">
        <v>413</v>
      </c>
      <c r="E76" s="34" t="s">
        <v>414</v>
      </c>
      <c r="F76" s="34" t="str">
        <f t="shared" si="4"/>
        <v>171900　広告業</v>
      </c>
      <c r="G76" s="37" t="s">
        <v>415</v>
      </c>
      <c r="H76" s="34" t="str">
        <f t="shared" si="5"/>
        <v>171900管理，補助的経済活動を行う事業所（73広告業） </v>
      </c>
      <c r="I76" s="32" t="s">
        <v>416</v>
      </c>
    </row>
    <row r="77" spans="1:9" ht="30.75" customHeight="1">
      <c r="A77" s="37" t="s">
        <v>417</v>
      </c>
      <c r="B77" s="34" t="s">
        <v>418</v>
      </c>
      <c r="C77" s="35" t="str">
        <f t="shared" si="3"/>
        <v>74　技術サービス業（他に分類されないもの）</v>
      </c>
      <c r="D77" s="38" t="s">
        <v>409</v>
      </c>
      <c r="E77" s="39" t="s">
        <v>419</v>
      </c>
      <c r="F77" s="34" t="str">
        <f t="shared" si="4"/>
        <v>170100専門サービス業</v>
      </c>
      <c r="G77" s="37" t="s">
        <v>420</v>
      </c>
      <c r="H77" s="34" t="str">
        <f t="shared" si="5"/>
        <v>170100管理，補助的経済活動を行う事業所（74技術サービス業） </v>
      </c>
      <c r="I77" s="32" t="s">
        <v>421</v>
      </c>
    </row>
    <row r="78" spans="1:9" ht="30.75" customHeight="1">
      <c r="A78" s="37">
        <v>75</v>
      </c>
      <c r="B78" s="34" t="s">
        <v>422</v>
      </c>
      <c r="C78" s="35" t="str">
        <f t="shared" si="3"/>
        <v>75　宿泊業</v>
      </c>
      <c r="D78" s="38" t="s">
        <v>423</v>
      </c>
      <c r="E78" s="34" t="s">
        <v>422</v>
      </c>
      <c r="F78" s="34" t="str">
        <f t="shared" si="4"/>
        <v>130500　宿泊業</v>
      </c>
      <c r="G78" s="37" t="s">
        <v>424</v>
      </c>
      <c r="H78" s="34" t="str">
        <f t="shared" si="5"/>
        <v>130500管理，補助的経済活動を行う事業所（75宿泊業） </v>
      </c>
      <c r="I78" s="32" t="s">
        <v>425</v>
      </c>
    </row>
    <row r="79" spans="1:9" ht="30.75" customHeight="1">
      <c r="A79" s="37">
        <v>76</v>
      </c>
      <c r="B79" s="34" t="s">
        <v>426</v>
      </c>
      <c r="C79" s="35" t="str">
        <f t="shared" si="3"/>
        <v>76　飲食店</v>
      </c>
      <c r="D79" s="38" t="s">
        <v>427</v>
      </c>
      <c r="E79" s="34" t="s">
        <v>428</v>
      </c>
      <c r="F79" s="34" t="str">
        <f t="shared" si="4"/>
        <v>130100一般飲食店　</v>
      </c>
      <c r="G79" s="37" t="s">
        <v>429</v>
      </c>
      <c r="H79" s="34" t="str">
        <f t="shared" si="5"/>
        <v>130100管理，補助的経済活動を行う事業所（76飲食店） </v>
      </c>
      <c r="I79" s="32" t="s">
        <v>430</v>
      </c>
    </row>
    <row r="80" spans="1:9" ht="30.75" customHeight="1">
      <c r="A80" s="37" t="s">
        <v>431</v>
      </c>
      <c r="B80" s="34" t="s">
        <v>432</v>
      </c>
      <c r="C80" s="35" t="str">
        <f t="shared" si="3"/>
        <v>77　持ち帰り・配達飲食サービス業</v>
      </c>
      <c r="D80" s="38" t="s">
        <v>345</v>
      </c>
      <c r="E80" s="34" t="s">
        <v>344</v>
      </c>
      <c r="F80" s="34" t="str">
        <f t="shared" si="4"/>
        <v>105500　飲食料品小売業</v>
      </c>
      <c r="G80" s="37" t="s">
        <v>433</v>
      </c>
      <c r="H80" s="34" t="str">
        <f t="shared" si="5"/>
        <v>105500管理，補助的経済活動を行う事業所（77持ち帰り・配達飲食サービス業） </v>
      </c>
      <c r="I80" s="32" t="s">
        <v>434</v>
      </c>
    </row>
    <row r="81" spans="1:9" ht="30.75" customHeight="1">
      <c r="A81" s="37">
        <v>78</v>
      </c>
      <c r="B81" s="34" t="s">
        <v>435</v>
      </c>
      <c r="C81" s="35" t="str">
        <f t="shared" si="3"/>
        <v>78　洗濯・理容・美容・浴場業</v>
      </c>
      <c r="D81" s="38" t="s">
        <v>436</v>
      </c>
      <c r="E81" s="34" t="s">
        <v>435</v>
      </c>
      <c r="F81" s="34" t="str">
        <f t="shared" si="4"/>
        <v>170500　洗濯・理容・美容・浴場業</v>
      </c>
      <c r="G81" s="37" t="s">
        <v>437</v>
      </c>
      <c r="H81" s="34" t="str">
        <f t="shared" si="5"/>
        <v>170500管理，補助的経済活動を行う事業所（78洗濯・理容・美容・浴場業） </v>
      </c>
      <c r="I81" s="32" t="s">
        <v>438</v>
      </c>
    </row>
    <row r="82" spans="1:9" ht="30.75" customHeight="1">
      <c r="A82" s="37" t="s">
        <v>439</v>
      </c>
      <c r="B82" s="34" t="s">
        <v>440</v>
      </c>
      <c r="C82" s="35" t="str">
        <f t="shared" si="3"/>
        <v>79　その他の生活関連サービス業</v>
      </c>
      <c r="D82" s="38" t="s">
        <v>441</v>
      </c>
      <c r="E82" s="34" t="s">
        <v>440</v>
      </c>
      <c r="F82" s="34" t="str">
        <f t="shared" si="4"/>
        <v>170700　その他の生活関連サービス業</v>
      </c>
      <c r="G82" s="37" t="s">
        <v>442</v>
      </c>
      <c r="H82" s="34" t="str">
        <f t="shared" si="5"/>
        <v>170700管理，補助的経済活動を行う事業所（79その他の生活関連サービス業） </v>
      </c>
      <c r="I82" s="32" t="s">
        <v>443</v>
      </c>
    </row>
    <row r="83" spans="1:9" ht="30.75" customHeight="1">
      <c r="A83" s="37" t="s">
        <v>444</v>
      </c>
      <c r="B83" s="34" t="s">
        <v>445</v>
      </c>
      <c r="C83" s="35" t="str">
        <f t="shared" si="3"/>
        <v>80　娯楽業</v>
      </c>
      <c r="D83" s="38" t="s">
        <v>446</v>
      </c>
      <c r="E83" s="34" t="s">
        <v>445</v>
      </c>
      <c r="F83" s="34" t="str">
        <f t="shared" si="4"/>
        <v>170900　娯楽業</v>
      </c>
      <c r="G83" s="37" t="s">
        <v>447</v>
      </c>
      <c r="H83" s="34" t="str">
        <f t="shared" si="5"/>
        <v>170900管理，補助的経済活動を行う事業所（80娯楽業） </v>
      </c>
      <c r="I83" s="32" t="s">
        <v>448</v>
      </c>
    </row>
    <row r="84" spans="1:9" ht="30.75" customHeight="1">
      <c r="A84" s="37" t="s">
        <v>449</v>
      </c>
      <c r="B84" s="34" t="s">
        <v>450</v>
      </c>
      <c r="C84" s="35" t="str">
        <f t="shared" si="3"/>
        <v>81　学校教育</v>
      </c>
      <c r="D84" s="38" t="s">
        <v>451</v>
      </c>
      <c r="E84" s="34" t="s">
        <v>450</v>
      </c>
      <c r="F84" s="34" t="str">
        <f t="shared" si="4"/>
        <v>150000　学校教育</v>
      </c>
      <c r="G84" s="37" t="s">
        <v>452</v>
      </c>
      <c r="H84" s="34" t="str">
        <f t="shared" si="5"/>
        <v>150000管理，補助的経済活動を行う事業所（81学校教育） </v>
      </c>
      <c r="I84" s="32" t="s">
        <v>453</v>
      </c>
    </row>
    <row r="85" spans="1:9" ht="30.75" customHeight="1">
      <c r="A85" s="37">
        <v>82</v>
      </c>
      <c r="B85" s="34" t="s">
        <v>454</v>
      </c>
      <c r="C85" s="35" t="str">
        <f t="shared" si="3"/>
        <v>82　その他の教育，学習支援業</v>
      </c>
      <c r="D85" s="38" t="s">
        <v>451</v>
      </c>
      <c r="E85" s="34" t="s">
        <v>454</v>
      </c>
      <c r="F85" s="34" t="str">
        <f t="shared" si="4"/>
        <v>150000　その他の教育，学習支援業</v>
      </c>
      <c r="G85" s="37" t="s">
        <v>455</v>
      </c>
      <c r="H85" s="34" t="str">
        <f t="shared" si="5"/>
        <v>150000管理，補助的経済活動を行う事業所（82その他の教育，学習支援業） </v>
      </c>
      <c r="I85" s="32" t="s">
        <v>456</v>
      </c>
    </row>
    <row r="86" spans="1:9" ht="30.75" customHeight="1">
      <c r="A86" s="37" t="s">
        <v>457</v>
      </c>
      <c r="B86" s="34" t="s">
        <v>458</v>
      </c>
      <c r="C86" s="35" t="str">
        <f t="shared" si="3"/>
        <v>83　医療業</v>
      </c>
      <c r="D86" s="38" t="s">
        <v>459</v>
      </c>
      <c r="E86" s="34" t="s">
        <v>458</v>
      </c>
      <c r="F86" s="34" t="str">
        <f t="shared" si="4"/>
        <v>140100　医療業</v>
      </c>
      <c r="G86" s="37" t="s">
        <v>460</v>
      </c>
      <c r="H86" s="34" t="str">
        <f t="shared" si="5"/>
        <v>140100管理，補助的経済活動を行う事業所（83医療業） </v>
      </c>
      <c r="I86" s="32" t="s">
        <v>461</v>
      </c>
    </row>
    <row r="87" spans="1:9" ht="30.75" customHeight="1">
      <c r="A87" s="37" t="s">
        <v>462</v>
      </c>
      <c r="B87" s="34" t="s">
        <v>463</v>
      </c>
      <c r="C87" s="35" t="str">
        <f t="shared" si="3"/>
        <v>84　保健衛生</v>
      </c>
      <c r="D87" s="38" t="s">
        <v>464</v>
      </c>
      <c r="E87" s="34" t="s">
        <v>463</v>
      </c>
      <c r="F87" s="34" t="str">
        <f t="shared" si="4"/>
        <v>140300　保健衛生</v>
      </c>
      <c r="G87" s="37" t="s">
        <v>465</v>
      </c>
      <c r="H87" s="34" t="str">
        <f t="shared" si="5"/>
        <v>140300管理，補助的経済活動を行う事業所（84保健衛生） </v>
      </c>
      <c r="I87" s="32" t="s">
        <v>466</v>
      </c>
    </row>
    <row r="88" spans="1:9" ht="30.75" customHeight="1">
      <c r="A88" s="37" t="s">
        <v>467</v>
      </c>
      <c r="B88" s="34" t="s">
        <v>468</v>
      </c>
      <c r="C88" s="35" t="str">
        <f t="shared" si="3"/>
        <v>85　社会保険・社会福祉・介護事業</v>
      </c>
      <c r="D88" s="38" t="s">
        <v>469</v>
      </c>
      <c r="E88" s="34" t="s">
        <v>468</v>
      </c>
      <c r="F88" s="34" t="str">
        <f t="shared" si="4"/>
        <v>140500　社会保険・社会福祉・介護事業</v>
      </c>
      <c r="G88" s="37" t="s">
        <v>470</v>
      </c>
      <c r="H88" s="34" t="str">
        <f t="shared" si="5"/>
        <v>140500管理，補助的経済活動を行う事業所（85社会保険・社会福祉・介護事業） </v>
      </c>
      <c r="I88" s="32" t="s">
        <v>471</v>
      </c>
    </row>
    <row r="89" spans="1:9" ht="30.75" customHeight="1">
      <c r="A89" s="37" t="s">
        <v>472</v>
      </c>
      <c r="B89" s="34" t="s">
        <v>473</v>
      </c>
      <c r="C89" s="35" t="str">
        <f t="shared" si="3"/>
        <v>86　郵便局</v>
      </c>
      <c r="D89" s="38" t="s">
        <v>474</v>
      </c>
      <c r="E89" s="34" t="s">
        <v>473</v>
      </c>
      <c r="F89" s="34" t="str">
        <f t="shared" si="4"/>
        <v>160000　郵便局</v>
      </c>
      <c r="G89" s="37" t="s">
        <v>475</v>
      </c>
      <c r="H89" s="34" t="str">
        <f t="shared" si="5"/>
        <v>160000管理，補助的経済活動を行う事業所（86郵便局） </v>
      </c>
      <c r="I89" s="32" t="s">
        <v>476</v>
      </c>
    </row>
    <row r="90" spans="1:9" ht="30.75" customHeight="1">
      <c r="A90" s="37" t="s">
        <v>477</v>
      </c>
      <c r="B90" s="34" t="s">
        <v>478</v>
      </c>
      <c r="C90" s="35" t="str">
        <f t="shared" si="3"/>
        <v>87　協同組合（他に分類されないもの）</v>
      </c>
      <c r="D90" s="38" t="s">
        <v>474</v>
      </c>
      <c r="E90" s="34" t="s">
        <v>478</v>
      </c>
      <c r="F90" s="34" t="str">
        <f t="shared" si="4"/>
        <v>160000　協同組合（他に分類されないもの）</v>
      </c>
      <c r="G90" s="37" t="s">
        <v>479</v>
      </c>
      <c r="H90" s="34" t="str">
        <f t="shared" si="5"/>
        <v>160000管理，補助的経済活動を行う事業所（87協同組合） </v>
      </c>
      <c r="I90" s="32" t="s">
        <v>480</v>
      </c>
    </row>
    <row r="91" spans="1:9" ht="30.75" customHeight="1">
      <c r="A91" s="37" t="s">
        <v>481</v>
      </c>
      <c r="B91" s="34" t="s">
        <v>482</v>
      </c>
      <c r="C91" s="35" t="str">
        <f t="shared" si="3"/>
        <v>88　廃棄物処理業</v>
      </c>
      <c r="D91" s="38" t="s">
        <v>483</v>
      </c>
      <c r="E91" s="34" t="s">
        <v>482</v>
      </c>
      <c r="F91" s="34" t="str">
        <f t="shared" si="4"/>
        <v>171100　廃棄物処理業</v>
      </c>
      <c r="G91" s="37" t="s">
        <v>484</v>
      </c>
      <c r="H91" s="34" t="str">
        <f t="shared" si="5"/>
        <v>171100管理，補助的経済活動を行う事業所（88廃棄物処理業） </v>
      </c>
      <c r="I91" s="32" t="s">
        <v>485</v>
      </c>
    </row>
    <row r="92" spans="1:9" ht="30.75" customHeight="1">
      <c r="A92" s="37" t="s">
        <v>486</v>
      </c>
      <c r="B92" s="34" t="s">
        <v>487</v>
      </c>
      <c r="C92" s="35" t="str">
        <f t="shared" si="3"/>
        <v>89　自動車整備業</v>
      </c>
      <c r="D92" s="38" t="s">
        <v>488</v>
      </c>
      <c r="E92" s="34" t="s">
        <v>487</v>
      </c>
      <c r="F92" s="34" t="str">
        <f t="shared" si="4"/>
        <v>171300　自動車整備業</v>
      </c>
      <c r="G92" s="37" t="s">
        <v>489</v>
      </c>
      <c r="H92" s="34" t="str">
        <f t="shared" si="5"/>
        <v>171300管理，補助的経済活動を行う事業所（89自動車整備業） </v>
      </c>
      <c r="I92" s="32" t="s">
        <v>490</v>
      </c>
    </row>
    <row r="93" spans="1:9" ht="30.75" customHeight="1">
      <c r="A93" s="37" t="s">
        <v>491</v>
      </c>
      <c r="B93" s="34" t="s">
        <v>492</v>
      </c>
      <c r="C93" s="35" t="str">
        <f t="shared" si="3"/>
        <v>90　機械等修理業（別掲を除く）</v>
      </c>
      <c r="D93" s="38" t="s">
        <v>493</v>
      </c>
      <c r="E93" s="34" t="s">
        <v>492</v>
      </c>
      <c r="F93" s="34" t="str">
        <f t="shared" si="4"/>
        <v>171500　機械等修理業（別掲を除く）</v>
      </c>
      <c r="G93" s="37" t="s">
        <v>494</v>
      </c>
      <c r="H93" s="34" t="str">
        <f t="shared" si="5"/>
        <v>171500管理，補助的経済活動を行う事業所（90機械等修理業） </v>
      </c>
      <c r="I93" s="32" t="s">
        <v>495</v>
      </c>
    </row>
    <row r="94" spans="1:9" ht="30.75" customHeight="1">
      <c r="A94" s="37">
        <v>91</v>
      </c>
      <c r="B94" s="40" t="s">
        <v>496</v>
      </c>
      <c r="C94" s="35" t="str">
        <f t="shared" si="3"/>
        <v>91　職業紹介・労働者派遣業</v>
      </c>
      <c r="D94" s="38" t="s">
        <v>497</v>
      </c>
      <c r="E94" s="34" t="s">
        <v>498</v>
      </c>
      <c r="F94" s="34" t="str">
        <f t="shared" si="4"/>
        <v>172100　その他の事業サービス業</v>
      </c>
      <c r="G94" s="37" t="s">
        <v>499</v>
      </c>
      <c r="H94" s="34" t="str">
        <f t="shared" si="5"/>
        <v>172100管理，補助的経済活動を行う事業所（91職業紹介・労働者派遣業） </v>
      </c>
      <c r="I94" s="32" t="s">
        <v>500</v>
      </c>
    </row>
    <row r="95" spans="1:9" ht="30.75" customHeight="1">
      <c r="A95" s="37" t="s">
        <v>501</v>
      </c>
      <c r="B95" s="34" t="s">
        <v>498</v>
      </c>
      <c r="C95" s="35" t="str">
        <f t="shared" si="3"/>
        <v>92　その他の事業サービス業</v>
      </c>
      <c r="D95" s="38" t="s">
        <v>497</v>
      </c>
      <c r="E95" s="34" t="s">
        <v>498</v>
      </c>
      <c r="F95" s="34" t="str">
        <f t="shared" si="4"/>
        <v>172100　その他の事業サービス業</v>
      </c>
      <c r="G95" s="37" t="s">
        <v>502</v>
      </c>
      <c r="H95" s="34" t="str">
        <f t="shared" si="5"/>
        <v>172100管理，補助的経済活動を行う事業所（92その他の事業サービス業） </v>
      </c>
      <c r="I95" s="32" t="s">
        <v>503</v>
      </c>
    </row>
    <row r="96" spans="1:9" ht="30.75" customHeight="1">
      <c r="A96" s="37" t="s">
        <v>504</v>
      </c>
      <c r="B96" s="34" t="s">
        <v>505</v>
      </c>
      <c r="C96" s="35" t="str">
        <f t="shared" si="3"/>
        <v>93　政治・経済・文化団体</v>
      </c>
      <c r="D96" s="38" t="s">
        <v>506</v>
      </c>
      <c r="E96" s="34" t="s">
        <v>505</v>
      </c>
      <c r="F96" s="34" t="str">
        <f t="shared" si="4"/>
        <v>172300　政治・経済・文化団体</v>
      </c>
      <c r="G96" s="37" t="s">
        <v>507</v>
      </c>
      <c r="H96" s="34" t="str">
        <f t="shared" si="5"/>
        <v>172300経済団体 </v>
      </c>
      <c r="I96" s="32" t="s">
        <v>508</v>
      </c>
    </row>
    <row r="97" spans="1:9" ht="30.75" customHeight="1">
      <c r="A97" s="37" t="s">
        <v>509</v>
      </c>
      <c r="B97" s="34" t="s">
        <v>510</v>
      </c>
      <c r="C97" s="35" t="str">
        <f t="shared" si="3"/>
        <v>94　宗教</v>
      </c>
      <c r="D97" s="38" t="s">
        <v>506</v>
      </c>
      <c r="E97" s="34" t="s">
        <v>510</v>
      </c>
      <c r="F97" s="34" t="str">
        <f t="shared" si="4"/>
        <v>172300　宗教</v>
      </c>
      <c r="G97" s="37" t="s">
        <v>511</v>
      </c>
      <c r="H97" s="34" t="str">
        <f t="shared" si="5"/>
        <v>172300神道系宗教 </v>
      </c>
      <c r="I97" s="32" t="s">
        <v>512</v>
      </c>
    </row>
    <row r="98" spans="1:9" ht="30.75" customHeight="1">
      <c r="A98" s="37" t="s">
        <v>513</v>
      </c>
      <c r="B98" s="34" t="s">
        <v>514</v>
      </c>
      <c r="C98" s="35" t="str">
        <f>CONCATENATE(A98,B98)</f>
        <v>95　その他のサービス業</v>
      </c>
      <c r="D98" s="38" t="s">
        <v>506</v>
      </c>
      <c r="E98" s="34" t="s">
        <v>514</v>
      </c>
      <c r="F98" s="34" t="str">
        <f>CONCATENATE(D98,E98)</f>
        <v>172300　その他のサービス業</v>
      </c>
      <c r="G98" s="37" t="s">
        <v>515</v>
      </c>
      <c r="H98" s="34" t="str">
        <f>CONCATENATE(D98,I98)</f>
        <v>172300管理，補助的経済活動を行う事業所（95その他のサービス業） </v>
      </c>
      <c r="I98" s="32" t="s">
        <v>516</v>
      </c>
    </row>
    <row r="99" spans="1:9" ht="30.75" customHeight="1">
      <c r="A99" s="37" t="s">
        <v>517</v>
      </c>
      <c r="B99" s="34" t="s">
        <v>518</v>
      </c>
      <c r="C99" s="35" t="str">
        <f>CONCATENATE(A99,B99)</f>
        <v>96　外国公務</v>
      </c>
      <c r="D99" s="38" t="s">
        <v>506</v>
      </c>
      <c r="E99" s="34" t="s">
        <v>518</v>
      </c>
      <c r="F99" s="34" t="str">
        <f>CONCATENATE(D99,E99)</f>
        <v>172300　外国公務</v>
      </c>
      <c r="G99" s="37" t="s">
        <v>519</v>
      </c>
      <c r="H99" s="34" t="str">
        <f>CONCATENATE(D99,I99)</f>
        <v>172300外国公館 </v>
      </c>
      <c r="I99" s="32" t="s">
        <v>520</v>
      </c>
    </row>
    <row r="100" spans="1:9" ht="30.75" customHeight="1">
      <c r="A100" s="37">
        <v>97</v>
      </c>
      <c r="B100" s="34" t="s">
        <v>521</v>
      </c>
      <c r="C100" s="35" t="str">
        <f>CONCATENATE(A100,B100)</f>
        <v>97　国家公務</v>
      </c>
      <c r="D100" s="38" t="s">
        <v>506</v>
      </c>
      <c r="E100" s="34" t="s">
        <v>521</v>
      </c>
      <c r="F100" s="34" t="str">
        <f>CONCATENATE(D100,E100)</f>
        <v>172300　国家公務</v>
      </c>
      <c r="G100" s="37" t="s">
        <v>522</v>
      </c>
      <c r="H100" s="34" t="str">
        <f>CONCATENATE(D100,I100)</f>
        <v>172300立法機関 </v>
      </c>
      <c r="I100" s="32" t="s">
        <v>523</v>
      </c>
    </row>
    <row r="101" spans="1:9" ht="30.75" customHeight="1">
      <c r="A101" s="37" t="s">
        <v>524</v>
      </c>
      <c r="B101" s="34" t="s">
        <v>525</v>
      </c>
      <c r="C101" s="35" t="str">
        <f>CONCATENATE(A101,B101)</f>
        <v>98　地方公務</v>
      </c>
      <c r="D101" s="38" t="s">
        <v>506</v>
      </c>
      <c r="E101" s="34" t="s">
        <v>525</v>
      </c>
      <c r="F101" s="34" t="str">
        <f>CONCATENATE(D101,E101)</f>
        <v>172300　地方公務</v>
      </c>
      <c r="G101" s="37" t="s">
        <v>526</v>
      </c>
      <c r="H101" s="34" t="str">
        <f>CONCATENATE(D101,I101)</f>
        <v>172300都道府県機関 </v>
      </c>
      <c r="I101" s="32" t="s">
        <v>527</v>
      </c>
    </row>
    <row r="102" spans="1:9" ht="30.75" customHeight="1">
      <c r="A102" s="37" t="s">
        <v>528</v>
      </c>
      <c r="B102" s="34" t="s">
        <v>529</v>
      </c>
      <c r="C102" s="35" t="str">
        <f>CONCATENATE(A102,B102)</f>
        <v>99分類不能の産業</v>
      </c>
      <c r="D102" s="38" t="s">
        <v>530</v>
      </c>
      <c r="E102" s="34" t="s">
        <v>529</v>
      </c>
      <c r="F102" s="34" t="str">
        <f>CONCATENATE(D102,E102)</f>
        <v>990000分類不能の産業</v>
      </c>
      <c r="G102" s="37" t="s">
        <v>531</v>
      </c>
      <c r="H102" s="34" t="str">
        <f>CONCATENATE(D102,I102)</f>
        <v>990000分類不能の産業 </v>
      </c>
      <c r="I102" s="32" t="s">
        <v>532</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I5" sqref="I5"/>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5" customWidth="1"/>
    <col min="9" max="10" width="11.57421875" style="1" customWidth="1"/>
    <col min="11" max="13" width="15.140625" style="1" customWidth="1"/>
    <col min="14" max="14" width="3.8515625" style="5" customWidth="1"/>
    <col min="15" max="15" width="5.28125" style="5" customWidth="1"/>
    <col min="16" max="16" width="9.00390625" style="5" customWidth="1"/>
    <col min="17" max="17" width="15.140625" style="1" customWidth="1"/>
    <col min="18" max="18" width="12.7109375" style="86" bestFit="1" customWidth="1"/>
    <col min="19" max="16384" width="9.00390625" style="1" customWidth="1"/>
  </cols>
  <sheetData>
    <row r="2" ht="13.5">
      <c r="B2" s="258" t="s">
        <v>613</v>
      </c>
    </row>
    <row r="4" spans="1:6" ht="13.5" customHeight="1">
      <c r="A4" s="587" t="s">
        <v>604</v>
      </c>
      <c r="B4" s="587"/>
      <c r="C4" s="587"/>
      <c r="D4" s="587"/>
      <c r="E4" s="587"/>
      <c r="F4" s="5"/>
    </row>
    <row r="5" spans="1:14" ht="13.5" customHeight="1">
      <c r="A5" s="11"/>
      <c r="B5" s="11"/>
      <c r="C5" s="11"/>
      <c r="D5" s="11"/>
      <c r="E5" s="111"/>
      <c r="F5" s="5"/>
      <c r="N5" s="11"/>
    </row>
    <row r="6" spans="1:14" ht="13.5" customHeight="1">
      <c r="A6" s="11"/>
      <c r="B6" s="250" t="s">
        <v>715</v>
      </c>
      <c r="C6" s="251"/>
      <c r="D6" s="252"/>
      <c r="E6" s="253"/>
      <c r="F6" s="88" t="s">
        <v>17</v>
      </c>
      <c r="N6" s="11"/>
    </row>
    <row r="7" spans="1:14" ht="13.5" customHeight="1">
      <c r="A7" s="11"/>
      <c r="B7" s="11"/>
      <c r="C7" s="11"/>
      <c r="D7" s="11"/>
      <c r="E7" s="111"/>
      <c r="F7" s="136" t="s">
        <v>602</v>
      </c>
      <c r="N7" s="11"/>
    </row>
    <row r="8" spans="1:15" ht="13.5" customHeight="1">
      <c r="A8" s="11"/>
      <c r="B8" s="11"/>
      <c r="C8" s="11"/>
      <c r="D8" s="11"/>
      <c r="E8" s="111"/>
      <c r="F8" s="5"/>
      <c r="M8" s="1" t="s">
        <v>21</v>
      </c>
      <c r="N8" s="11"/>
      <c r="O8" s="89"/>
    </row>
    <row r="9" spans="1:14" ht="13.5" customHeight="1">
      <c r="A9" s="11"/>
      <c r="F9" s="5"/>
      <c r="K9" s="2" t="s">
        <v>38</v>
      </c>
      <c r="L9" s="8" t="str">
        <f>IF('基本情報入力（使い方）'!$C$10="","",'基本情報入力（使い方）'!$C$10)</f>
        <v>Ｂ金属株式会社</v>
      </c>
      <c r="N9" s="11"/>
    </row>
    <row r="10" spans="1:14" ht="13.5" customHeight="1" thickBot="1">
      <c r="A10" s="11"/>
      <c r="F10" s="5"/>
      <c r="N10" s="11"/>
    </row>
    <row r="11" spans="1:17" ht="27" customHeight="1">
      <c r="A11" s="588" t="s">
        <v>2</v>
      </c>
      <c r="B11" s="577" t="s">
        <v>3</v>
      </c>
      <c r="C11" s="577"/>
      <c r="D11" s="578"/>
      <c r="E11" s="112" t="s">
        <v>4</v>
      </c>
      <c r="F11" s="3" t="s">
        <v>5</v>
      </c>
      <c r="G11" s="3" t="s">
        <v>6</v>
      </c>
      <c r="H11" s="83" t="s">
        <v>7</v>
      </c>
      <c r="I11" s="3" t="s">
        <v>1</v>
      </c>
      <c r="J11" s="3" t="s">
        <v>1</v>
      </c>
      <c r="K11" s="577" t="s">
        <v>8</v>
      </c>
      <c r="L11" s="578"/>
      <c r="M11" s="83" t="s">
        <v>579</v>
      </c>
      <c r="N11" s="579" t="s">
        <v>2</v>
      </c>
      <c r="O11" s="581" t="s">
        <v>46</v>
      </c>
      <c r="Q11" s="129" t="s">
        <v>580</v>
      </c>
    </row>
    <row r="12" spans="1:17" ht="42" customHeight="1" thickBot="1">
      <c r="A12" s="589"/>
      <c r="B12" s="92" t="s">
        <v>10</v>
      </c>
      <c r="C12" s="92" t="s">
        <v>11</v>
      </c>
      <c r="D12" s="93" t="s">
        <v>12</v>
      </c>
      <c r="E12" s="113"/>
      <c r="F12" s="95"/>
      <c r="G12" s="81"/>
      <c r="H12" s="4"/>
      <c r="I12" s="81" t="s">
        <v>13</v>
      </c>
      <c r="J12" s="81" t="s">
        <v>26</v>
      </c>
      <c r="K12" s="41" t="s">
        <v>14</v>
      </c>
      <c r="L12" s="4" t="s">
        <v>24</v>
      </c>
      <c r="M12" s="4" t="s">
        <v>15</v>
      </c>
      <c r="N12" s="580"/>
      <c r="O12" s="582"/>
      <c r="Q12" s="130" t="s">
        <v>578</v>
      </c>
    </row>
    <row r="13" spans="1:18" ht="30.75" customHeight="1">
      <c r="A13" s="187">
        <v>1</v>
      </c>
      <c r="B13" s="583"/>
      <c r="C13" s="584"/>
      <c r="D13" s="584"/>
      <c r="E13" s="73" t="s">
        <v>617</v>
      </c>
      <c r="F13" s="74" t="s">
        <v>618</v>
      </c>
      <c r="G13" s="175">
        <v>1</v>
      </c>
      <c r="H13" s="168" t="s">
        <v>619</v>
      </c>
      <c r="I13" s="150">
        <f>IF(J13="","",ROUNDDOWN(J13*(1+O13/100),0))</f>
        <v>2160000</v>
      </c>
      <c r="J13" s="152">
        <v>2000000</v>
      </c>
      <c r="K13" s="150">
        <f>IF(L13="","",ROUNDDOWN(L13*(1+O13/100),0))</f>
        <v>2160000</v>
      </c>
      <c r="L13" s="150">
        <f>IF(OR(J13="",G13=""),"",ROUNDDOWN(J13*G13,0))</f>
        <v>2000000</v>
      </c>
      <c r="M13" s="151">
        <f>L13</f>
        <v>2000000</v>
      </c>
      <c r="N13" s="120">
        <f>IF(A13="","",A13)</f>
        <v>1</v>
      </c>
      <c r="O13" s="114">
        <v>8</v>
      </c>
      <c r="P13" s="1"/>
      <c r="Q13" s="191">
        <f>IF(M13="","",ROUNDDOWN(M13/G13*2/3,0)*G13)</f>
        <v>1333333</v>
      </c>
      <c r="R13" s="1"/>
    </row>
    <row r="14" spans="1:18" ht="30.75" customHeight="1">
      <c r="A14" s="188"/>
      <c r="B14" s="583"/>
      <c r="C14" s="584"/>
      <c r="D14" s="584"/>
      <c r="E14" s="74"/>
      <c r="F14" s="74"/>
      <c r="G14" s="176"/>
      <c r="H14" s="168"/>
      <c r="I14" s="150">
        <f aca="true" t="shared" si="0" ref="I14:I32">IF(J14="","",ROUNDDOWN(J14*(1+O14/100),0))</f>
      </c>
      <c r="J14" s="152"/>
      <c r="K14" s="150">
        <f aca="true" t="shared" si="1" ref="K14:K32">IF(L14="","",ROUNDDOWN(L14*(1+O14/100),0))</f>
      </c>
      <c r="L14" s="150">
        <f aca="true" t="shared" si="2" ref="L14:L32">IF(OR(J14="",G14=""),"",ROUNDDOWN(J14*G14,0))</f>
      </c>
      <c r="M14" s="151">
        <f aca="true" t="shared" si="3" ref="M14:M32">L14</f>
      </c>
      <c r="N14" s="120">
        <f aca="true" t="shared" si="4" ref="N14:N32">IF(A14="","",A14)</f>
      </c>
      <c r="O14" s="114">
        <v>8</v>
      </c>
      <c r="Q14" s="191">
        <f>IF(M14="","",ROUNDDOWN(M14/G14*2/3,0)*G14)</f>
      </c>
      <c r="R14" s="7"/>
    </row>
    <row r="15" spans="1:18" ht="30.75" customHeight="1">
      <c r="A15" s="187"/>
      <c r="B15" s="583"/>
      <c r="C15" s="584"/>
      <c r="D15" s="584"/>
      <c r="E15" s="75"/>
      <c r="F15" s="75"/>
      <c r="G15" s="175"/>
      <c r="H15" s="168"/>
      <c r="I15" s="150">
        <f t="shared" si="0"/>
      </c>
      <c r="J15" s="152"/>
      <c r="K15" s="150">
        <f t="shared" si="1"/>
      </c>
      <c r="L15" s="150">
        <f t="shared" si="2"/>
      </c>
      <c r="M15" s="151">
        <f t="shared" si="3"/>
      </c>
      <c r="N15" s="120">
        <f t="shared" si="4"/>
      </c>
      <c r="O15" s="114">
        <v>8</v>
      </c>
      <c r="P15" s="86"/>
      <c r="Q15" s="191">
        <f>IF(M15="","",ROUNDDOWN(M15/G15*2/3,0)*G15)</f>
      </c>
      <c r="R15" s="7"/>
    </row>
    <row r="16" spans="1:18" s="10" customFormat="1" ht="30.75" customHeight="1">
      <c r="A16" s="188"/>
      <c r="B16" s="583"/>
      <c r="C16" s="584"/>
      <c r="D16" s="584"/>
      <c r="E16" s="75"/>
      <c r="F16" s="75"/>
      <c r="G16" s="175"/>
      <c r="H16" s="168"/>
      <c r="I16" s="150">
        <f t="shared" si="0"/>
      </c>
      <c r="J16" s="152"/>
      <c r="K16" s="150">
        <f t="shared" si="1"/>
      </c>
      <c r="L16" s="150">
        <f t="shared" si="2"/>
      </c>
      <c r="M16" s="151">
        <f t="shared" si="3"/>
      </c>
      <c r="N16" s="120">
        <f t="shared" si="4"/>
      </c>
      <c r="O16" s="114">
        <v>8</v>
      </c>
      <c r="P16" s="86"/>
      <c r="Q16" s="191">
        <f>IF(M16="","",ROUNDDOWN(M16/G16*2/3,0)*G16)</f>
      </c>
      <c r="R16" s="7"/>
    </row>
    <row r="17" spans="1:18" ht="30.75" customHeight="1">
      <c r="A17" s="187"/>
      <c r="B17" s="583"/>
      <c r="C17" s="584"/>
      <c r="D17" s="584"/>
      <c r="E17" s="75"/>
      <c r="F17" s="75"/>
      <c r="G17" s="175"/>
      <c r="H17" s="168"/>
      <c r="I17" s="150">
        <f t="shared" si="0"/>
      </c>
      <c r="J17" s="152"/>
      <c r="K17" s="150">
        <f t="shared" si="1"/>
      </c>
      <c r="L17" s="150">
        <f t="shared" si="2"/>
      </c>
      <c r="M17" s="151">
        <f t="shared" si="3"/>
      </c>
      <c r="N17" s="120">
        <f t="shared" si="4"/>
      </c>
      <c r="O17" s="114">
        <v>8</v>
      </c>
      <c r="P17" s="86"/>
      <c r="Q17" s="191">
        <f aca="true" t="shared" si="5" ref="Q17:Q32">IF(M17="","",ROUNDDOWN(M17/G17*2/3,0)*G17)</f>
      </c>
      <c r="R17" s="7"/>
    </row>
    <row r="18" spans="1:17" ht="30.75" customHeight="1">
      <c r="A18" s="188"/>
      <c r="B18" s="583"/>
      <c r="C18" s="584"/>
      <c r="D18" s="584"/>
      <c r="E18" s="75"/>
      <c r="F18" s="75"/>
      <c r="G18" s="175"/>
      <c r="H18" s="168"/>
      <c r="I18" s="150">
        <f t="shared" si="0"/>
      </c>
      <c r="J18" s="152"/>
      <c r="K18" s="150">
        <f t="shared" si="1"/>
      </c>
      <c r="L18" s="150">
        <f t="shared" si="2"/>
      </c>
      <c r="M18" s="151">
        <f t="shared" si="3"/>
      </c>
      <c r="N18" s="120">
        <f t="shared" si="4"/>
      </c>
      <c r="O18" s="114">
        <v>8</v>
      </c>
      <c r="P18" s="86"/>
      <c r="Q18" s="191">
        <f t="shared" si="5"/>
      </c>
    </row>
    <row r="19" spans="1:17" ht="30.75" customHeight="1">
      <c r="A19" s="187"/>
      <c r="B19" s="583"/>
      <c r="C19" s="584"/>
      <c r="D19" s="584"/>
      <c r="E19" s="75"/>
      <c r="F19" s="98"/>
      <c r="G19" s="175"/>
      <c r="H19" s="168"/>
      <c r="I19" s="150">
        <f t="shared" si="0"/>
      </c>
      <c r="J19" s="152"/>
      <c r="K19" s="150">
        <f t="shared" si="1"/>
      </c>
      <c r="L19" s="150">
        <f t="shared" si="2"/>
      </c>
      <c r="M19" s="151">
        <f t="shared" si="3"/>
      </c>
      <c r="N19" s="120">
        <f t="shared" si="4"/>
      </c>
      <c r="O19" s="114">
        <v>8</v>
      </c>
      <c r="P19" s="86"/>
      <c r="Q19" s="191">
        <f t="shared" si="5"/>
      </c>
    </row>
    <row r="20" spans="1:18" s="10" customFormat="1" ht="30.75" customHeight="1">
      <c r="A20" s="188"/>
      <c r="B20" s="583"/>
      <c r="C20" s="584"/>
      <c r="D20" s="584"/>
      <c r="E20" s="75"/>
      <c r="F20" s="75"/>
      <c r="G20" s="175"/>
      <c r="H20" s="168"/>
      <c r="I20" s="150">
        <f t="shared" si="0"/>
      </c>
      <c r="J20" s="152"/>
      <c r="K20" s="150">
        <f t="shared" si="1"/>
      </c>
      <c r="L20" s="150">
        <f t="shared" si="2"/>
      </c>
      <c r="M20" s="151">
        <f t="shared" si="3"/>
      </c>
      <c r="N20" s="122">
        <f t="shared" si="4"/>
      </c>
      <c r="O20" s="114">
        <v>8</v>
      </c>
      <c r="P20" s="123"/>
      <c r="Q20" s="191">
        <f t="shared" si="5"/>
      </c>
      <c r="R20" s="124"/>
    </row>
    <row r="21" spans="1:17" ht="30.75" customHeight="1">
      <c r="A21" s="187"/>
      <c r="B21" s="583"/>
      <c r="C21" s="584"/>
      <c r="D21" s="584"/>
      <c r="E21" s="75"/>
      <c r="F21" s="75"/>
      <c r="G21" s="175"/>
      <c r="H21" s="168"/>
      <c r="I21" s="150">
        <f t="shared" si="0"/>
      </c>
      <c r="J21" s="152"/>
      <c r="K21" s="150">
        <f t="shared" si="1"/>
      </c>
      <c r="L21" s="150">
        <f t="shared" si="2"/>
      </c>
      <c r="M21" s="151">
        <f t="shared" si="3"/>
      </c>
      <c r="N21" s="120">
        <f t="shared" si="4"/>
      </c>
      <c r="O21" s="114">
        <v>8</v>
      </c>
      <c r="Q21" s="191">
        <f t="shared" si="5"/>
      </c>
    </row>
    <row r="22" spans="1:17" ht="30.75" customHeight="1">
      <c r="A22" s="188"/>
      <c r="B22" s="583"/>
      <c r="C22" s="584"/>
      <c r="D22" s="584"/>
      <c r="E22" s="75"/>
      <c r="F22" s="75"/>
      <c r="G22" s="175"/>
      <c r="H22" s="168"/>
      <c r="I22" s="150">
        <f t="shared" si="0"/>
      </c>
      <c r="J22" s="152"/>
      <c r="K22" s="150">
        <f t="shared" si="1"/>
      </c>
      <c r="L22" s="150">
        <f t="shared" si="2"/>
      </c>
      <c r="M22" s="151">
        <f t="shared" si="3"/>
      </c>
      <c r="N22" s="120">
        <f t="shared" si="4"/>
      </c>
      <c r="O22" s="114">
        <v>8</v>
      </c>
      <c r="Q22" s="191">
        <f t="shared" si="5"/>
      </c>
    </row>
    <row r="23" spans="1:17" ht="30.75" customHeight="1">
      <c r="A23" s="187"/>
      <c r="B23" s="583"/>
      <c r="C23" s="584"/>
      <c r="D23" s="584"/>
      <c r="E23" s="75"/>
      <c r="F23" s="75"/>
      <c r="G23" s="175"/>
      <c r="H23" s="168"/>
      <c r="I23" s="150">
        <f t="shared" si="0"/>
      </c>
      <c r="J23" s="152"/>
      <c r="K23" s="150">
        <f t="shared" si="1"/>
      </c>
      <c r="L23" s="150">
        <f t="shared" si="2"/>
      </c>
      <c r="M23" s="151">
        <f t="shared" si="3"/>
      </c>
      <c r="N23" s="120">
        <f t="shared" si="4"/>
      </c>
      <c r="O23" s="114">
        <v>8</v>
      </c>
      <c r="Q23" s="191">
        <f t="shared" si="5"/>
      </c>
    </row>
    <row r="24" spans="1:17" ht="30.75" customHeight="1">
      <c r="A24" s="188"/>
      <c r="B24" s="583"/>
      <c r="C24" s="584"/>
      <c r="D24" s="584"/>
      <c r="E24" s="75"/>
      <c r="F24" s="75"/>
      <c r="G24" s="175"/>
      <c r="H24" s="168"/>
      <c r="I24" s="150">
        <f t="shared" si="0"/>
      </c>
      <c r="J24" s="152"/>
      <c r="K24" s="150">
        <f t="shared" si="1"/>
      </c>
      <c r="L24" s="150">
        <f t="shared" si="2"/>
      </c>
      <c r="M24" s="151">
        <f t="shared" si="3"/>
      </c>
      <c r="N24" s="120">
        <f t="shared" si="4"/>
      </c>
      <c r="O24" s="114">
        <v>8</v>
      </c>
      <c r="Q24" s="191">
        <f t="shared" si="5"/>
      </c>
    </row>
    <row r="25" spans="1:17" ht="30.75" customHeight="1">
      <c r="A25" s="187"/>
      <c r="B25" s="583"/>
      <c r="C25" s="584"/>
      <c r="D25" s="584"/>
      <c r="E25" s="75"/>
      <c r="F25" s="75"/>
      <c r="G25" s="175"/>
      <c r="H25" s="168"/>
      <c r="I25" s="150">
        <f t="shared" si="0"/>
      </c>
      <c r="J25" s="152"/>
      <c r="K25" s="150">
        <f t="shared" si="1"/>
      </c>
      <c r="L25" s="150">
        <f t="shared" si="2"/>
      </c>
      <c r="M25" s="151">
        <f t="shared" si="3"/>
      </c>
      <c r="N25" s="120">
        <f t="shared" si="4"/>
      </c>
      <c r="O25" s="114">
        <v>8</v>
      </c>
      <c r="Q25" s="191">
        <f t="shared" si="5"/>
      </c>
    </row>
    <row r="26" spans="1:17" ht="30.75" customHeight="1">
      <c r="A26" s="188"/>
      <c r="B26" s="583"/>
      <c r="C26" s="584"/>
      <c r="D26" s="584"/>
      <c r="E26" s="76"/>
      <c r="F26" s="75"/>
      <c r="G26" s="175"/>
      <c r="H26" s="168"/>
      <c r="I26" s="150">
        <f t="shared" si="0"/>
      </c>
      <c r="J26" s="152"/>
      <c r="K26" s="150">
        <f t="shared" si="1"/>
      </c>
      <c r="L26" s="150">
        <f t="shared" si="2"/>
      </c>
      <c r="M26" s="151">
        <f t="shared" si="3"/>
      </c>
      <c r="N26" s="120">
        <f t="shared" si="4"/>
      </c>
      <c r="O26" s="114">
        <v>8</v>
      </c>
      <c r="Q26" s="191">
        <f t="shared" si="5"/>
      </c>
    </row>
    <row r="27" spans="1:17" ht="30.75" customHeight="1">
      <c r="A27" s="187"/>
      <c r="B27" s="583"/>
      <c r="C27" s="584"/>
      <c r="D27" s="584"/>
      <c r="E27" s="76"/>
      <c r="F27" s="75"/>
      <c r="G27" s="175"/>
      <c r="H27" s="168"/>
      <c r="I27" s="150">
        <f t="shared" si="0"/>
      </c>
      <c r="J27" s="152"/>
      <c r="K27" s="150">
        <f t="shared" si="1"/>
      </c>
      <c r="L27" s="150">
        <f t="shared" si="2"/>
      </c>
      <c r="M27" s="151">
        <f t="shared" si="3"/>
      </c>
      <c r="N27" s="120">
        <f t="shared" si="4"/>
      </c>
      <c r="O27" s="114">
        <v>8</v>
      </c>
      <c r="Q27" s="191">
        <f t="shared" si="5"/>
      </c>
    </row>
    <row r="28" spans="1:17" ht="30.75" customHeight="1">
      <c r="A28" s="188"/>
      <c r="B28" s="583"/>
      <c r="C28" s="584"/>
      <c r="D28" s="584"/>
      <c r="E28" s="75"/>
      <c r="F28" s="75"/>
      <c r="G28" s="175"/>
      <c r="H28" s="168"/>
      <c r="I28" s="150">
        <f t="shared" si="0"/>
      </c>
      <c r="J28" s="152"/>
      <c r="K28" s="150">
        <f t="shared" si="1"/>
      </c>
      <c r="L28" s="150">
        <f t="shared" si="2"/>
      </c>
      <c r="M28" s="151">
        <f t="shared" si="3"/>
      </c>
      <c r="N28" s="120">
        <f t="shared" si="4"/>
      </c>
      <c r="O28" s="114">
        <v>8</v>
      </c>
      <c r="Q28" s="191">
        <f t="shared" si="5"/>
      </c>
    </row>
    <row r="29" spans="1:17" ht="30.75" customHeight="1">
      <c r="A29" s="187"/>
      <c r="B29" s="583"/>
      <c r="C29" s="584"/>
      <c r="D29" s="584"/>
      <c r="E29" s="75"/>
      <c r="F29" s="75"/>
      <c r="G29" s="175"/>
      <c r="H29" s="168"/>
      <c r="I29" s="150">
        <f t="shared" si="0"/>
      </c>
      <c r="J29" s="152"/>
      <c r="K29" s="150">
        <f t="shared" si="1"/>
      </c>
      <c r="L29" s="150">
        <f t="shared" si="2"/>
      </c>
      <c r="M29" s="151">
        <f t="shared" si="3"/>
      </c>
      <c r="N29" s="120">
        <f t="shared" si="4"/>
      </c>
      <c r="O29" s="114">
        <v>8</v>
      </c>
      <c r="Q29" s="191">
        <f t="shared" si="5"/>
      </c>
    </row>
    <row r="30" spans="1:17" ht="30.75" customHeight="1">
      <c r="A30" s="188"/>
      <c r="B30" s="583"/>
      <c r="C30" s="584"/>
      <c r="D30" s="584"/>
      <c r="E30" s="75"/>
      <c r="F30" s="75"/>
      <c r="G30" s="175"/>
      <c r="H30" s="168"/>
      <c r="I30" s="150">
        <f t="shared" si="0"/>
      </c>
      <c r="J30" s="152"/>
      <c r="K30" s="150">
        <f t="shared" si="1"/>
      </c>
      <c r="L30" s="150">
        <f t="shared" si="2"/>
      </c>
      <c r="M30" s="151">
        <f t="shared" si="3"/>
      </c>
      <c r="N30" s="120">
        <f t="shared" si="4"/>
      </c>
      <c r="O30" s="114">
        <v>8</v>
      </c>
      <c r="Q30" s="191">
        <f t="shared" si="5"/>
      </c>
    </row>
    <row r="31" spans="1:17" ht="30.75" customHeight="1">
      <c r="A31" s="187"/>
      <c r="B31" s="583"/>
      <c r="C31" s="584"/>
      <c r="D31" s="584"/>
      <c r="E31" s="76"/>
      <c r="F31" s="75"/>
      <c r="G31" s="175"/>
      <c r="H31" s="168"/>
      <c r="I31" s="150">
        <f t="shared" si="0"/>
      </c>
      <c r="J31" s="152"/>
      <c r="K31" s="150">
        <f t="shared" si="1"/>
      </c>
      <c r="L31" s="150">
        <f t="shared" si="2"/>
      </c>
      <c r="M31" s="151">
        <f t="shared" si="3"/>
      </c>
      <c r="N31" s="120">
        <f t="shared" si="4"/>
      </c>
      <c r="O31" s="114">
        <v>8</v>
      </c>
      <c r="Q31" s="191">
        <f t="shared" si="5"/>
      </c>
    </row>
    <row r="32" spans="1:17" ht="30.75" customHeight="1" thickBot="1">
      <c r="A32" s="189"/>
      <c r="B32" s="590"/>
      <c r="C32" s="591"/>
      <c r="D32" s="591"/>
      <c r="E32" s="79"/>
      <c r="F32" s="79"/>
      <c r="G32" s="177"/>
      <c r="H32" s="169"/>
      <c r="I32" s="155">
        <f t="shared" si="0"/>
      </c>
      <c r="J32" s="167"/>
      <c r="K32" s="153">
        <f t="shared" si="1"/>
      </c>
      <c r="L32" s="153">
        <f t="shared" si="2"/>
      </c>
      <c r="M32" s="155">
        <f t="shared" si="3"/>
      </c>
      <c r="N32" s="125">
        <f t="shared" si="4"/>
      </c>
      <c r="O32" s="115">
        <v>8</v>
      </c>
      <c r="Q32" s="191">
        <f t="shared" si="5"/>
      </c>
    </row>
    <row r="33" spans="1:18" ht="21" customHeight="1" thickBot="1">
      <c r="A33" s="585" t="s">
        <v>16</v>
      </c>
      <c r="B33" s="586"/>
      <c r="C33" s="586"/>
      <c r="D33" s="586"/>
      <c r="E33" s="586"/>
      <c r="F33" s="586"/>
      <c r="G33" s="586"/>
      <c r="H33" s="586"/>
      <c r="I33" s="586"/>
      <c r="J33" s="82"/>
      <c r="K33" s="162">
        <f>SUM(K13:K32)</f>
        <v>2160000</v>
      </c>
      <c r="L33" s="162">
        <f>SUM(L13:L32)</f>
        <v>2000000</v>
      </c>
      <c r="M33" s="163">
        <f>SUM(M13:M32)</f>
        <v>2000000</v>
      </c>
      <c r="N33" s="14"/>
      <c r="Q33" s="183">
        <f>SUM(Q13:Q32)</f>
        <v>1333333</v>
      </c>
      <c r="R33" s="185"/>
    </row>
    <row r="34" spans="1:20" ht="13.5" customHeight="1">
      <c r="A34" s="11"/>
      <c r="N34" s="11"/>
      <c r="R34" s="131"/>
      <c r="S34" s="132"/>
      <c r="T34" s="132"/>
    </row>
    <row r="35" spans="2:20" ht="13.5" customHeight="1">
      <c r="B35" s="1" t="s">
        <v>18</v>
      </c>
      <c r="D35" s="90"/>
      <c r="E35" s="80" t="s">
        <v>39</v>
      </c>
      <c r="H35" s="1"/>
      <c r="M35" s="101"/>
      <c r="N35" s="11"/>
      <c r="Q35" s="101"/>
      <c r="R35" s="131"/>
      <c r="S35" s="132"/>
      <c r="T35" s="132"/>
    </row>
    <row r="36" spans="1:20" s="80" customFormat="1" ht="13.5" customHeight="1">
      <c r="A36" s="5"/>
      <c r="B36" s="1"/>
      <c r="C36" s="1"/>
      <c r="D36" s="1"/>
      <c r="E36" s="80" t="s">
        <v>40</v>
      </c>
      <c r="G36" s="1"/>
      <c r="H36" s="1"/>
      <c r="I36" s="1"/>
      <c r="J36" s="1"/>
      <c r="K36" s="1"/>
      <c r="L36" s="1"/>
      <c r="N36" s="15"/>
      <c r="O36" s="5"/>
      <c r="P36" s="5"/>
      <c r="Q36" s="84"/>
      <c r="R36" s="131"/>
      <c r="S36" s="133"/>
      <c r="T36" s="133"/>
    </row>
    <row r="37" spans="1:20" s="80" customFormat="1" ht="13.5" customHeight="1">
      <c r="A37" s="5"/>
      <c r="B37" s="1" t="s">
        <v>19</v>
      </c>
      <c r="C37" s="1"/>
      <c r="D37" s="1"/>
      <c r="E37" s="80" t="s">
        <v>41</v>
      </c>
      <c r="G37" s="1"/>
      <c r="H37" s="1"/>
      <c r="I37" s="1"/>
      <c r="J37" s="1"/>
      <c r="K37" s="1"/>
      <c r="L37" s="1"/>
      <c r="M37" s="101"/>
      <c r="N37" s="5"/>
      <c r="O37" s="5"/>
      <c r="P37" s="5"/>
      <c r="Q37" s="101"/>
      <c r="R37" s="134"/>
      <c r="S37" s="133"/>
      <c r="T37" s="133"/>
    </row>
    <row r="38" spans="1:18" s="80" customFormat="1" ht="13.5" customHeight="1">
      <c r="A38" s="5"/>
      <c r="B38" s="1" t="s">
        <v>20</v>
      </c>
      <c r="C38" s="1"/>
      <c r="D38" s="1"/>
      <c r="E38" s="80" t="s">
        <v>42</v>
      </c>
      <c r="G38" s="1"/>
      <c r="H38" s="1"/>
      <c r="I38" s="1"/>
      <c r="J38" s="1"/>
      <c r="K38" s="1"/>
      <c r="L38" s="1"/>
      <c r="M38" s="101"/>
      <c r="N38" s="5"/>
      <c r="O38" s="5"/>
      <c r="P38" s="5"/>
      <c r="Q38" s="101"/>
      <c r="R38" s="56"/>
    </row>
    <row r="39" spans="13:17" ht="13.5">
      <c r="M39" s="9"/>
      <c r="Q39" s="9"/>
    </row>
  </sheetData>
  <sheetProtection sheet="1"/>
  <mergeCells count="27">
    <mergeCell ref="B28:D28"/>
    <mergeCell ref="B29:D29"/>
    <mergeCell ref="B30:D30"/>
    <mergeCell ref="B31:D31"/>
    <mergeCell ref="B32:D32"/>
    <mergeCell ref="B22:D22"/>
    <mergeCell ref="B23:D23"/>
    <mergeCell ref="B24:D24"/>
    <mergeCell ref="B25:D25"/>
    <mergeCell ref="B26:D26"/>
    <mergeCell ref="B27:D27"/>
    <mergeCell ref="A4:E4"/>
    <mergeCell ref="A11:A12"/>
    <mergeCell ref="B11:D11"/>
    <mergeCell ref="B15:D15"/>
    <mergeCell ref="B16:D16"/>
    <mergeCell ref="B17:D17"/>
    <mergeCell ref="K11:L11"/>
    <mergeCell ref="N11:N12"/>
    <mergeCell ref="O11:O12"/>
    <mergeCell ref="B13:D13"/>
    <mergeCell ref="B14:D14"/>
    <mergeCell ref="A33:I33"/>
    <mergeCell ref="B18:D18"/>
    <mergeCell ref="B19:D19"/>
    <mergeCell ref="B20:D20"/>
    <mergeCell ref="B21:D21"/>
  </mergeCells>
  <dataValidations count="4">
    <dataValidation allowBlank="1" showInputMessage="1" showErrorMessage="1" imeMode="halfAlpha" sqref="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5" customWidth="1"/>
    <col min="9" max="10" width="11.57421875" style="1" customWidth="1"/>
    <col min="11" max="13" width="15.140625" style="1" customWidth="1"/>
    <col min="14" max="14" width="3.8515625" style="5" customWidth="1"/>
    <col min="15" max="15" width="5.28125" style="5" customWidth="1"/>
    <col min="16" max="16" width="9.00390625" style="5" customWidth="1"/>
    <col min="17" max="17" width="15.140625" style="1" customWidth="1"/>
    <col min="18" max="18" width="12.7109375" style="86" bestFit="1" customWidth="1"/>
    <col min="19" max="16384" width="9.00390625" style="1" customWidth="1"/>
  </cols>
  <sheetData>
    <row r="1" ht="13.5"/>
    <row r="2" ht="13.5">
      <c r="B2" s="258" t="s">
        <v>613</v>
      </c>
    </row>
    <row r="3" ht="13.5"/>
    <row r="4" spans="1:6" ht="13.5" customHeight="1">
      <c r="A4" s="587" t="s">
        <v>604</v>
      </c>
      <c r="B4" s="587"/>
      <c r="C4" s="587"/>
      <c r="D4" s="587"/>
      <c r="E4" s="587"/>
      <c r="F4" s="5"/>
    </row>
    <row r="5" spans="1:14" ht="13.5" customHeight="1">
      <c r="A5" s="11"/>
      <c r="B5" s="11"/>
      <c r="C5" s="11"/>
      <c r="D5" s="11"/>
      <c r="E5" s="111"/>
      <c r="F5" s="5"/>
      <c r="N5" s="11"/>
    </row>
    <row r="6" spans="1:14" ht="13.5" customHeight="1">
      <c r="A6" s="11"/>
      <c r="B6" s="250" t="s">
        <v>715</v>
      </c>
      <c r="C6" s="251"/>
      <c r="D6" s="252"/>
      <c r="E6" s="253"/>
      <c r="F6" s="88" t="s">
        <v>17</v>
      </c>
      <c r="N6" s="11"/>
    </row>
    <row r="7" spans="1:14" ht="13.5" customHeight="1">
      <c r="A7" s="11"/>
      <c r="B7" s="11"/>
      <c r="C7" s="11"/>
      <c r="D7" s="11"/>
      <c r="E7" s="111"/>
      <c r="F7" s="136" t="s">
        <v>603</v>
      </c>
      <c r="N7" s="11"/>
    </row>
    <row r="8" spans="1:15" ht="13.5" customHeight="1">
      <c r="A8" s="11"/>
      <c r="B8" s="11"/>
      <c r="C8" s="11"/>
      <c r="D8" s="11"/>
      <c r="E8" s="111"/>
      <c r="F8" s="5"/>
      <c r="M8" s="1" t="s">
        <v>21</v>
      </c>
      <c r="N8" s="11"/>
      <c r="O8" s="89"/>
    </row>
    <row r="9" spans="1:14" ht="13.5" customHeight="1">
      <c r="A9" s="11"/>
      <c r="F9" s="5"/>
      <c r="K9" s="2" t="s">
        <v>38</v>
      </c>
      <c r="L9" s="8" t="str">
        <f>IF('基本情報入力（使い方）'!$C$10="","",'基本情報入力（使い方）'!$C$10)</f>
        <v>Ｂ金属株式会社</v>
      </c>
      <c r="N9" s="11"/>
    </row>
    <row r="10" spans="1:14" ht="13.5" customHeight="1" thickBot="1">
      <c r="A10" s="11"/>
      <c r="F10" s="5"/>
      <c r="N10" s="11"/>
    </row>
    <row r="11" spans="1:17" ht="27" customHeight="1">
      <c r="A11" s="579" t="s">
        <v>2</v>
      </c>
      <c r="B11" s="577" t="s">
        <v>3</v>
      </c>
      <c r="C11" s="577"/>
      <c r="D11" s="578"/>
      <c r="E11" s="112" t="s">
        <v>4</v>
      </c>
      <c r="F11" s="3" t="s">
        <v>5</v>
      </c>
      <c r="G11" s="3" t="s">
        <v>6</v>
      </c>
      <c r="H11" s="83" t="s">
        <v>7</v>
      </c>
      <c r="I11" s="3" t="s">
        <v>1</v>
      </c>
      <c r="J11" s="3" t="s">
        <v>1</v>
      </c>
      <c r="K11" s="577" t="s">
        <v>8</v>
      </c>
      <c r="L11" s="578"/>
      <c r="M11" s="83" t="s">
        <v>9</v>
      </c>
      <c r="N11" s="579" t="s">
        <v>2</v>
      </c>
      <c r="O11" s="592" t="s">
        <v>46</v>
      </c>
      <c r="Q11" s="129" t="s">
        <v>580</v>
      </c>
    </row>
    <row r="12" spans="1:17" ht="42" customHeight="1" thickBot="1">
      <c r="A12" s="580"/>
      <c r="B12" s="92" t="s">
        <v>10</v>
      </c>
      <c r="C12" s="92" t="s">
        <v>11</v>
      </c>
      <c r="D12" s="93" t="s">
        <v>12</v>
      </c>
      <c r="E12" s="113"/>
      <c r="F12" s="95"/>
      <c r="G12" s="81"/>
      <c r="H12" s="4"/>
      <c r="I12" s="81" t="s">
        <v>13</v>
      </c>
      <c r="J12" s="81" t="s">
        <v>26</v>
      </c>
      <c r="K12" s="41" t="s">
        <v>14</v>
      </c>
      <c r="L12" s="4" t="s">
        <v>24</v>
      </c>
      <c r="M12" s="4" t="s">
        <v>15</v>
      </c>
      <c r="N12" s="580"/>
      <c r="O12" s="593"/>
      <c r="Q12" s="130" t="s">
        <v>578</v>
      </c>
    </row>
    <row r="13" spans="1:18" ht="30.75" customHeight="1">
      <c r="A13" s="190">
        <v>1</v>
      </c>
      <c r="B13" s="594"/>
      <c r="C13" s="595"/>
      <c r="D13" s="595"/>
      <c r="E13" s="73" t="s">
        <v>620</v>
      </c>
      <c r="F13" s="73" t="s">
        <v>621</v>
      </c>
      <c r="G13" s="179">
        <v>1</v>
      </c>
      <c r="H13" s="171" t="s">
        <v>619</v>
      </c>
      <c r="I13" s="158">
        <f aca="true" t="shared" si="0" ref="I13:I32">IF(J13="","",ROUNDDOWN(J13*(1+O13/100),0))</f>
        <v>432000</v>
      </c>
      <c r="J13" s="159">
        <v>400000</v>
      </c>
      <c r="K13" s="158">
        <f>IF(L13="","",ROUNDDOWN(L13*(1+O13/100),0))</f>
        <v>432000</v>
      </c>
      <c r="L13" s="158">
        <f>IF(OR(J13="",G13=""),"",ROUNDDOWN(J13*G13,0))</f>
        <v>400000</v>
      </c>
      <c r="M13" s="158">
        <f>L13</f>
        <v>400000</v>
      </c>
      <c r="N13" s="120">
        <f aca="true" t="shared" si="1" ref="N13:N32">IF(A13="","",A13)</f>
        <v>1</v>
      </c>
      <c r="O13" s="138">
        <v>8</v>
      </c>
      <c r="P13" s="1"/>
      <c r="Q13" s="191">
        <f>IF(M13="","",ROUNDDOWN(M13/G13*2/3,0)*G13)</f>
        <v>266666</v>
      </c>
      <c r="R13" s="1"/>
    </row>
    <row r="14" spans="1:18" ht="30.75" customHeight="1">
      <c r="A14" s="188">
        <v>2</v>
      </c>
      <c r="B14" s="596"/>
      <c r="C14" s="597"/>
      <c r="D14" s="597"/>
      <c r="E14" s="75" t="s">
        <v>622</v>
      </c>
      <c r="F14" s="75" t="s">
        <v>623</v>
      </c>
      <c r="G14" s="176">
        <v>1</v>
      </c>
      <c r="H14" s="172" t="s">
        <v>619</v>
      </c>
      <c r="I14" s="151">
        <f t="shared" si="0"/>
        <v>432000</v>
      </c>
      <c r="J14" s="166">
        <v>400000</v>
      </c>
      <c r="K14" s="151">
        <f aca="true" t="shared" si="2" ref="K14:K32">IF(L14="","",ROUNDDOWN(L14*(1+O14/100),0))</f>
        <v>432000</v>
      </c>
      <c r="L14" s="151">
        <f aca="true" t="shared" si="3" ref="L14:L32">IF(OR(J14="",G14=""),"",ROUNDDOWN(J14*G14,0))</f>
        <v>400000</v>
      </c>
      <c r="M14" s="151">
        <f aca="true" t="shared" si="4" ref="M14:M32">L14</f>
        <v>400000</v>
      </c>
      <c r="N14" s="120">
        <f t="shared" si="1"/>
        <v>2</v>
      </c>
      <c r="O14" s="139">
        <v>8</v>
      </c>
      <c r="Q14" s="191">
        <f>IF(M14="","",ROUNDDOWN(M14/G14*2/3,0)*G14)</f>
        <v>266666</v>
      </c>
      <c r="R14" s="7"/>
    </row>
    <row r="15" spans="1:18" ht="30.75" customHeight="1">
      <c r="A15" s="188">
        <v>3</v>
      </c>
      <c r="B15" s="596"/>
      <c r="C15" s="597"/>
      <c r="D15" s="597"/>
      <c r="E15" s="75" t="s">
        <v>622</v>
      </c>
      <c r="F15" s="75" t="s">
        <v>624</v>
      </c>
      <c r="G15" s="176">
        <v>1</v>
      </c>
      <c r="H15" s="172" t="s">
        <v>619</v>
      </c>
      <c r="I15" s="151">
        <f t="shared" si="0"/>
        <v>432000</v>
      </c>
      <c r="J15" s="166">
        <v>400000</v>
      </c>
      <c r="K15" s="151">
        <f t="shared" si="2"/>
        <v>432000</v>
      </c>
      <c r="L15" s="151">
        <f t="shared" si="3"/>
        <v>400000</v>
      </c>
      <c r="M15" s="151">
        <f t="shared" si="4"/>
        <v>400000</v>
      </c>
      <c r="N15" s="120">
        <f t="shared" si="1"/>
        <v>3</v>
      </c>
      <c r="O15" s="139">
        <v>8</v>
      </c>
      <c r="P15" s="86"/>
      <c r="Q15" s="191">
        <f>IF(M15="","",ROUNDDOWN(M15/G15*2/3,0)*G15)</f>
        <v>266666</v>
      </c>
      <c r="R15" s="7"/>
    </row>
    <row r="16" spans="1:18" s="10" customFormat="1" ht="30.75" customHeight="1">
      <c r="A16" s="188">
        <v>4</v>
      </c>
      <c r="B16" s="596"/>
      <c r="C16" s="597"/>
      <c r="D16" s="597"/>
      <c r="E16" s="75" t="s">
        <v>622</v>
      </c>
      <c r="F16" s="75" t="s">
        <v>625</v>
      </c>
      <c r="G16" s="176">
        <v>1</v>
      </c>
      <c r="H16" s="172" t="s">
        <v>619</v>
      </c>
      <c r="I16" s="151">
        <f t="shared" si="0"/>
        <v>432000</v>
      </c>
      <c r="J16" s="166">
        <v>400000</v>
      </c>
      <c r="K16" s="151">
        <f t="shared" si="2"/>
        <v>432000</v>
      </c>
      <c r="L16" s="151">
        <f t="shared" si="3"/>
        <v>400000</v>
      </c>
      <c r="M16" s="151">
        <f t="shared" si="4"/>
        <v>400000</v>
      </c>
      <c r="N16" s="120">
        <f t="shared" si="1"/>
        <v>4</v>
      </c>
      <c r="O16" s="139">
        <v>8</v>
      </c>
      <c r="P16" s="86"/>
      <c r="Q16" s="191">
        <f>IF(M16="","",ROUNDDOWN(M16/G16*2/3,0)*G16)</f>
        <v>266666</v>
      </c>
      <c r="R16" s="7"/>
    </row>
    <row r="17" spans="1:18" ht="30.75" customHeight="1">
      <c r="A17" s="188">
        <v>5</v>
      </c>
      <c r="B17" s="596"/>
      <c r="C17" s="597"/>
      <c r="D17" s="597"/>
      <c r="E17" s="75" t="s">
        <v>622</v>
      </c>
      <c r="F17" s="75" t="s">
        <v>626</v>
      </c>
      <c r="G17" s="176">
        <v>1</v>
      </c>
      <c r="H17" s="172" t="s">
        <v>619</v>
      </c>
      <c r="I17" s="151">
        <f t="shared" si="0"/>
        <v>432000</v>
      </c>
      <c r="J17" s="166">
        <v>400000</v>
      </c>
      <c r="K17" s="151">
        <f t="shared" si="2"/>
        <v>432000</v>
      </c>
      <c r="L17" s="151">
        <f t="shared" si="3"/>
        <v>400000</v>
      </c>
      <c r="M17" s="151">
        <f t="shared" si="4"/>
        <v>400000</v>
      </c>
      <c r="N17" s="120">
        <f t="shared" si="1"/>
        <v>5</v>
      </c>
      <c r="O17" s="139">
        <v>8</v>
      </c>
      <c r="P17" s="86"/>
      <c r="Q17" s="191">
        <f aca="true" t="shared" si="5" ref="Q17:Q32">IF(M17="","",ROUNDDOWN(M17/G17*2/3,0)*G17)</f>
        <v>266666</v>
      </c>
      <c r="R17" s="7"/>
    </row>
    <row r="18" spans="1:17" ht="30.75" customHeight="1">
      <c r="A18" s="188">
        <v>6</v>
      </c>
      <c r="B18" s="596"/>
      <c r="C18" s="597"/>
      <c r="D18" s="597"/>
      <c r="E18" s="75" t="s">
        <v>622</v>
      </c>
      <c r="F18" s="75" t="s">
        <v>627</v>
      </c>
      <c r="G18" s="176">
        <v>1</v>
      </c>
      <c r="H18" s="172" t="s">
        <v>619</v>
      </c>
      <c r="I18" s="151">
        <f t="shared" si="0"/>
        <v>432000</v>
      </c>
      <c r="J18" s="166">
        <v>400000</v>
      </c>
      <c r="K18" s="151">
        <f t="shared" si="2"/>
        <v>432000</v>
      </c>
      <c r="L18" s="151">
        <f t="shared" si="3"/>
        <v>400000</v>
      </c>
      <c r="M18" s="151">
        <f t="shared" si="4"/>
        <v>400000</v>
      </c>
      <c r="N18" s="120">
        <f t="shared" si="1"/>
        <v>6</v>
      </c>
      <c r="O18" s="139">
        <v>8</v>
      </c>
      <c r="P18" s="86"/>
      <c r="Q18" s="191">
        <f t="shared" si="5"/>
        <v>266666</v>
      </c>
    </row>
    <row r="19" spans="1:17" ht="30.75" customHeight="1">
      <c r="A19" s="188">
        <v>7</v>
      </c>
      <c r="B19" s="596"/>
      <c r="C19" s="597"/>
      <c r="D19" s="597"/>
      <c r="E19" s="75" t="s">
        <v>622</v>
      </c>
      <c r="F19" s="75" t="s">
        <v>628</v>
      </c>
      <c r="G19" s="176">
        <v>1</v>
      </c>
      <c r="H19" s="172" t="s">
        <v>619</v>
      </c>
      <c r="I19" s="151">
        <f t="shared" si="0"/>
        <v>432000</v>
      </c>
      <c r="J19" s="166">
        <v>400000</v>
      </c>
      <c r="K19" s="151">
        <f t="shared" si="2"/>
        <v>432000</v>
      </c>
      <c r="L19" s="151">
        <f t="shared" si="3"/>
        <v>400000</v>
      </c>
      <c r="M19" s="151">
        <f t="shared" si="4"/>
        <v>400000</v>
      </c>
      <c r="N19" s="120">
        <f t="shared" si="1"/>
        <v>7</v>
      </c>
      <c r="O19" s="139">
        <v>8</v>
      </c>
      <c r="P19" s="86"/>
      <c r="Q19" s="191">
        <f t="shared" si="5"/>
        <v>266666</v>
      </c>
    </row>
    <row r="20" spans="1:18" s="10" customFormat="1" ht="30.75" customHeight="1">
      <c r="A20" s="188">
        <v>8</v>
      </c>
      <c r="B20" s="596"/>
      <c r="C20" s="597"/>
      <c r="D20" s="597"/>
      <c r="E20" s="75" t="s">
        <v>622</v>
      </c>
      <c r="F20" s="75" t="s">
        <v>629</v>
      </c>
      <c r="G20" s="176">
        <v>1</v>
      </c>
      <c r="H20" s="172" t="s">
        <v>619</v>
      </c>
      <c r="I20" s="151">
        <f t="shared" si="0"/>
        <v>432000</v>
      </c>
      <c r="J20" s="166">
        <v>400000</v>
      </c>
      <c r="K20" s="151">
        <f t="shared" si="2"/>
        <v>432000</v>
      </c>
      <c r="L20" s="151">
        <f t="shared" si="3"/>
        <v>400000</v>
      </c>
      <c r="M20" s="151">
        <f t="shared" si="4"/>
        <v>400000</v>
      </c>
      <c r="N20" s="120">
        <f t="shared" si="1"/>
        <v>8</v>
      </c>
      <c r="O20" s="139">
        <v>8</v>
      </c>
      <c r="P20" s="123"/>
      <c r="Q20" s="191">
        <f t="shared" si="5"/>
        <v>266666</v>
      </c>
      <c r="R20" s="124"/>
    </row>
    <row r="21" spans="1:17" ht="30.75" customHeight="1">
      <c r="A21" s="188"/>
      <c r="B21" s="596"/>
      <c r="C21" s="597"/>
      <c r="D21" s="597"/>
      <c r="E21" s="75"/>
      <c r="F21" s="75"/>
      <c r="G21" s="176"/>
      <c r="H21" s="172"/>
      <c r="I21" s="151">
        <f t="shared" si="0"/>
      </c>
      <c r="J21" s="166"/>
      <c r="K21" s="151">
        <f t="shared" si="2"/>
      </c>
      <c r="L21" s="151">
        <f t="shared" si="3"/>
      </c>
      <c r="M21" s="151">
        <f t="shared" si="4"/>
      </c>
      <c r="N21" s="120">
        <f t="shared" si="1"/>
      </c>
      <c r="O21" s="139">
        <v>8</v>
      </c>
      <c r="Q21" s="191">
        <f t="shared" si="5"/>
      </c>
    </row>
    <row r="22" spans="1:17" ht="30.75" customHeight="1">
      <c r="A22" s="188"/>
      <c r="B22" s="583"/>
      <c r="C22" s="584"/>
      <c r="D22" s="584"/>
      <c r="E22" s="75"/>
      <c r="F22" s="75"/>
      <c r="G22" s="175"/>
      <c r="H22" s="168"/>
      <c r="I22" s="150">
        <f t="shared" si="0"/>
      </c>
      <c r="J22" s="152"/>
      <c r="K22" s="150">
        <f t="shared" si="2"/>
      </c>
      <c r="L22" s="150">
        <f t="shared" si="3"/>
      </c>
      <c r="M22" s="151">
        <f t="shared" si="4"/>
      </c>
      <c r="N22" s="120">
        <f t="shared" si="1"/>
      </c>
      <c r="O22" s="114">
        <v>8</v>
      </c>
      <c r="Q22" s="191">
        <f t="shared" si="5"/>
      </c>
    </row>
    <row r="23" spans="1:17" ht="30.75" customHeight="1">
      <c r="A23" s="187"/>
      <c r="B23" s="583"/>
      <c r="C23" s="584"/>
      <c r="D23" s="584"/>
      <c r="E23" s="75"/>
      <c r="F23" s="75"/>
      <c r="G23" s="175"/>
      <c r="H23" s="168"/>
      <c r="I23" s="150">
        <f t="shared" si="0"/>
      </c>
      <c r="J23" s="152"/>
      <c r="K23" s="150">
        <f t="shared" si="2"/>
      </c>
      <c r="L23" s="150">
        <f t="shared" si="3"/>
      </c>
      <c r="M23" s="151">
        <f t="shared" si="4"/>
      </c>
      <c r="N23" s="120">
        <f t="shared" si="1"/>
      </c>
      <c r="O23" s="114">
        <v>8</v>
      </c>
      <c r="Q23" s="191">
        <f t="shared" si="5"/>
      </c>
    </row>
    <row r="24" spans="1:17" ht="30.75" customHeight="1">
      <c r="A24" s="188"/>
      <c r="B24" s="583"/>
      <c r="C24" s="584"/>
      <c r="D24" s="584"/>
      <c r="E24" s="75"/>
      <c r="F24" s="75"/>
      <c r="G24" s="175"/>
      <c r="H24" s="168"/>
      <c r="I24" s="150">
        <f t="shared" si="0"/>
      </c>
      <c r="J24" s="152"/>
      <c r="K24" s="150">
        <f t="shared" si="2"/>
      </c>
      <c r="L24" s="150">
        <f t="shared" si="3"/>
      </c>
      <c r="M24" s="151">
        <f t="shared" si="4"/>
      </c>
      <c r="N24" s="120">
        <f t="shared" si="1"/>
      </c>
      <c r="O24" s="114">
        <v>8</v>
      </c>
      <c r="Q24" s="191">
        <f t="shared" si="5"/>
      </c>
    </row>
    <row r="25" spans="1:17" ht="30.75" customHeight="1">
      <c r="A25" s="187"/>
      <c r="B25" s="583"/>
      <c r="C25" s="584"/>
      <c r="D25" s="584"/>
      <c r="E25" s="75"/>
      <c r="F25" s="75"/>
      <c r="G25" s="175"/>
      <c r="H25" s="168"/>
      <c r="I25" s="150">
        <f t="shared" si="0"/>
      </c>
      <c r="J25" s="152"/>
      <c r="K25" s="150">
        <f t="shared" si="2"/>
      </c>
      <c r="L25" s="150">
        <f t="shared" si="3"/>
      </c>
      <c r="M25" s="151">
        <f t="shared" si="4"/>
      </c>
      <c r="N25" s="120">
        <f t="shared" si="1"/>
      </c>
      <c r="O25" s="114">
        <v>8</v>
      </c>
      <c r="Q25" s="191">
        <f t="shared" si="5"/>
      </c>
    </row>
    <row r="26" spans="1:17" ht="30.75" customHeight="1">
      <c r="A26" s="188"/>
      <c r="B26" s="583"/>
      <c r="C26" s="584"/>
      <c r="D26" s="584"/>
      <c r="E26" s="76"/>
      <c r="F26" s="75"/>
      <c r="G26" s="175"/>
      <c r="H26" s="168"/>
      <c r="I26" s="150">
        <f t="shared" si="0"/>
      </c>
      <c r="J26" s="152"/>
      <c r="K26" s="150">
        <f t="shared" si="2"/>
      </c>
      <c r="L26" s="150">
        <f t="shared" si="3"/>
      </c>
      <c r="M26" s="151">
        <f t="shared" si="4"/>
      </c>
      <c r="N26" s="120">
        <f t="shared" si="1"/>
      </c>
      <c r="O26" s="114">
        <v>8</v>
      </c>
      <c r="Q26" s="191">
        <f t="shared" si="5"/>
      </c>
    </row>
    <row r="27" spans="1:17" ht="30.75" customHeight="1">
      <c r="A27" s="187"/>
      <c r="B27" s="583"/>
      <c r="C27" s="584"/>
      <c r="D27" s="584"/>
      <c r="E27" s="76"/>
      <c r="F27" s="75"/>
      <c r="G27" s="175"/>
      <c r="H27" s="168"/>
      <c r="I27" s="150">
        <f t="shared" si="0"/>
      </c>
      <c r="J27" s="152"/>
      <c r="K27" s="150">
        <f t="shared" si="2"/>
      </c>
      <c r="L27" s="150">
        <f t="shared" si="3"/>
      </c>
      <c r="M27" s="151">
        <f t="shared" si="4"/>
      </c>
      <c r="N27" s="120">
        <f t="shared" si="1"/>
      </c>
      <c r="O27" s="114">
        <v>8</v>
      </c>
      <c r="Q27" s="191">
        <f t="shared" si="5"/>
      </c>
    </row>
    <row r="28" spans="1:17" ht="30.75" customHeight="1">
      <c r="A28" s="188"/>
      <c r="B28" s="583"/>
      <c r="C28" s="584"/>
      <c r="D28" s="584"/>
      <c r="E28" s="75"/>
      <c r="F28" s="75"/>
      <c r="G28" s="175"/>
      <c r="H28" s="168"/>
      <c r="I28" s="150">
        <f t="shared" si="0"/>
      </c>
      <c r="J28" s="152"/>
      <c r="K28" s="150">
        <f t="shared" si="2"/>
      </c>
      <c r="L28" s="150">
        <f t="shared" si="3"/>
      </c>
      <c r="M28" s="151">
        <f t="shared" si="4"/>
      </c>
      <c r="N28" s="120">
        <f t="shared" si="1"/>
      </c>
      <c r="O28" s="114">
        <v>8</v>
      </c>
      <c r="Q28" s="191">
        <f t="shared" si="5"/>
      </c>
    </row>
    <row r="29" spans="1:17" ht="30.75" customHeight="1">
      <c r="A29" s="187"/>
      <c r="B29" s="583"/>
      <c r="C29" s="584"/>
      <c r="D29" s="584"/>
      <c r="E29" s="75"/>
      <c r="F29" s="75"/>
      <c r="G29" s="175"/>
      <c r="H29" s="168"/>
      <c r="I29" s="150">
        <f t="shared" si="0"/>
      </c>
      <c r="J29" s="152"/>
      <c r="K29" s="150">
        <f t="shared" si="2"/>
      </c>
      <c r="L29" s="150">
        <f t="shared" si="3"/>
      </c>
      <c r="M29" s="151">
        <f t="shared" si="4"/>
      </c>
      <c r="N29" s="120">
        <f t="shared" si="1"/>
      </c>
      <c r="O29" s="114">
        <v>8</v>
      </c>
      <c r="Q29" s="191">
        <f t="shared" si="5"/>
      </c>
    </row>
    <row r="30" spans="1:17" ht="30.75" customHeight="1">
      <c r="A30" s="188"/>
      <c r="B30" s="583"/>
      <c r="C30" s="584"/>
      <c r="D30" s="584"/>
      <c r="E30" s="75"/>
      <c r="F30" s="75"/>
      <c r="G30" s="175"/>
      <c r="H30" s="168"/>
      <c r="I30" s="150">
        <f t="shared" si="0"/>
      </c>
      <c r="J30" s="152"/>
      <c r="K30" s="150">
        <f t="shared" si="2"/>
      </c>
      <c r="L30" s="150">
        <f t="shared" si="3"/>
      </c>
      <c r="M30" s="151">
        <f t="shared" si="4"/>
      </c>
      <c r="N30" s="120">
        <f t="shared" si="1"/>
      </c>
      <c r="O30" s="114">
        <v>8</v>
      </c>
      <c r="Q30" s="191">
        <f t="shared" si="5"/>
      </c>
    </row>
    <row r="31" spans="1:17" ht="30.75" customHeight="1">
      <c r="A31" s="187"/>
      <c r="B31" s="583"/>
      <c r="C31" s="584"/>
      <c r="D31" s="584"/>
      <c r="E31" s="76"/>
      <c r="F31" s="75"/>
      <c r="G31" s="175"/>
      <c r="H31" s="168"/>
      <c r="I31" s="150">
        <f t="shared" si="0"/>
      </c>
      <c r="J31" s="152"/>
      <c r="K31" s="150">
        <f t="shared" si="2"/>
      </c>
      <c r="L31" s="150">
        <f t="shared" si="3"/>
      </c>
      <c r="M31" s="151">
        <f t="shared" si="4"/>
      </c>
      <c r="N31" s="120">
        <f t="shared" si="1"/>
      </c>
      <c r="O31" s="114">
        <v>8</v>
      </c>
      <c r="Q31" s="191">
        <f t="shared" si="5"/>
      </c>
    </row>
    <row r="32" spans="1:17" ht="30.75" customHeight="1" thickBot="1">
      <c r="A32" s="189"/>
      <c r="B32" s="590"/>
      <c r="C32" s="591"/>
      <c r="D32" s="591"/>
      <c r="E32" s="79"/>
      <c r="F32" s="79"/>
      <c r="G32" s="177"/>
      <c r="H32" s="169"/>
      <c r="I32" s="155">
        <f t="shared" si="0"/>
      </c>
      <c r="J32" s="167"/>
      <c r="K32" s="153">
        <f t="shared" si="2"/>
      </c>
      <c r="L32" s="153">
        <f t="shared" si="3"/>
      </c>
      <c r="M32" s="155">
        <f t="shared" si="4"/>
      </c>
      <c r="N32" s="125">
        <f t="shared" si="1"/>
      </c>
      <c r="O32" s="115">
        <v>8</v>
      </c>
      <c r="Q32" s="191">
        <f t="shared" si="5"/>
      </c>
    </row>
    <row r="33" spans="1:18" ht="21" customHeight="1" thickBot="1">
      <c r="A33" s="585" t="s">
        <v>16</v>
      </c>
      <c r="B33" s="586"/>
      <c r="C33" s="586"/>
      <c r="D33" s="586"/>
      <c r="E33" s="586"/>
      <c r="F33" s="586"/>
      <c r="G33" s="586"/>
      <c r="H33" s="586"/>
      <c r="I33" s="586"/>
      <c r="J33" s="82"/>
      <c r="K33" s="162">
        <f>SUM(K13:K32)</f>
        <v>3456000</v>
      </c>
      <c r="L33" s="162">
        <f>SUM(L13:L32)</f>
        <v>3200000</v>
      </c>
      <c r="M33" s="163">
        <f>SUM(M13:M32)</f>
        <v>3200000</v>
      </c>
      <c r="N33" s="14"/>
      <c r="Q33" s="183">
        <f>SUM(Q13:Q32)</f>
        <v>2133328</v>
      </c>
      <c r="R33" s="186"/>
    </row>
    <row r="34" spans="1:18" ht="13.5" customHeight="1">
      <c r="A34" s="11"/>
      <c r="N34" s="11"/>
      <c r="R34" s="135"/>
    </row>
    <row r="35" spans="2:18" ht="13.5" customHeight="1">
      <c r="B35" s="1" t="s">
        <v>18</v>
      </c>
      <c r="D35" s="90"/>
      <c r="E35" s="80" t="s">
        <v>39</v>
      </c>
      <c r="H35" s="1"/>
      <c r="M35" s="101"/>
      <c r="N35" s="11"/>
      <c r="Q35" s="101"/>
      <c r="R35" s="135"/>
    </row>
    <row r="36" spans="1:24" s="80" customFormat="1" ht="13.5" customHeight="1">
      <c r="A36" s="5"/>
      <c r="B36" s="1"/>
      <c r="C36" s="1"/>
      <c r="D36" s="1"/>
      <c r="E36" s="80" t="s">
        <v>40</v>
      </c>
      <c r="G36" s="1"/>
      <c r="H36" s="1"/>
      <c r="I36" s="1"/>
      <c r="J36" s="1"/>
      <c r="K36" s="1"/>
      <c r="L36" s="1"/>
      <c r="N36" s="15"/>
      <c r="O36" s="5"/>
      <c r="P36" s="5"/>
      <c r="Q36" s="84"/>
      <c r="R36" s="135"/>
      <c r="S36" s="84"/>
      <c r="T36" s="84"/>
      <c r="U36" s="84"/>
      <c r="V36" s="84"/>
      <c r="W36" s="84"/>
      <c r="X36" s="84"/>
    </row>
    <row r="37" spans="1:24" s="80" customFormat="1" ht="13.5" customHeight="1">
      <c r="A37" s="5"/>
      <c r="B37" s="1" t="s">
        <v>19</v>
      </c>
      <c r="C37" s="1"/>
      <c r="D37" s="1"/>
      <c r="E37" s="80" t="s">
        <v>41</v>
      </c>
      <c r="G37" s="1"/>
      <c r="H37" s="1"/>
      <c r="I37" s="1"/>
      <c r="J37" s="1"/>
      <c r="K37" s="1"/>
      <c r="L37" s="1"/>
      <c r="M37" s="101"/>
      <c r="N37" s="5"/>
      <c r="O37" s="5"/>
      <c r="P37" s="5"/>
      <c r="Q37" s="101"/>
      <c r="R37" s="56"/>
      <c r="S37" s="84"/>
      <c r="T37" s="84"/>
      <c r="U37" s="84"/>
      <c r="V37" s="84"/>
      <c r="W37" s="84"/>
      <c r="X37" s="84"/>
    </row>
    <row r="38" spans="1:24" s="80" customFormat="1" ht="13.5" customHeight="1">
      <c r="A38" s="5"/>
      <c r="B38" s="1" t="s">
        <v>20</v>
      </c>
      <c r="C38" s="1"/>
      <c r="D38" s="1"/>
      <c r="E38" s="80" t="s">
        <v>42</v>
      </c>
      <c r="G38" s="1"/>
      <c r="H38" s="1"/>
      <c r="I38" s="1"/>
      <c r="J38" s="1"/>
      <c r="K38" s="1"/>
      <c r="L38" s="1"/>
      <c r="M38" s="101"/>
      <c r="N38" s="5"/>
      <c r="O38" s="5"/>
      <c r="P38" s="5"/>
      <c r="Q38" s="101"/>
      <c r="R38" s="56"/>
      <c r="S38" s="84"/>
      <c r="T38" s="84"/>
      <c r="U38" s="84"/>
      <c r="V38" s="84"/>
      <c r="W38" s="84"/>
      <c r="X38" s="84"/>
    </row>
    <row r="39" spans="13:17" ht="13.5">
      <c r="M39" s="9"/>
      <c r="Q39" s="9"/>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O8" sqref="O8"/>
      <selection pane="bottomLeft" activeCell="A1" sqref="A1"/>
    </sheetView>
  </sheetViews>
  <sheetFormatPr defaultColWidth="9.140625" defaultRowHeight="15"/>
  <cols>
    <col min="1" max="1" width="3.7109375" style="5" customWidth="1"/>
    <col min="2" max="4" width="3.7109375" style="1" customWidth="1"/>
    <col min="5" max="5" width="16.421875" style="85"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 width="10.421875" style="1" bestFit="1" customWidth="1"/>
    <col min="17" max="17" width="9.00390625" style="1" customWidth="1"/>
    <col min="18" max="18" width="10.421875" style="1" bestFit="1" customWidth="1"/>
    <col min="19" max="16384" width="9.00390625" style="1" customWidth="1"/>
  </cols>
  <sheetData>
    <row r="1" spans="8:18" ht="13.5">
      <c r="H1" s="5"/>
      <c r="P1" s="5"/>
      <c r="Q1" s="86"/>
      <c r="R1" s="86"/>
    </row>
    <row r="2" spans="2:18" ht="13.5">
      <c r="B2" s="258" t="s">
        <v>613</v>
      </c>
      <c r="H2" s="5"/>
      <c r="P2" s="5"/>
      <c r="Q2" s="86"/>
      <c r="R2" s="86"/>
    </row>
    <row r="3" spans="8:18" ht="13.5">
      <c r="H3" s="5"/>
      <c r="P3" s="5"/>
      <c r="Q3" s="86"/>
      <c r="R3" s="86"/>
    </row>
    <row r="4" spans="1:6" ht="13.5" customHeight="1">
      <c r="A4" s="587" t="s">
        <v>604</v>
      </c>
      <c r="B4" s="587"/>
      <c r="C4" s="587"/>
      <c r="D4" s="587"/>
      <c r="E4" s="587"/>
      <c r="F4" s="5"/>
    </row>
    <row r="5" spans="1:14" ht="13.5" customHeight="1">
      <c r="A5" s="11"/>
      <c r="B5" s="11"/>
      <c r="C5" s="11"/>
      <c r="D5" s="11"/>
      <c r="E5" s="111"/>
      <c r="F5" s="5"/>
      <c r="N5" s="11"/>
    </row>
    <row r="6" spans="1:14" ht="13.5" customHeight="1">
      <c r="A6" s="11"/>
      <c r="B6" s="250" t="s">
        <v>715</v>
      </c>
      <c r="C6" s="251"/>
      <c r="D6" s="252"/>
      <c r="E6" s="253"/>
      <c r="F6" s="88" t="s">
        <v>17</v>
      </c>
      <c r="N6" s="11"/>
    </row>
    <row r="7" spans="1:14" ht="13.5" customHeight="1">
      <c r="A7" s="11"/>
      <c r="B7" s="11"/>
      <c r="C7" s="11"/>
      <c r="D7" s="11"/>
      <c r="E7" s="111"/>
      <c r="F7" s="136" t="s">
        <v>25</v>
      </c>
      <c r="N7" s="11"/>
    </row>
    <row r="8" spans="1:15" ht="13.5" customHeight="1">
      <c r="A8" s="11"/>
      <c r="B8" s="11"/>
      <c r="C8" s="11"/>
      <c r="D8" s="11"/>
      <c r="E8" s="111"/>
      <c r="F8" s="5"/>
      <c r="M8" s="1" t="s">
        <v>21</v>
      </c>
      <c r="N8" s="11"/>
      <c r="O8" s="89"/>
    </row>
    <row r="9" spans="1:14" ht="13.5" customHeight="1">
      <c r="A9" s="11"/>
      <c r="F9" s="5"/>
      <c r="K9" s="2" t="s">
        <v>38</v>
      </c>
      <c r="L9" s="8" t="str">
        <f>IF('基本情報入力（使い方）'!$C$10="","",'基本情報入力（使い方）'!$C$10)</f>
        <v>Ｂ金属株式会社</v>
      </c>
      <c r="M9" s="2"/>
      <c r="N9" s="11"/>
    </row>
    <row r="10" spans="1:14" ht="13.5" customHeight="1" thickBot="1">
      <c r="A10" s="11"/>
      <c r="F10" s="5"/>
      <c r="N10" s="11"/>
    </row>
    <row r="11" spans="1:15" ht="27" customHeight="1">
      <c r="A11" s="588" t="s">
        <v>2</v>
      </c>
      <c r="B11" s="577" t="s">
        <v>3</v>
      </c>
      <c r="C11" s="577"/>
      <c r="D11" s="578"/>
      <c r="E11" s="112" t="s">
        <v>4</v>
      </c>
      <c r="F11" s="3" t="s">
        <v>5</v>
      </c>
      <c r="G11" s="3" t="s">
        <v>6</v>
      </c>
      <c r="H11" s="3" t="s">
        <v>7</v>
      </c>
      <c r="I11" s="3" t="s">
        <v>1</v>
      </c>
      <c r="J11" s="3" t="s">
        <v>1</v>
      </c>
      <c r="K11" s="598" t="s">
        <v>8</v>
      </c>
      <c r="L11" s="578"/>
      <c r="M11" s="83" t="s">
        <v>9</v>
      </c>
      <c r="N11" s="579" t="s">
        <v>2</v>
      </c>
      <c r="O11" s="592" t="s">
        <v>46</v>
      </c>
    </row>
    <row r="12" spans="1:15" ht="42" customHeight="1" thickBot="1">
      <c r="A12" s="589"/>
      <c r="B12" s="92" t="s">
        <v>10</v>
      </c>
      <c r="C12" s="92" t="s">
        <v>11</v>
      </c>
      <c r="D12" s="93" t="s">
        <v>12</v>
      </c>
      <c r="E12" s="113"/>
      <c r="F12" s="95"/>
      <c r="G12" s="81"/>
      <c r="H12" s="81"/>
      <c r="I12" s="81" t="s">
        <v>13</v>
      </c>
      <c r="J12" s="81" t="s">
        <v>26</v>
      </c>
      <c r="K12" s="81" t="s">
        <v>14</v>
      </c>
      <c r="L12" s="4" t="s">
        <v>24</v>
      </c>
      <c r="M12" s="4" t="s">
        <v>15</v>
      </c>
      <c r="N12" s="580"/>
      <c r="O12" s="593"/>
    </row>
    <row r="13" spans="1:15" ht="30.75" customHeight="1">
      <c r="A13" s="16">
        <v>1</v>
      </c>
      <c r="B13" s="583"/>
      <c r="C13" s="584"/>
      <c r="D13" s="584"/>
      <c r="E13" s="73" t="s">
        <v>630</v>
      </c>
      <c r="F13" s="74" t="s">
        <v>631</v>
      </c>
      <c r="G13" s="175">
        <v>20</v>
      </c>
      <c r="H13" s="168" t="s">
        <v>632</v>
      </c>
      <c r="I13" s="150">
        <f>IF(J13="","",ROUNDDOWN(J13*(1+O13/100),0))</f>
        <v>5140</v>
      </c>
      <c r="J13" s="152">
        <v>4760</v>
      </c>
      <c r="K13" s="150">
        <f>IF(L13="","",ROUNDDOWN(L13*(1+O13/100),0))</f>
        <v>102816</v>
      </c>
      <c r="L13" s="150">
        <f>IF(OR(J13="",G13=""),"",ROUNDDOWN(J13*G13,0))</f>
        <v>95200</v>
      </c>
      <c r="M13" s="150">
        <f aca="true" t="shared" si="0" ref="M13:M32">L13</f>
        <v>95200</v>
      </c>
      <c r="N13" s="12">
        <v>1</v>
      </c>
      <c r="O13" s="114">
        <v>8</v>
      </c>
    </row>
    <row r="14" spans="1:16" ht="30.75" customHeight="1">
      <c r="A14" s="17">
        <v>2</v>
      </c>
      <c r="B14" s="583"/>
      <c r="C14" s="584"/>
      <c r="D14" s="584"/>
      <c r="E14" s="74" t="s">
        <v>630</v>
      </c>
      <c r="F14" s="74" t="s">
        <v>633</v>
      </c>
      <c r="G14" s="176">
        <v>10</v>
      </c>
      <c r="H14" s="168" t="s">
        <v>634</v>
      </c>
      <c r="I14" s="150">
        <f aca="true" t="shared" si="1" ref="I14:I32">IF(J14="","",ROUNDDOWN(J14*(1+O14/100),0))</f>
        <v>3807</v>
      </c>
      <c r="J14" s="166">
        <v>3525</v>
      </c>
      <c r="K14" s="150">
        <f aca="true" t="shared" si="2" ref="K14:K32">IF(L14="","",ROUNDDOWN(L14*(1+O14/100),0))</f>
        <v>38070</v>
      </c>
      <c r="L14" s="151">
        <f aca="true" t="shared" si="3" ref="L14:L32">IF(OR(J14="",G14=""),"",ROUNDDOWN(J14*G14,0))</f>
        <v>35250</v>
      </c>
      <c r="M14" s="151">
        <f t="shared" si="0"/>
        <v>35250</v>
      </c>
      <c r="N14" s="13">
        <v>2</v>
      </c>
      <c r="O14" s="114">
        <v>8</v>
      </c>
      <c r="P14" s="89"/>
    </row>
    <row r="15" spans="1:16" ht="30.75" customHeight="1">
      <c r="A15" s="16">
        <v>3</v>
      </c>
      <c r="B15" s="583"/>
      <c r="C15" s="584"/>
      <c r="D15" s="584"/>
      <c r="E15" s="75" t="s">
        <v>630</v>
      </c>
      <c r="F15" s="75" t="s">
        <v>635</v>
      </c>
      <c r="G15" s="176">
        <v>10</v>
      </c>
      <c r="H15" s="168" t="s">
        <v>636</v>
      </c>
      <c r="I15" s="150">
        <f t="shared" si="1"/>
        <v>16200</v>
      </c>
      <c r="J15" s="166">
        <v>15000</v>
      </c>
      <c r="K15" s="150">
        <f t="shared" si="2"/>
        <v>162000</v>
      </c>
      <c r="L15" s="151">
        <f t="shared" si="3"/>
        <v>150000</v>
      </c>
      <c r="M15" s="151">
        <f t="shared" si="0"/>
        <v>150000</v>
      </c>
      <c r="N15" s="12">
        <v>3</v>
      </c>
      <c r="O15" s="114">
        <v>8</v>
      </c>
      <c r="P15" s="89"/>
    </row>
    <row r="16" spans="1:18" s="10" customFormat="1" ht="30.75" customHeight="1">
      <c r="A16" s="17">
        <v>4</v>
      </c>
      <c r="B16" s="583"/>
      <c r="C16" s="584"/>
      <c r="D16" s="584"/>
      <c r="E16" s="75" t="s">
        <v>630</v>
      </c>
      <c r="F16" s="75" t="s">
        <v>637</v>
      </c>
      <c r="G16" s="175">
        <v>10</v>
      </c>
      <c r="H16" s="168" t="s">
        <v>634</v>
      </c>
      <c r="I16" s="150">
        <f t="shared" si="1"/>
        <v>1620</v>
      </c>
      <c r="J16" s="166">
        <v>1500</v>
      </c>
      <c r="K16" s="150">
        <f t="shared" si="2"/>
        <v>16200</v>
      </c>
      <c r="L16" s="151">
        <f t="shared" si="3"/>
        <v>15000</v>
      </c>
      <c r="M16" s="151">
        <f t="shared" si="0"/>
        <v>15000</v>
      </c>
      <c r="N16" s="13">
        <v>4</v>
      </c>
      <c r="O16" s="114">
        <v>8</v>
      </c>
      <c r="P16" s="89"/>
      <c r="Q16" s="1"/>
      <c r="R16" s="1"/>
    </row>
    <row r="17" spans="1:18" s="10" customFormat="1" ht="30.75" customHeight="1">
      <c r="A17" s="16">
        <v>5</v>
      </c>
      <c r="B17" s="583"/>
      <c r="C17" s="584"/>
      <c r="D17" s="584"/>
      <c r="E17" s="75" t="s">
        <v>630</v>
      </c>
      <c r="F17" s="75" t="s">
        <v>637</v>
      </c>
      <c r="G17" s="176">
        <v>1</v>
      </c>
      <c r="H17" s="168" t="s">
        <v>636</v>
      </c>
      <c r="I17" s="150">
        <f t="shared" si="1"/>
        <v>129600</v>
      </c>
      <c r="J17" s="166">
        <v>120000</v>
      </c>
      <c r="K17" s="150">
        <f t="shared" si="2"/>
        <v>129600</v>
      </c>
      <c r="L17" s="151">
        <f t="shared" si="3"/>
        <v>120000</v>
      </c>
      <c r="M17" s="151">
        <f t="shared" si="0"/>
        <v>120000</v>
      </c>
      <c r="N17" s="12">
        <v>5</v>
      </c>
      <c r="O17" s="114">
        <v>8</v>
      </c>
      <c r="P17" s="1"/>
      <c r="Q17" s="1"/>
      <c r="R17" s="1"/>
    </row>
    <row r="18" spans="1:15" ht="30.75" customHeight="1">
      <c r="A18" s="17">
        <v>6</v>
      </c>
      <c r="B18" s="583"/>
      <c r="C18" s="584"/>
      <c r="D18" s="584"/>
      <c r="E18" s="76" t="s">
        <v>630</v>
      </c>
      <c r="F18" s="75" t="s">
        <v>637</v>
      </c>
      <c r="G18" s="176">
        <v>1</v>
      </c>
      <c r="H18" s="168" t="s">
        <v>638</v>
      </c>
      <c r="I18" s="150">
        <f t="shared" si="1"/>
        <v>105840</v>
      </c>
      <c r="J18" s="166">
        <v>98000</v>
      </c>
      <c r="K18" s="150">
        <f t="shared" si="2"/>
        <v>105840</v>
      </c>
      <c r="L18" s="151">
        <f t="shared" si="3"/>
        <v>98000</v>
      </c>
      <c r="M18" s="151">
        <f t="shared" si="0"/>
        <v>98000</v>
      </c>
      <c r="N18" s="13">
        <v>6</v>
      </c>
      <c r="O18" s="114">
        <v>8</v>
      </c>
    </row>
    <row r="19" spans="1:15" ht="30.75" customHeight="1">
      <c r="A19" s="16">
        <v>7</v>
      </c>
      <c r="B19" s="583"/>
      <c r="C19" s="584"/>
      <c r="D19" s="584"/>
      <c r="E19" s="76"/>
      <c r="F19" s="75"/>
      <c r="G19" s="175"/>
      <c r="H19" s="172"/>
      <c r="I19" s="150">
        <f t="shared" si="1"/>
      </c>
      <c r="J19" s="166"/>
      <c r="K19" s="150">
        <f t="shared" si="2"/>
      </c>
      <c r="L19" s="151">
        <f t="shared" si="3"/>
      </c>
      <c r="M19" s="151">
        <f t="shared" si="0"/>
      </c>
      <c r="N19" s="12">
        <v>7</v>
      </c>
      <c r="O19" s="114">
        <v>8</v>
      </c>
    </row>
    <row r="20" spans="1:15" ht="30.75" customHeight="1">
      <c r="A20" s="17">
        <v>8</v>
      </c>
      <c r="B20" s="583"/>
      <c r="C20" s="584"/>
      <c r="D20" s="584"/>
      <c r="E20" s="76"/>
      <c r="F20" s="75"/>
      <c r="G20" s="176"/>
      <c r="H20" s="172"/>
      <c r="I20" s="150">
        <f t="shared" si="1"/>
      </c>
      <c r="J20" s="166"/>
      <c r="K20" s="150">
        <f t="shared" si="2"/>
      </c>
      <c r="L20" s="151">
        <f t="shared" si="3"/>
      </c>
      <c r="M20" s="151">
        <f t="shared" si="0"/>
      </c>
      <c r="N20" s="13">
        <v>8</v>
      </c>
      <c r="O20" s="114">
        <v>8</v>
      </c>
    </row>
    <row r="21" spans="1:15" ht="30.75" customHeight="1">
      <c r="A21" s="16">
        <v>9</v>
      </c>
      <c r="B21" s="583"/>
      <c r="C21" s="584"/>
      <c r="D21" s="584"/>
      <c r="E21" s="76"/>
      <c r="F21" s="75"/>
      <c r="G21" s="176"/>
      <c r="H21" s="172"/>
      <c r="I21" s="150">
        <f t="shared" si="1"/>
      </c>
      <c r="J21" s="166"/>
      <c r="K21" s="150">
        <f t="shared" si="2"/>
      </c>
      <c r="L21" s="151">
        <f t="shared" si="3"/>
      </c>
      <c r="M21" s="151">
        <f t="shared" si="0"/>
      </c>
      <c r="N21" s="12">
        <v>9</v>
      </c>
      <c r="O21" s="114">
        <v>8</v>
      </c>
    </row>
    <row r="22" spans="1:15" ht="30.75" customHeight="1">
      <c r="A22" s="17">
        <v>10</v>
      </c>
      <c r="B22" s="583"/>
      <c r="C22" s="584"/>
      <c r="D22" s="584"/>
      <c r="E22" s="76"/>
      <c r="F22" s="75"/>
      <c r="G22" s="175"/>
      <c r="H22" s="172"/>
      <c r="I22" s="150">
        <f t="shared" si="1"/>
      </c>
      <c r="J22" s="166"/>
      <c r="K22" s="150">
        <f t="shared" si="2"/>
      </c>
      <c r="L22" s="151">
        <f t="shared" si="3"/>
      </c>
      <c r="M22" s="151">
        <f t="shared" si="0"/>
      </c>
      <c r="N22" s="13">
        <v>10</v>
      </c>
      <c r="O22" s="114">
        <v>8</v>
      </c>
    </row>
    <row r="23" spans="1:15" ht="30.75" customHeight="1">
      <c r="A23" s="16">
        <v>11</v>
      </c>
      <c r="B23" s="583"/>
      <c r="C23" s="584"/>
      <c r="D23" s="584"/>
      <c r="E23" s="76"/>
      <c r="F23" s="75"/>
      <c r="G23" s="176"/>
      <c r="H23" s="172"/>
      <c r="I23" s="150">
        <f t="shared" si="1"/>
      </c>
      <c r="J23" s="166"/>
      <c r="K23" s="150">
        <f t="shared" si="2"/>
      </c>
      <c r="L23" s="151">
        <f t="shared" si="3"/>
      </c>
      <c r="M23" s="151">
        <f t="shared" si="0"/>
      </c>
      <c r="N23" s="12">
        <v>11</v>
      </c>
      <c r="O23" s="114">
        <v>8</v>
      </c>
    </row>
    <row r="24" spans="1:15" ht="30.75" customHeight="1">
      <c r="A24" s="17">
        <v>12</v>
      </c>
      <c r="B24" s="583"/>
      <c r="C24" s="584"/>
      <c r="D24" s="584"/>
      <c r="E24" s="76"/>
      <c r="F24" s="75"/>
      <c r="G24" s="176"/>
      <c r="H24" s="172"/>
      <c r="I24" s="150">
        <f t="shared" si="1"/>
      </c>
      <c r="J24" s="166"/>
      <c r="K24" s="150">
        <f t="shared" si="2"/>
      </c>
      <c r="L24" s="151">
        <f t="shared" si="3"/>
      </c>
      <c r="M24" s="151">
        <f t="shared" si="0"/>
      </c>
      <c r="N24" s="13">
        <v>12</v>
      </c>
      <c r="O24" s="114">
        <v>8</v>
      </c>
    </row>
    <row r="25" spans="1:15" ht="30.75" customHeight="1">
      <c r="A25" s="16">
        <v>13</v>
      </c>
      <c r="B25" s="583"/>
      <c r="C25" s="584"/>
      <c r="D25" s="584"/>
      <c r="E25" s="76"/>
      <c r="F25" s="75"/>
      <c r="G25" s="175"/>
      <c r="H25" s="172"/>
      <c r="I25" s="150">
        <f t="shared" si="1"/>
      </c>
      <c r="J25" s="166"/>
      <c r="K25" s="150">
        <f t="shared" si="2"/>
      </c>
      <c r="L25" s="151">
        <f t="shared" si="3"/>
      </c>
      <c r="M25" s="151">
        <f t="shared" si="0"/>
      </c>
      <c r="N25" s="12">
        <v>13</v>
      </c>
      <c r="O25" s="114">
        <v>8</v>
      </c>
    </row>
    <row r="26" spans="1:15" ht="30.75" customHeight="1">
      <c r="A26" s="17">
        <v>14</v>
      </c>
      <c r="B26" s="583"/>
      <c r="C26" s="584"/>
      <c r="D26" s="584"/>
      <c r="E26" s="76"/>
      <c r="F26" s="75"/>
      <c r="G26" s="176"/>
      <c r="H26" s="172"/>
      <c r="I26" s="150">
        <f t="shared" si="1"/>
      </c>
      <c r="J26" s="166"/>
      <c r="K26" s="150">
        <f t="shared" si="2"/>
      </c>
      <c r="L26" s="151">
        <f t="shared" si="3"/>
      </c>
      <c r="M26" s="151">
        <f t="shared" si="0"/>
      </c>
      <c r="N26" s="13">
        <v>14</v>
      </c>
      <c r="O26" s="114">
        <v>8</v>
      </c>
    </row>
    <row r="27" spans="1:15" ht="30.75" customHeight="1">
      <c r="A27" s="16">
        <v>15</v>
      </c>
      <c r="B27" s="583"/>
      <c r="C27" s="584"/>
      <c r="D27" s="584"/>
      <c r="E27" s="76"/>
      <c r="F27" s="75"/>
      <c r="G27" s="175"/>
      <c r="H27" s="172"/>
      <c r="I27" s="150">
        <f t="shared" si="1"/>
      </c>
      <c r="J27" s="166"/>
      <c r="K27" s="150">
        <f t="shared" si="2"/>
      </c>
      <c r="L27" s="151">
        <f t="shared" si="3"/>
      </c>
      <c r="M27" s="151">
        <f t="shared" si="0"/>
      </c>
      <c r="N27" s="12">
        <v>15</v>
      </c>
      <c r="O27" s="114">
        <v>8</v>
      </c>
    </row>
    <row r="28" spans="1:15" ht="30.75" customHeight="1">
      <c r="A28" s="17">
        <v>16</v>
      </c>
      <c r="B28" s="583"/>
      <c r="C28" s="584"/>
      <c r="D28" s="584"/>
      <c r="E28" s="76"/>
      <c r="F28" s="75"/>
      <c r="G28" s="176"/>
      <c r="H28" s="172"/>
      <c r="I28" s="150">
        <f t="shared" si="1"/>
      </c>
      <c r="J28" s="166"/>
      <c r="K28" s="150">
        <f t="shared" si="2"/>
      </c>
      <c r="L28" s="151">
        <f t="shared" si="3"/>
      </c>
      <c r="M28" s="151">
        <f t="shared" si="0"/>
      </c>
      <c r="N28" s="13">
        <v>16</v>
      </c>
      <c r="O28" s="114">
        <v>8</v>
      </c>
    </row>
    <row r="29" spans="1:15" ht="30.75" customHeight="1">
      <c r="A29" s="16">
        <v>17</v>
      </c>
      <c r="B29" s="583"/>
      <c r="C29" s="584"/>
      <c r="D29" s="584"/>
      <c r="E29" s="76"/>
      <c r="F29" s="75"/>
      <c r="G29" s="175"/>
      <c r="H29" s="172"/>
      <c r="I29" s="150">
        <f t="shared" si="1"/>
      </c>
      <c r="J29" s="166"/>
      <c r="K29" s="150">
        <f t="shared" si="2"/>
      </c>
      <c r="L29" s="151">
        <f t="shared" si="3"/>
      </c>
      <c r="M29" s="151">
        <f t="shared" si="0"/>
      </c>
      <c r="N29" s="12">
        <v>17</v>
      </c>
      <c r="O29" s="114">
        <v>8</v>
      </c>
    </row>
    <row r="30" spans="1:15" ht="30.75" customHeight="1">
      <c r="A30" s="17">
        <v>18</v>
      </c>
      <c r="B30" s="583"/>
      <c r="C30" s="584"/>
      <c r="D30" s="584"/>
      <c r="E30" s="77"/>
      <c r="F30" s="77"/>
      <c r="G30" s="180"/>
      <c r="H30" s="173"/>
      <c r="I30" s="150">
        <f t="shared" si="1"/>
      </c>
      <c r="J30" s="166"/>
      <c r="K30" s="150">
        <f t="shared" si="2"/>
      </c>
      <c r="L30" s="151">
        <f t="shared" si="3"/>
      </c>
      <c r="M30" s="151">
        <f t="shared" si="0"/>
      </c>
      <c r="N30" s="13">
        <v>18</v>
      </c>
      <c r="O30" s="114">
        <v>8</v>
      </c>
    </row>
    <row r="31" spans="1:15" ht="30.75" customHeight="1">
      <c r="A31" s="16">
        <v>19</v>
      </c>
      <c r="B31" s="583"/>
      <c r="C31" s="584"/>
      <c r="D31" s="584"/>
      <c r="E31" s="77"/>
      <c r="F31" s="77"/>
      <c r="G31" s="180"/>
      <c r="H31" s="173"/>
      <c r="I31" s="150">
        <f t="shared" si="1"/>
      </c>
      <c r="J31" s="166"/>
      <c r="K31" s="150">
        <f t="shared" si="2"/>
      </c>
      <c r="L31" s="151">
        <f t="shared" si="3"/>
      </c>
      <c r="M31" s="151">
        <f t="shared" si="0"/>
      </c>
      <c r="N31" s="12">
        <v>19</v>
      </c>
      <c r="O31" s="114">
        <v>8</v>
      </c>
    </row>
    <row r="32" spans="1:15" ht="30.75" customHeight="1" thickBot="1">
      <c r="A32" s="27">
        <v>20</v>
      </c>
      <c r="B32" s="590"/>
      <c r="C32" s="591"/>
      <c r="D32" s="591"/>
      <c r="E32" s="78"/>
      <c r="F32" s="78"/>
      <c r="G32" s="181"/>
      <c r="H32" s="174"/>
      <c r="I32" s="153">
        <f t="shared" si="1"/>
      </c>
      <c r="J32" s="167"/>
      <c r="K32" s="153">
        <f t="shared" si="2"/>
      </c>
      <c r="L32" s="155">
        <f t="shared" si="3"/>
      </c>
      <c r="M32" s="155">
        <f t="shared" si="0"/>
      </c>
      <c r="N32" s="28">
        <v>20</v>
      </c>
      <c r="O32" s="115">
        <v>8</v>
      </c>
    </row>
    <row r="33" spans="1:14" ht="21" customHeight="1" thickBot="1">
      <c r="A33" s="585" t="s">
        <v>16</v>
      </c>
      <c r="B33" s="586"/>
      <c r="C33" s="586"/>
      <c r="D33" s="586"/>
      <c r="E33" s="586"/>
      <c r="F33" s="586"/>
      <c r="G33" s="586"/>
      <c r="H33" s="586"/>
      <c r="I33" s="586"/>
      <c r="J33" s="82"/>
      <c r="K33" s="162">
        <f>SUM(K13:K32)</f>
        <v>554526</v>
      </c>
      <c r="L33" s="164">
        <f>SUM(L13:L32)</f>
        <v>513450</v>
      </c>
      <c r="M33" s="165">
        <f>SUM(M13:M32)</f>
        <v>513450</v>
      </c>
      <c r="N33" s="14"/>
    </row>
    <row r="34" spans="1:14" ht="13.5" customHeight="1">
      <c r="A34" s="11"/>
      <c r="N34" s="11"/>
    </row>
    <row r="35" spans="2:14" ht="13.5" customHeight="1">
      <c r="B35" s="1" t="s">
        <v>18</v>
      </c>
      <c r="D35" s="90"/>
      <c r="E35" s="80" t="s">
        <v>39</v>
      </c>
      <c r="N35" s="11"/>
    </row>
    <row r="36" spans="5:16" ht="13.5" customHeight="1">
      <c r="E36" s="80" t="s">
        <v>40</v>
      </c>
      <c r="N36" s="15"/>
      <c r="P36" s="80"/>
    </row>
    <row r="37" spans="2:16" ht="13.5" customHeight="1">
      <c r="B37" s="1" t="s">
        <v>19</v>
      </c>
      <c r="E37" s="80" t="s">
        <v>41</v>
      </c>
      <c r="P37" s="80"/>
    </row>
    <row r="38" spans="2:16" ht="13.5" customHeight="1">
      <c r="B38" s="1" t="s">
        <v>20</v>
      </c>
      <c r="E38" s="80" t="s">
        <v>42</v>
      </c>
      <c r="P38" s="80"/>
    </row>
    <row r="39" spans="1:16" s="80" customFormat="1" ht="13.5">
      <c r="A39" s="5"/>
      <c r="B39" s="1"/>
      <c r="C39" s="1"/>
      <c r="D39" s="1"/>
      <c r="E39" s="85"/>
      <c r="G39" s="1"/>
      <c r="H39" s="1"/>
      <c r="I39" s="1"/>
      <c r="J39" s="1"/>
      <c r="K39" s="1"/>
      <c r="L39" s="1"/>
      <c r="M39" s="1"/>
      <c r="N39" s="5"/>
      <c r="O39" s="5"/>
      <c r="P39" s="1"/>
    </row>
    <row r="40" spans="1:16" s="80" customFormat="1" ht="13.5">
      <c r="A40" s="5"/>
      <c r="B40" s="1"/>
      <c r="C40" s="1"/>
      <c r="D40" s="1"/>
      <c r="E40" s="85"/>
      <c r="G40" s="1"/>
      <c r="H40" s="1"/>
      <c r="I40" s="1"/>
      <c r="J40" s="1"/>
      <c r="K40" s="1"/>
      <c r="L40" s="1"/>
      <c r="M40" s="1"/>
      <c r="N40" s="5"/>
      <c r="O40" s="5"/>
      <c r="P40" s="1"/>
    </row>
    <row r="41" spans="1:16" s="80" customFormat="1" ht="13.5">
      <c r="A41" s="5"/>
      <c r="B41" s="1"/>
      <c r="C41" s="1"/>
      <c r="D41" s="1"/>
      <c r="E41" s="85"/>
      <c r="G41" s="1"/>
      <c r="H41" s="1"/>
      <c r="I41" s="1"/>
      <c r="J41" s="1"/>
      <c r="K41" s="1"/>
      <c r="L41" s="1"/>
      <c r="M41" s="1"/>
      <c r="N41" s="5"/>
      <c r="O41" s="5"/>
      <c r="P41" s="1"/>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O8" sqref="O8"/>
      <selection pane="bottomLeft" activeCell="A1" sqref="A1"/>
    </sheetView>
  </sheetViews>
  <sheetFormatPr defaultColWidth="9.140625" defaultRowHeight="15"/>
  <cols>
    <col min="1" max="4" width="3.7109375" style="1" customWidth="1"/>
    <col min="5" max="5" width="16.421875" style="85" customWidth="1"/>
    <col min="6" max="6" width="16.140625" style="80" customWidth="1"/>
    <col min="7" max="7" width="9.140625" style="1" customWidth="1"/>
    <col min="8" max="8" width="6.421875" style="1" customWidth="1"/>
    <col min="9" max="10" width="11.57421875" style="1" customWidth="1"/>
    <col min="11" max="13" width="15.140625" style="1" customWidth="1"/>
    <col min="14" max="14" width="3.8515625" style="5" customWidth="1"/>
    <col min="15" max="15" width="5.28125" style="5" customWidth="1"/>
    <col min="16" max="16" width="3.57421875" style="5" customWidth="1"/>
    <col min="17" max="16384" width="9.00390625" style="1" customWidth="1"/>
  </cols>
  <sheetData>
    <row r="1" spans="1:18" ht="13.5">
      <c r="A1" s="5"/>
      <c r="H1" s="5"/>
      <c r="Q1" s="86"/>
      <c r="R1" s="86"/>
    </row>
    <row r="2" spans="1:18" ht="13.5">
      <c r="A2" s="5"/>
      <c r="B2" s="258" t="s">
        <v>613</v>
      </c>
      <c r="H2" s="5"/>
      <c r="Q2" s="86"/>
      <c r="R2" s="86"/>
    </row>
    <row r="3" spans="1:18" ht="13.5">
      <c r="A3" s="5"/>
      <c r="H3" s="5"/>
      <c r="Q3" s="86"/>
      <c r="R3" s="86"/>
    </row>
    <row r="4" spans="1:6" ht="13.5" customHeight="1">
      <c r="A4" s="587" t="s">
        <v>604</v>
      </c>
      <c r="B4" s="587"/>
      <c r="C4" s="587"/>
      <c r="D4" s="587"/>
      <c r="E4" s="587"/>
      <c r="F4" s="5"/>
    </row>
    <row r="5" spans="1:16" ht="13.5" customHeight="1">
      <c r="A5" s="11"/>
      <c r="B5" s="11"/>
      <c r="C5" s="11"/>
      <c r="D5" s="11"/>
      <c r="E5" s="111"/>
      <c r="F5" s="5"/>
      <c r="N5" s="11"/>
      <c r="P5" s="11"/>
    </row>
    <row r="6" spans="1:16" ht="13.5" customHeight="1">
      <c r="A6" s="11"/>
      <c r="B6" s="250" t="s">
        <v>715</v>
      </c>
      <c r="C6" s="251"/>
      <c r="D6" s="252"/>
      <c r="E6" s="253"/>
      <c r="F6" s="88" t="s">
        <v>17</v>
      </c>
      <c r="N6" s="11"/>
      <c r="P6" s="11"/>
    </row>
    <row r="7" spans="1:16" ht="13.5" customHeight="1">
      <c r="A7" s="11"/>
      <c r="B7" s="11"/>
      <c r="C7" s="11"/>
      <c r="D7" s="11"/>
      <c r="E7" s="111"/>
      <c r="F7" s="136" t="s">
        <v>33</v>
      </c>
      <c r="N7" s="11"/>
      <c r="P7" s="11"/>
    </row>
    <row r="8" spans="1:16" ht="13.5" customHeight="1">
      <c r="A8" s="11"/>
      <c r="B8" s="11"/>
      <c r="C8" s="11"/>
      <c r="D8" s="11"/>
      <c r="E8" s="111"/>
      <c r="F8" s="5"/>
      <c r="M8" s="1" t="s">
        <v>21</v>
      </c>
      <c r="N8" s="11"/>
      <c r="O8" s="89"/>
      <c r="P8" s="11"/>
    </row>
    <row r="9" spans="1:16" ht="13.5" customHeight="1">
      <c r="A9" s="90"/>
      <c r="F9" s="5"/>
      <c r="K9" s="2" t="s">
        <v>38</v>
      </c>
      <c r="L9" s="8" t="str">
        <f>IF('基本情報入力（使い方）'!$C$10="","",'基本情報入力（使い方）'!$C$10)</f>
        <v>Ｂ金属株式会社</v>
      </c>
      <c r="N9" s="11"/>
      <c r="P9" s="11"/>
    </row>
    <row r="10" spans="1:16" ht="13.5" customHeight="1" thickBot="1">
      <c r="A10" s="90"/>
      <c r="F10" s="5"/>
      <c r="N10" s="11"/>
      <c r="P10" s="11"/>
    </row>
    <row r="11" spans="1:16" ht="27" customHeight="1">
      <c r="A11" s="588" t="s">
        <v>2</v>
      </c>
      <c r="B11" s="577" t="s">
        <v>3</v>
      </c>
      <c r="C11" s="577"/>
      <c r="D11" s="578"/>
      <c r="E11" s="112" t="s">
        <v>4</v>
      </c>
      <c r="F11" s="3" t="s">
        <v>5</v>
      </c>
      <c r="G11" s="3" t="s">
        <v>6</v>
      </c>
      <c r="H11" s="3" t="s">
        <v>7</v>
      </c>
      <c r="I11" s="3" t="s">
        <v>1</v>
      </c>
      <c r="J11" s="3" t="s">
        <v>1</v>
      </c>
      <c r="K11" s="598" t="s">
        <v>8</v>
      </c>
      <c r="L11" s="578"/>
      <c r="M11" s="83" t="s">
        <v>9</v>
      </c>
      <c r="N11" s="579" t="s">
        <v>2</v>
      </c>
      <c r="O11" s="592" t="s">
        <v>46</v>
      </c>
      <c r="P11" s="104"/>
    </row>
    <row r="12" spans="1:16" ht="42" customHeight="1" thickBot="1">
      <c r="A12" s="589"/>
      <c r="B12" s="92" t="s">
        <v>10</v>
      </c>
      <c r="C12" s="92" t="s">
        <v>11</v>
      </c>
      <c r="D12" s="93" t="s">
        <v>12</v>
      </c>
      <c r="E12" s="113"/>
      <c r="F12" s="95"/>
      <c r="G12" s="81"/>
      <c r="H12" s="81"/>
      <c r="I12" s="81" t="s">
        <v>13</v>
      </c>
      <c r="J12" s="81" t="s">
        <v>26</v>
      </c>
      <c r="K12" s="81" t="s">
        <v>14</v>
      </c>
      <c r="L12" s="4" t="s">
        <v>24</v>
      </c>
      <c r="M12" s="4" t="s">
        <v>15</v>
      </c>
      <c r="N12" s="580"/>
      <c r="O12" s="593"/>
      <c r="P12" s="104"/>
    </row>
    <row r="13" spans="1:16" ht="30.75" customHeight="1">
      <c r="A13" s="16">
        <v>1</v>
      </c>
      <c r="B13" s="594"/>
      <c r="C13" s="595"/>
      <c r="D13" s="595"/>
      <c r="E13" s="73" t="s">
        <v>639</v>
      </c>
      <c r="F13" s="74" t="s">
        <v>640</v>
      </c>
      <c r="G13" s="175">
        <v>100</v>
      </c>
      <c r="H13" s="168" t="s">
        <v>605</v>
      </c>
      <c r="I13" s="150">
        <f>IF(J13="","",ROUNDDOWN(J13*(1+O13/100),0))</f>
        <v>58320</v>
      </c>
      <c r="J13" s="152">
        <v>54000</v>
      </c>
      <c r="K13" s="150">
        <f>IF(L13="","",ROUNDDOWN(L13*(1+O13/100),0))</f>
        <v>5832000</v>
      </c>
      <c r="L13" s="150">
        <f>IF(OR(J13="",G13=""),"",ROUNDDOWN(J13*G13,0))</f>
        <v>5400000</v>
      </c>
      <c r="M13" s="160">
        <f aca="true" t="shared" si="0" ref="M13:M32">L13</f>
        <v>5400000</v>
      </c>
      <c r="N13" s="106">
        <v>1</v>
      </c>
      <c r="O13" s="107">
        <v>8</v>
      </c>
      <c r="P13" s="1"/>
    </row>
    <row r="14" spans="1:16" ht="30.75" customHeight="1">
      <c r="A14" s="17">
        <v>2</v>
      </c>
      <c r="B14" s="583"/>
      <c r="C14" s="584"/>
      <c r="D14" s="584"/>
      <c r="E14" s="97"/>
      <c r="F14" s="75"/>
      <c r="G14" s="175"/>
      <c r="H14" s="168"/>
      <c r="I14" s="150">
        <f aca="true" t="shared" si="1" ref="I14:I32">IF(J14="","",ROUNDDOWN(J14*(1+O14/100),0))</f>
      </c>
      <c r="J14" s="152"/>
      <c r="K14" s="150">
        <f aca="true" t="shared" si="2" ref="K14:K32">IF(L14="","",ROUNDDOWN(L14*(1+O14/100),0))</f>
      </c>
      <c r="L14" s="150">
        <f aca="true" t="shared" si="3" ref="L14:L32">IF(OR(J14="",G14=""),"",ROUNDDOWN(J14*G14,0))</f>
      </c>
      <c r="M14" s="160">
        <f t="shared" si="0"/>
      </c>
      <c r="N14" s="108">
        <v>2</v>
      </c>
      <c r="O14" s="107">
        <v>8</v>
      </c>
      <c r="P14" s="104"/>
    </row>
    <row r="15" spans="1:16" ht="30.75" customHeight="1">
      <c r="A15" s="16">
        <v>3</v>
      </c>
      <c r="B15" s="583"/>
      <c r="C15" s="584"/>
      <c r="D15" s="584"/>
      <c r="E15" s="97"/>
      <c r="F15" s="75"/>
      <c r="G15" s="175"/>
      <c r="H15" s="168"/>
      <c r="I15" s="150">
        <f t="shared" si="1"/>
      </c>
      <c r="J15" s="152"/>
      <c r="K15" s="150">
        <f t="shared" si="2"/>
      </c>
      <c r="L15" s="150">
        <f t="shared" si="3"/>
      </c>
      <c r="M15" s="160">
        <f t="shared" si="0"/>
      </c>
      <c r="N15" s="106">
        <v>3</v>
      </c>
      <c r="O15" s="107">
        <v>8</v>
      </c>
      <c r="P15" s="104"/>
    </row>
    <row r="16" spans="1:16" s="10" customFormat="1" ht="30.75" customHeight="1">
      <c r="A16" s="121">
        <v>4</v>
      </c>
      <c r="B16" s="583"/>
      <c r="C16" s="584"/>
      <c r="D16" s="584"/>
      <c r="E16" s="97"/>
      <c r="F16" s="75"/>
      <c r="G16" s="175"/>
      <c r="H16" s="168"/>
      <c r="I16" s="150">
        <f t="shared" si="1"/>
      </c>
      <c r="J16" s="152"/>
      <c r="K16" s="150">
        <f t="shared" si="2"/>
      </c>
      <c r="L16" s="150">
        <f t="shared" si="3"/>
      </c>
      <c r="M16" s="160">
        <f t="shared" si="0"/>
      </c>
      <c r="N16" s="116">
        <v>4</v>
      </c>
      <c r="O16" s="107">
        <v>8</v>
      </c>
      <c r="P16" s="117"/>
    </row>
    <row r="17" spans="1:16" s="10" customFormat="1" ht="30.75" customHeight="1">
      <c r="A17" s="126">
        <v>5</v>
      </c>
      <c r="B17" s="583"/>
      <c r="C17" s="584"/>
      <c r="D17" s="584"/>
      <c r="E17" s="97"/>
      <c r="F17" s="75"/>
      <c r="G17" s="175"/>
      <c r="H17" s="168"/>
      <c r="I17" s="150">
        <f t="shared" si="1"/>
      </c>
      <c r="J17" s="152"/>
      <c r="K17" s="150">
        <f t="shared" si="2"/>
      </c>
      <c r="L17" s="150">
        <f t="shared" si="3"/>
      </c>
      <c r="M17" s="160">
        <f t="shared" si="0"/>
      </c>
      <c r="N17" s="118">
        <v>5</v>
      </c>
      <c r="O17" s="107">
        <v>8</v>
      </c>
      <c r="P17" s="117"/>
    </row>
    <row r="18" spans="1:16" ht="30.75" customHeight="1">
      <c r="A18" s="17">
        <v>6</v>
      </c>
      <c r="B18" s="583"/>
      <c r="C18" s="584"/>
      <c r="D18" s="584"/>
      <c r="E18" s="97"/>
      <c r="F18" s="75"/>
      <c r="G18" s="175"/>
      <c r="H18" s="168"/>
      <c r="I18" s="150">
        <f t="shared" si="1"/>
      </c>
      <c r="J18" s="152"/>
      <c r="K18" s="150">
        <f t="shared" si="2"/>
      </c>
      <c r="L18" s="150">
        <f t="shared" si="3"/>
      </c>
      <c r="M18" s="160">
        <f t="shared" si="0"/>
      </c>
      <c r="N18" s="108">
        <v>6</v>
      </c>
      <c r="O18" s="107">
        <v>8</v>
      </c>
      <c r="P18" s="104"/>
    </row>
    <row r="19" spans="1:16" ht="30.75" customHeight="1">
      <c r="A19" s="16">
        <v>7</v>
      </c>
      <c r="B19" s="583"/>
      <c r="C19" s="584"/>
      <c r="D19" s="584"/>
      <c r="E19" s="97"/>
      <c r="F19" s="98"/>
      <c r="G19" s="175"/>
      <c r="H19" s="168"/>
      <c r="I19" s="150">
        <f t="shared" si="1"/>
      </c>
      <c r="J19" s="152"/>
      <c r="K19" s="150">
        <f t="shared" si="2"/>
      </c>
      <c r="L19" s="150">
        <f t="shared" si="3"/>
      </c>
      <c r="M19" s="160">
        <f t="shared" si="0"/>
      </c>
      <c r="N19" s="106">
        <v>7</v>
      </c>
      <c r="O19" s="107">
        <v>8</v>
      </c>
      <c r="P19" s="104"/>
    </row>
    <row r="20" spans="1:16" ht="30.75" customHeight="1">
      <c r="A20" s="17">
        <v>8</v>
      </c>
      <c r="B20" s="583"/>
      <c r="C20" s="584"/>
      <c r="D20" s="584"/>
      <c r="E20" s="97"/>
      <c r="F20" s="75"/>
      <c r="G20" s="175"/>
      <c r="H20" s="168"/>
      <c r="I20" s="150">
        <f t="shared" si="1"/>
      </c>
      <c r="J20" s="152"/>
      <c r="K20" s="150">
        <f t="shared" si="2"/>
      </c>
      <c r="L20" s="150">
        <f t="shared" si="3"/>
      </c>
      <c r="M20" s="160">
        <f t="shared" si="0"/>
      </c>
      <c r="N20" s="108">
        <v>8</v>
      </c>
      <c r="O20" s="107">
        <v>8</v>
      </c>
      <c r="P20" s="104"/>
    </row>
    <row r="21" spans="1:16" ht="30.75" customHeight="1">
      <c r="A21" s="16">
        <v>9</v>
      </c>
      <c r="B21" s="583"/>
      <c r="C21" s="584"/>
      <c r="D21" s="584"/>
      <c r="E21" s="97"/>
      <c r="F21" s="75"/>
      <c r="G21" s="175"/>
      <c r="H21" s="168"/>
      <c r="I21" s="150">
        <f t="shared" si="1"/>
      </c>
      <c r="J21" s="152"/>
      <c r="K21" s="150">
        <f t="shared" si="2"/>
      </c>
      <c r="L21" s="150">
        <f t="shared" si="3"/>
      </c>
      <c r="M21" s="160">
        <f t="shared" si="0"/>
      </c>
      <c r="N21" s="106">
        <v>9</v>
      </c>
      <c r="O21" s="107">
        <v>8</v>
      </c>
      <c r="P21" s="104"/>
    </row>
    <row r="22" spans="1:16" ht="30.75" customHeight="1">
      <c r="A22" s="17">
        <v>10</v>
      </c>
      <c r="B22" s="583"/>
      <c r="C22" s="584"/>
      <c r="D22" s="584"/>
      <c r="E22" s="97"/>
      <c r="F22" s="75"/>
      <c r="G22" s="175"/>
      <c r="H22" s="168"/>
      <c r="I22" s="150">
        <f t="shared" si="1"/>
      </c>
      <c r="J22" s="152"/>
      <c r="K22" s="150">
        <f t="shared" si="2"/>
      </c>
      <c r="L22" s="150">
        <f t="shared" si="3"/>
      </c>
      <c r="M22" s="160">
        <f t="shared" si="0"/>
      </c>
      <c r="N22" s="108">
        <v>10</v>
      </c>
      <c r="O22" s="107">
        <v>8</v>
      </c>
      <c r="P22" s="104"/>
    </row>
    <row r="23" spans="1:16" ht="30.75" customHeight="1">
      <c r="A23" s="16">
        <v>11</v>
      </c>
      <c r="B23" s="583"/>
      <c r="C23" s="584"/>
      <c r="D23" s="584"/>
      <c r="E23" s="97"/>
      <c r="F23" s="75"/>
      <c r="G23" s="175"/>
      <c r="H23" s="168"/>
      <c r="I23" s="150">
        <f t="shared" si="1"/>
      </c>
      <c r="J23" s="152"/>
      <c r="K23" s="150">
        <f t="shared" si="2"/>
      </c>
      <c r="L23" s="150">
        <f t="shared" si="3"/>
      </c>
      <c r="M23" s="160">
        <f t="shared" si="0"/>
      </c>
      <c r="N23" s="106">
        <v>11</v>
      </c>
      <c r="O23" s="107">
        <v>8</v>
      </c>
      <c r="P23" s="104"/>
    </row>
    <row r="24" spans="1:16" ht="30.75" customHeight="1">
      <c r="A24" s="17">
        <v>12</v>
      </c>
      <c r="B24" s="583"/>
      <c r="C24" s="584"/>
      <c r="D24" s="584"/>
      <c r="E24" s="97"/>
      <c r="F24" s="75"/>
      <c r="G24" s="175"/>
      <c r="H24" s="168"/>
      <c r="I24" s="150">
        <f t="shared" si="1"/>
      </c>
      <c r="J24" s="152"/>
      <c r="K24" s="150">
        <f t="shared" si="2"/>
      </c>
      <c r="L24" s="150">
        <f t="shared" si="3"/>
      </c>
      <c r="M24" s="160">
        <f t="shared" si="0"/>
      </c>
      <c r="N24" s="108">
        <v>12</v>
      </c>
      <c r="O24" s="107">
        <v>8</v>
      </c>
      <c r="P24" s="104"/>
    </row>
    <row r="25" spans="1:16" ht="30.75" customHeight="1">
      <c r="A25" s="16">
        <v>13</v>
      </c>
      <c r="B25" s="583"/>
      <c r="C25" s="584"/>
      <c r="D25" s="584"/>
      <c r="E25" s="97"/>
      <c r="F25" s="75"/>
      <c r="G25" s="175"/>
      <c r="H25" s="168"/>
      <c r="I25" s="150">
        <f t="shared" si="1"/>
      </c>
      <c r="J25" s="152"/>
      <c r="K25" s="150">
        <f t="shared" si="2"/>
      </c>
      <c r="L25" s="150">
        <f t="shared" si="3"/>
      </c>
      <c r="M25" s="160">
        <f t="shared" si="0"/>
      </c>
      <c r="N25" s="106">
        <v>13</v>
      </c>
      <c r="O25" s="107">
        <v>8</v>
      </c>
      <c r="P25" s="104"/>
    </row>
    <row r="26" spans="1:16" ht="30.75" customHeight="1">
      <c r="A26" s="17">
        <v>14</v>
      </c>
      <c r="B26" s="583"/>
      <c r="C26" s="584"/>
      <c r="D26" s="584"/>
      <c r="E26" s="119"/>
      <c r="F26" s="75"/>
      <c r="G26" s="175"/>
      <c r="H26" s="168"/>
      <c r="I26" s="150">
        <f t="shared" si="1"/>
      </c>
      <c r="J26" s="152"/>
      <c r="K26" s="150">
        <f t="shared" si="2"/>
      </c>
      <c r="L26" s="150">
        <f t="shared" si="3"/>
      </c>
      <c r="M26" s="160">
        <f t="shared" si="0"/>
      </c>
      <c r="N26" s="108">
        <v>14</v>
      </c>
      <c r="O26" s="107">
        <v>8</v>
      </c>
      <c r="P26" s="104"/>
    </row>
    <row r="27" spans="1:16" ht="30.75" customHeight="1">
      <c r="A27" s="16">
        <v>15</v>
      </c>
      <c r="B27" s="583"/>
      <c r="C27" s="584"/>
      <c r="D27" s="584"/>
      <c r="E27" s="119"/>
      <c r="F27" s="75"/>
      <c r="G27" s="175"/>
      <c r="H27" s="168"/>
      <c r="I27" s="150">
        <f t="shared" si="1"/>
      </c>
      <c r="J27" s="152"/>
      <c r="K27" s="150">
        <f t="shared" si="2"/>
      </c>
      <c r="L27" s="150">
        <f t="shared" si="3"/>
      </c>
      <c r="M27" s="160">
        <f t="shared" si="0"/>
      </c>
      <c r="N27" s="106">
        <v>15</v>
      </c>
      <c r="O27" s="107">
        <v>8</v>
      </c>
      <c r="P27" s="104"/>
    </row>
    <row r="28" spans="1:16" ht="30.75" customHeight="1">
      <c r="A28" s="17">
        <v>16</v>
      </c>
      <c r="B28" s="583"/>
      <c r="C28" s="584"/>
      <c r="D28" s="584"/>
      <c r="E28" s="97"/>
      <c r="F28" s="75"/>
      <c r="G28" s="175"/>
      <c r="H28" s="168"/>
      <c r="I28" s="150">
        <f t="shared" si="1"/>
      </c>
      <c r="J28" s="152"/>
      <c r="K28" s="150">
        <f t="shared" si="2"/>
      </c>
      <c r="L28" s="150">
        <f t="shared" si="3"/>
      </c>
      <c r="M28" s="160">
        <f t="shared" si="0"/>
      </c>
      <c r="N28" s="108">
        <v>16</v>
      </c>
      <c r="O28" s="107">
        <v>8</v>
      </c>
      <c r="P28" s="104"/>
    </row>
    <row r="29" spans="1:16" ht="30.75" customHeight="1">
      <c r="A29" s="16">
        <v>17</v>
      </c>
      <c r="B29" s="583"/>
      <c r="C29" s="584"/>
      <c r="D29" s="584"/>
      <c r="E29" s="97"/>
      <c r="F29" s="75"/>
      <c r="G29" s="175"/>
      <c r="H29" s="168"/>
      <c r="I29" s="150">
        <f t="shared" si="1"/>
      </c>
      <c r="J29" s="152"/>
      <c r="K29" s="150">
        <f t="shared" si="2"/>
      </c>
      <c r="L29" s="150">
        <f t="shared" si="3"/>
      </c>
      <c r="M29" s="160">
        <f t="shared" si="0"/>
      </c>
      <c r="N29" s="106">
        <v>17</v>
      </c>
      <c r="O29" s="107">
        <v>8</v>
      </c>
      <c r="P29" s="104"/>
    </row>
    <row r="30" spans="1:16" ht="30.75" customHeight="1">
      <c r="A30" s="17">
        <v>18</v>
      </c>
      <c r="B30" s="583"/>
      <c r="C30" s="584"/>
      <c r="D30" s="584"/>
      <c r="E30" s="97"/>
      <c r="F30" s="75"/>
      <c r="G30" s="175"/>
      <c r="H30" s="168"/>
      <c r="I30" s="150">
        <f t="shared" si="1"/>
      </c>
      <c r="J30" s="152"/>
      <c r="K30" s="150">
        <f t="shared" si="2"/>
      </c>
      <c r="L30" s="150">
        <f t="shared" si="3"/>
      </c>
      <c r="M30" s="160">
        <f t="shared" si="0"/>
      </c>
      <c r="N30" s="108">
        <v>18</v>
      </c>
      <c r="O30" s="107">
        <v>8</v>
      </c>
      <c r="P30" s="104"/>
    </row>
    <row r="31" spans="1:16" ht="30.75" customHeight="1">
      <c r="A31" s="16">
        <v>19</v>
      </c>
      <c r="B31" s="583"/>
      <c r="C31" s="584"/>
      <c r="D31" s="584"/>
      <c r="E31" s="119"/>
      <c r="F31" s="75"/>
      <c r="G31" s="175"/>
      <c r="H31" s="168"/>
      <c r="I31" s="150">
        <f t="shared" si="1"/>
      </c>
      <c r="J31" s="152"/>
      <c r="K31" s="150">
        <f t="shared" si="2"/>
      </c>
      <c r="L31" s="150">
        <f t="shared" si="3"/>
      </c>
      <c r="M31" s="160">
        <f t="shared" si="0"/>
      </c>
      <c r="N31" s="106">
        <v>19</v>
      </c>
      <c r="O31" s="107">
        <v>8</v>
      </c>
      <c r="P31" s="104"/>
    </row>
    <row r="32" spans="1:16" ht="30.75" customHeight="1" thickBot="1">
      <c r="A32" s="27">
        <v>20</v>
      </c>
      <c r="B32" s="590"/>
      <c r="C32" s="591"/>
      <c r="D32" s="591"/>
      <c r="E32" s="100"/>
      <c r="F32" s="79"/>
      <c r="G32" s="178"/>
      <c r="H32" s="170"/>
      <c r="I32" s="153">
        <f t="shared" si="1"/>
      </c>
      <c r="J32" s="154"/>
      <c r="K32" s="153">
        <f t="shared" si="2"/>
      </c>
      <c r="L32" s="153">
        <f t="shared" si="3"/>
      </c>
      <c r="M32" s="161">
        <f t="shared" si="0"/>
      </c>
      <c r="N32" s="109">
        <v>20</v>
      </c>
      <c r="O32" s="110">
        <v>8</v>
      </c>
      <c r="P32" s="104"/>
    </row>
    <row r="33" spans="1:16" ht="21" customHeight="1" thickBot="1">
      <c r="A33" s="585" t="s">
        <v>16</v>
      </c>
      <c r="B33" s="586"/>
      <c r="C33" s="586"/>
      <c r="D33" s="586"/>
      <c r="E33" s="586"/>
      <c r="F33" s="586"/>
      <c r="G33" s="586"/>
      <c r="H33" s="586"/>
      <c r="I33" s="586"/>
      <c r="J33" s="82"/>
      <c r="K33" s="149">
        <f>SUM(K13:K32)</f>
        <v>5832000</v>
      </c>
      <c r="L33" s="162">
        <f>SUM(L13:L32)</f>
        <v>5400000</v>
      </c>
      <c r="M33" s="163">
        <f>SUM(M13:M32)</f>
        <v>5400000</v>
      </c>
      <c r="N33" s="14"/>
      <c r="P33" s="14"/>
    </row>
    <row r="34" spans="1:16" ht="13.5" customHeight="1">
      <c r="A34" s="90"/>
      <c r="N34" s="11"/>
      <c r="P34" s="11"/>
    </row>
    <row r="35" spans="2:16" ht="13.5" customHeight="1">
      <c r="B35" s="1" t="s">
        <v>18</v>
      </c>
      <c r="D35" s="90"/>
      <c r="E35" s="80" t="s">
        <v>39</v>
      </c>
      <c r="N35" s="11"/>
      <c r="P35" s="11"/>
    </row>
    <row r="36" spans="1:16" s="80" customFormat="1" ht="13.5" customHeight="1">
      <c r="A36" s="1"/>
      <c r="B36" s="1"/>
      <c r="C36" s="1"/>
      <c r="D36" s="1"/>
      <c r="E36" s="80" t="s">
        <v>40</v>
      </c>
      <c r="G36" s="1"/>
      <c r="H36" s="1"/>
      <c r="I36" s="1"/>
      <c r="J36" s="1"/>
      <c r="K36" s="1"/>
      <c r="L36" s="1"/>
      <c r="M36" s="1"/>
      <c r="N36" s="15"/>
      <c r="O36" s="5"/>
      <c r="P36" s="15"/>
    </row>
    <row r="37" spans="1:16" s="80" customFormat="1" ht="13.5" customHeight="1">
      <c r="A37" s="1"/>
      <c r="B37" s="1" t="s">
        <v>19</v>
      </c>
      <c r="C37" s="1"/>
      <c r="D37" s="1"/>
      <c r="E37" s="80" t="s">
        <v>41</v>
      </c>
      <c r="G37" s="1"/>
      <c r="H37" s="1"/>
      <c r="I37" s="1"/>
      <c r="J37" s="1"/>
      <c r="K37" s="1"/>
      <c r="L37" s="1"/>
      <c r="M37" s="1"/>
      <c r="N37" s="5"/>
      <c r="O37" s="5"/>
      <c r="P37" s="5"/>
    </row>
    <row r="38" spans="1:16" s="80" customFormat="1" ht="13.5" customHeight="1">
      <c r="A38" s="1"/>
      <c r="B38" s="1" t="s">
        <v>20</v>
      </c>
      <c r="C38" s="1"/>
      <c r="D38" s="1"/>
      <c r="E38" s="80" t="s">
        <v>42</v>
      </c>
      <c r="G38" s="1"/>
      <c r="H38" s="1"/>
      <c r="I38" s="1"/>
      <c r="J38" s="1"/>
      <c r="K38" s="1"/>
      <c r="L38" s="1"/>
      <c r="M38" s="1"/>
      <c r="N38" s="5"/>
      <c r="O38" s="5"/>
      <c r="P38" s="5"/>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2016-06-15T07:01:08Z</cp:lastPrinted>
  <dcterms:created xsi:type="dcterms:W3CDTF">2013-05-03T10:01:41Z</dcterms:created>
  <dcterms:modified xsi:type="dcterms:W3CDTF">2016-08-05T09:36:41Z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