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95" windowHeight="6330" activeTab="0"/>
  </bookViews>
  <sheets>
    <sheet name="目次" sheetId="1" r:id="rId1"/>
    <sheet name="基本情報入力（使い方）" sheetId="2" r:id="rId2"/>
    <sheet name="設定" sheetId="3" state="hidden" r:id="rId3"/>
    <sheet name="経費明細表" sheetId="4" r:id="rId4"/>
    <sheet name="日本標準産業分類" sheetId="5" r:id="rId5"/>
    <sheet name="機械装置費（50万円以上）" sheetId="6" r:id="rId6"/>
    <sheet name="機械装置費（50万円未満）" sheetId="7" r:id="rId7"/>
    <sheet name="技術導入費" sheetId="8" r:id="rId8"/>
    <sheet name="運搬費" sheetId="9" r:id="rId9"/>
    <sheet name="専門家経費" sheetId="10" r:id="rId10"/>
  </sheets>
  <externalReferences>
    <externalReference r:id="rId13"/>
  </externalReferences>
  <definedNames>
    <definedName name="_xlfn.IFERROR" hidden="1">#NAME?</definedName>
    <definedName name="_xlfn.SHEETS" hidden="1">#NAME?</definedName>
    <definedName name="_xlfn.SUMIFS" hidden="1">#NAME?</definedName>
    <definedName name="_xlnm.Print_Area" localSheetId="8">'運搬費'!$A$4:$O$38</definedName>
    <definedName name="_xlnm.Print_Area" localSheetId="5">'機械装置費（50万円以上）'!$A$4:$O$38</definedName>
    <definedName name="_xlnm.Print_Area" localSheetId="6">'機械装置費（50万円未満）'!$A$4:$O$38</definedName>
    <definedName name="_xlnm.Print_Area" localSheetId="7">'技術導入費'!$A$4:$O$38</definedName>
    <definedName name="_xlnm.Print_Area" localSheetId="3">'経費明細表'!$L$48:$AA$84</definedName>
    <definedName name="_xlnm.Print_Area" localSheetId="9">'専門家経費'!$A$4:$O$38</definedName>
    <definedName name="事業類型" localSheetId="3">'経費明細表'!$AI$24</definedName>
    <definedName name="消費税率" localSheetId="3">'経費明細表'!$AI$23</definedName>
    <definedName name="補助下限額" localSheetId="3">'経費明細表'!$AI$27</definedName>
    <definedName name="補助上限額" localSheetId="3">'経費明細表'!$AI$26</definedName>
  </definedNames>
  <calcPr fullCalcOnLoad="1"/>
</workbook>
</file>

<file path=xl/comments4.xml><?xml version="1.0" encoding="utf-8"?>
<comments xmlns="http://schemas.openxmlformats.org/spreadsheetml/2006/main">
  <authors>
    <author>PCUser</author>
    <author>mono26</author>
    <author>bara</author>
    <author>高村 育子</author>
  </authors>
  <commentList>
    <comment ref="N30" authorId="0">
      <text>
        <r>
          <rPr>
            <sz val="11"/>
            <rFont val="ＭＳ Ｐゴシック"/>
            <family val="3"/>
          </rPr>
          <t xml:space="preserve">各経費区分ごとに判定。
判定１～判定７に「×」が１つでもあると、「×」と判定。
</t>
        </r>
      </text>
    </comment>
    <comment ref="Q30" authorId="1">
      <text>
        <r>
          <rPr>
            <sz val="12"/>
            <rFont val="ＭＳ Ｐゴシック"/>
            <family val="3"/>
          </rPr>
          <t>(1)セルH33～H44：（予算額）補助金交付決定額
(2)セルL33～L44：（実績額）補助金の額
(1)≧(2)の場合について、この経費から他経費へ流用できる上限を計算</t>
        </r>
      </text>
    </comment>
    <comment ref="S30" authorId="0">
      <text>
        <r>
          <rPr>
            <sz val="11"/>
            <rFont val="ＭＳ Ｐゴシック"/>
            <family val="3"/>
          </rPr>
          <t>①予算額にない経費区分を実績で計上することはできない。
②設備投資のみで試作開発がない場合、原材料費、直接人件費、外注加工費、委託費、知的財産等関連経費、雑役務費の計上はできない。</t>
        </r>
      </text>
    </comment>
    <comment ref="T30" authorId="0">
      <text>
        <r>
          <rPr>
            <sz val="11"/>
            <rFont val="ＭＳ Ｐゴシック"/>
            <family val="3"/>
          </rPr>
          <t>＜直接人件費以外の経費区分について＞
補助金交付決定額（予算額）と補助金の額（実績額）の差額は補助金交付決定額×２０%におさまっているか。
実績額が予算額を２０％を超えて増える場合、変更申請が必要になるため、「×」
＜直接人件費について＞
補助金の額（実績額）は補助金交付決定額（予算額）を超えることはできない。超えていたら「×」</t>
        </r>
      </text>
    </comment>
    <comment ref="V30" authorId="2">
      <text>
        <r>
          <rPr>
            <sz val="11"/>
            <rFont val="ＭＳ Ｐゴシック"/>
            <family val="3"/>
          </rPr>
          <t xml:space="preserve">外注加工費、委託費、知的財産関連経費については、補助対象経費総額の1/2、1/2、1/3を超えてはならない。外注加工費＋委託費についても補助対象経費総額の1/2を超えないこと。
</t>
        </r>
      </text>
    </comment>
    <comment ref="X30" authorId="0">
      <text>
        <r>
          <rPr>
            <sz val="11"/>
            <rFont val="ＭＳ Ｐゴシック"/>
            <family val="3"/>
          </rPr>
          <t>判定１～７、「実績額の総額についての判定」がすべて「○」のとき、総合判定は「○」</t>
        </r>
      </text>
    </comment>
    <comment ref="R52" authorId="1">
      <text>
        <r>
          <rPr>
            <sz val="12"/>
            <rFont val="ＭＳ Ｐゴシック"/>
            <family val="3"/>
          </rPr>
          <t>(1)セルH33～H44：（予算額）補助金交付決定額
(2)セルQ54～Q65：（実績額）補助金の額への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J17" authorId="3">
      <text>
        <r>
          <rPr>
            <sz val="11"/>
            <rFont val="ＭＳ Ｐゴシック"/>
            <family val="3"/>
          </rPr>
          <t>補助金の額の合計額が補助上限額（ｾﾙJ31）に満たない場合、⑨流用額（ｾﾙX54～63）を適宜加算することが可能です。</t>
        </r>
      </text>
    </comment>
    <comment ref="X51" authorId="3">
      <text>
        <r>
          <rPr>
            <sz val="14"/>
            <rFont val="ＭＳ Ｐゴシック"/>
            <family val="3"/>
          </rPr>
          <t>流用順序の最上位の費目から順に、
⑦各経費区分ごとの流用上限（ｾﾙV54～V63）を
考慮し、ｾﾙR59の流用可能金額を手入力して
ください。</t>
        </r>
      </text>
    </comment>
  </commentList>
</comments>
</file>

<file path=xl/comments6.xml><?xml version="1.0" encoding="utf-8"?>
<comments xmlns="http://schemas.openxmlformats.org/spreadsheetml/2006/main">
  <authors>
    <author>高村 育子</author>
  </authors>
  <commentList>
    <comment ref="S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4516　土岐　満春</author>
    <author>高村 育子</author>
  </authors>
  <commentList>
    <comment ref="A11" authorId="0">
      <text>
        <r>
          <rPr>
            <sz val="9"/>
            <rFont val="ＭＳ Ｐゴシック"/>
            <family val="3"/>
          </rPr>
          <t>機械装置費（50万円未満）の管理№は、機械装置費（50万円以上）の管理№からの通番としてください。</t>
        </r>
      </text>
    </comment>
    <comment ref="A32" authorId="1">
      <text>
        <r>
          <rPr>
            <sz val="9"/>
            <rFont val="ＭＳ Ｐゴシック"/>
            <family val="3"/>
          </rPr>
          <t>管理№が20行を超える場合は、適宜、行を増やしてください。
また、その場合は、増やした行のQ列の数式は自動反映されません
ので、数式の入っているQ列のセルをコピー＆貼り付けする等ご対応
をお願いします。</t>
        </r>
      </text>
    </comment>
    <comment ref="B11" authorId="1">
      <text>
        <r>
          <rPr>
            <sz val="9"/>
            <rFont val="ＭＳ Ｐゴシック"/>
            <family val="3"/>
          </rPr>
          <t>支払年月日の記載もれにご注意ください。</t>
        </r>
      </text>
    </comment>
    <comment ref="F11" authorId="1">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<sst xmlns="http://schemas.openxmlformats.org/spreadsheetml/2006/main" count="1101" uniqueCount="767">
  <si>
    <t>単価</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</si>
  <si>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</si>
  <si>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</si>
  <si>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</si>
  <si>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</si>
  <si>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</si>
  <si>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</si>
  <si>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</si>
  <si>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</si>
  <si>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</si>
  <si>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</si>
  <si>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</si>
  <si>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</si>
  <si>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</si>
  <si>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</si>
  <si>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</si>
  <si>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</si>
  <si>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</si>
  <si>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</si>
  <si>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</si>
  <si>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(単位:円)</t>
  </si>
  <si>
    <t>B×2/3以内</t>
  </si>
  <si>
    <t>補助金交付申請額</t>
  </si>
  <si>
    <t>（税抜き）</t>
  </si>
  <si>
    <t>(税抜き)</t>
  </si>
  <si>
    <t>機械装置費</t>
  </si>
  <si>
    <t>区　　　　　分</t>
  </si>
  <si>
    <t>資金の調達先</t>
  </si>
  <si>
    <t>自　己　資　金</t>
  </si>
  <si>
    <t>そ　　の　　他</t>
  </si>
  <si>
    <t>合計</t>
  </si>
  <si>
    <t>技術導入費</t>
  </si>
  <si>
    <t>運搬費</t>
  </si>
  <si>
    <t>②</t>
  </si>
  <si>
    <t>事業者名：</t>
  </si>
  <si>
    <t>順位</t>
  </si>
  <si>
    <t>加算する金額</t>
  </si>
  <si>
    <t>消費税率(%)</t>
  </si>
  <si>
    <t>設備投資の制限</t>
  </si>
  <si>
    <t>補助事業に要する経費</t>
  </si>
  <si>
    <t>補助対象
経費</t>
  </si>
  <si>
    <t>（税込み）</t>
  </si>
  <si>
    <t>本ワークシートの使い方について</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</si>
  <si>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</si>
  <si>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</si>
  <si>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</si>
  <si>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</si>
  <si>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</si>
  <si>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</si>
  <si>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</si>
  <si>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</si>
  <si>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</si>
  <si>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</si>
  <si>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</si>
  <si>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</si>
  <si>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</si>
  <si>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</si>
  <si>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</si>
  <si>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</si>
  <si>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</si>
  <si>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</si>
  <si>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</si>
  <si>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</si>
  <si>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</si>
  <si>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</si>
  <si>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</si>
  <si>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</si>
  <si>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</si>
  <si>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</si>
  <si>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</si>
  <si>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</si>
  <si>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</si>
  <si>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</si>
  <si>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</si>
  <si>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</si>
  <si>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</si>
  <si>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</si>
  <si>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</si>
  <si>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</si>
  <si>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</si>
  <si>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</si>
  <si>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</si>
  <si>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</si>
  <si>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</si>
  <si>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</si>
  <si>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</si>
  <si>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</si>
  <si>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</si>
  <si>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</si>
  <si>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</si>
  <si>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</si>
  <si>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</si>
  <si>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</si>
  <si>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</si>
  <si>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</si>
  <si>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</si>
  <si>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</si>
  <si>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</si>
  <si>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</si>
  <si>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</si>
  <si>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</si>
  <si>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</si>
  <si>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</si>
  <si>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</si>
  <si>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</si>
  <si>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</si>
  <si>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</si>
  <si>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</si>
  <si>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</si>
  <si>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</si>
  <si>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</si>
  <si>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</si>
  <si>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</si>
  <si>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</si>
  <si>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</si>
  <si>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</si>
  <si>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</si>
  <si>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</si>
  <si>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</si>
  <si>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</si>
  <si>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</si>
  <si>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</si>
  <si>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</si>
  <si>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</si>
  <si>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</si>
  <si>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</si>
  <si>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</si>
  <si>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</si>
  <si>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</si>
  <si>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</si>
  <si>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</si>
  <si>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</si>
  <si>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</si>
  <si>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</si>
  <si>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</si>
  <si>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</si>
  <si>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</si>
  <si>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</si>
  <si>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</si>
  <si>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</si>
  <si>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</si>
  <si>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</si>
  <si>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</si>
  <si>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</si>
  <si>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</si>
  <si>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</si>
  <si>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</si>
  <si>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</si>
  <si>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</si>
  <si>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</si>
  <si>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</si>
  <si>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</si>
  <si>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</si>
  <si>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</si>
  <si>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</si>
  <si>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</si>
  <si>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</si>
  <si>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</si>
  <si>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</si>
  <si>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</si>
  <si>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</si>
  <si>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</si>
  <si>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</si>
  <si>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</si>
  <si>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</si>
  <si>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</si>
  <si>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</si>
  <si>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</si>
  <si>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</si>
  <si>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</si>
  <si>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</si>
  <si>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</si>
  <si>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</si>
  <si>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</si>
  <si>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</si>
  <si>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</si>
  <si>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</si>
  <si>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</si>
  <si>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</si>
  <si>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</si>
  <si>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</si>
  <si>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</si>
  <si>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</si>
  <si>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</si>
  <si>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</si>
  <si>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</si>
  <si>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</si>
  <si>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</si>
  <si>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</si>
  <si>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</si>
  <si>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</si>
  <si>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</si>
  <si>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</si>
  <si>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</si>
  <si>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</si>
  <si>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</si>
  <si>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</si>
  <si>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</si>
  <si>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</si>
  <si>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</si>
  <si>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</si>
  <si>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</si>
  <si>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</si>
  <si>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</si>
  <si>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</si>
  <si>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</si>
  <si>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</si>
  <si>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</si>
  <si>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</si>
  <si>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</si>
  <si>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</si>
  <si>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</si>
  <si>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</si>
  <si>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</si>
  <si>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</si>
  <si>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</si>
  <si>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</si>
  <si>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</si>
  <si>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</si>
  <si>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</si>
  <si>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</si>
  <si>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</si>
  <si>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</si>
  <si>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</si>
  <si>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</si>
  <si>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</si>
  <si>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</si>
  <si>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</si>
  <si>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</si>
  <si>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</si>
  <si>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</si>
  <si>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</si>
  <si>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</si>
  <si>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</si>
  <si>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</si>
  <si>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</si>
  <si>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</si>
  <si>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</si>
  <si>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</si>
  <si>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</si>
  <si>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</si>
  <si>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</si>
  <si>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</si>
  <si>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</si>
  <si>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</si>
  <si>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</si>
  <si>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</si>
  <si>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</si>
  <si>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</si>
  <si>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</si>
  <si>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</si>
  <si>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</si>
  <si>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</si>
  <si>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</si>
  <si>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</si>
  <si>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</si>
  <si>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</si>
  <si>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</si>
  <si>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</si>
  <si>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</si>
  <si>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</si>
  <si>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</si>
  <si>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</si>
  <si>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</si>
  <si>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</si>
  <si>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</si>
  <si>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</si>
  <si>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</si>
  <si>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</si>
  <si>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</si>
  <si>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</si>
  <si>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</si>
  <si>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</si>
  <si>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</si>
  <si>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</si>
  <si>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</si>
  <si>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</si>
  <si>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</si>
  <si>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</si>
  <si>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</si>
  <si>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</si>
  <si>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</si>
  <si>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</si>
  <si>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</si>
  <si>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</si>
  <si>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</si>
  <si>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</si>
  <si>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</si>
  <si>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</si>
  <si>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</si>
  <si>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</si>
  <si>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</si>
  <si>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</si>
  <si>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</si>
  <si>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</si>
  <si>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</si>
  <si>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</si>
  <si>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</si>
  <si>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</si>
  <si>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</si>
  <si>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</si>
  <si>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</si>
  <si>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</si>
  <si>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</si>
  <si>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</si>
  <si>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</si>
  <si>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</si>
  <si>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</si>
  <si>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</si>
  <si>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</si>
  <si>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</si>
  <si>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</si>
  <si>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</si>
  <si>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</si>
  <si>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</si>
  <si>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</si>
  <si>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</si>
  <si>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</si>
  <si>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</si>
  <si>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</si>
  <si>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</si>
  <si>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</si>
  <si>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</si>
  <si>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</si>
  <si>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</si>
  <si>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</si>
  <si>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</si>
  <si>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</si>
  <si>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</si>
  <si>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</si>
  <si>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</si>
  <si>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</si>
  <si>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</si>
  <si>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</si>
  <si>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</si>
  <si>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</si>
  <si>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</si>
  <si>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</si>
  <si>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</si>
  <si>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</si>
  <si>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</si>
  <si>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</si>
  <si>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</si>
  <si>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</si>
  <si>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</si>
  <si>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</si>
  <si>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</si>
  <si>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</si>
  <si>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</si>
  <si>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</si>
  <si>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</si>
  <si>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</si>
  <si>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</si>
  <si>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</si>
  <si>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</si>
  <si>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</si>
  <si>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</si>
  <si>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</si>
  <si>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</si>
  <si>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</si>
  <si>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</si>
  <si>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</si>
  <si>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</si>
  <si>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</si>
  <si>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</si>
  <si>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</si>
  <si>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</si>
  <si>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</si>
  <si>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</si>
  <si>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</si>
  <si>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</si>
  <si>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</si>
  <si>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</si>
  <si>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</si>
  <si>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</si>
  <si>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</si>
  <si>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</si>
  <si>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</si>
  <si>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</si>
  <si>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</si>
  <si>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</si>
  <si>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</si>
  <si>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</si>
  <si>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</si>
  <si>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</si>
  <si>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</si>
  <si>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</si>
  <si>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</si>
  <si>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</si>
  <si>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</si>
  <si>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</si>
  <si>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</si>
  <si>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</si>
  <si>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</si>
  <si>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</si>
  <si>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</si>
  <si>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</si>
  <si>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</si>
  <si>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</si>
  <si>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</si>
  <si>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</si>
  <si>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</si>
  <si>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</si>
  <si>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</si>
  <si>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</si>
  <si>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</si>
  <si>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</si>
  <si>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</si>
  <si>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</si>
  <si>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</si>
  <si>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</si>
  <si>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</si>
  <si>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</si>
  <si>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</si>
  <si>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</si>
  <si>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</si>
  <si>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</si>
  <si>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</si>
  <si>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</si>
  <si>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</si>
  <si>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</si>
  <si>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</si>
  <si>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</si>
  <si>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</si>
  <si>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</si>
  <si>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</si>
  <si>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</si>
  <si>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</si>
  <si>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</si>
  <si>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</si>
  <si>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</si>
  <si>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</si>
  <si>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</si>
  <si>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</si>
  <si>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</si>
  <si>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</si>
  <si>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</si>
  <si>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</si>
  <si>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</si>
  <si>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</si>
  <si>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</si>
  <si>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</si>
  <si>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</si>
  <si>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</si>
  <si>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</si>
  <si>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</si>
  <si>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</si>
  <si>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</si>
  <si>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</si>
  <si>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</si>
  <si>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</si>
  <si>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</si>
  <si>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</si>
  <si>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</si>
  <si>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</si>
  <si>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</si>
  <si>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</si>
  <si>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</si>
  <si>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</si>
  <si>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</si>
  <si>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</si>
  <si>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</si>
  <si>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</si>
  <si>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</si>
  <si>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</si>
  <si>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</si>
  <si>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</si>
  <si>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</si>
  <si>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</si>
  <si>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</si>
  <si>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</si>
  <si>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</si>
  <si>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</si>
  <si>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</si>
  <si>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</si>
  <si>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</si>
  <si>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</si>
  <si>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</si>
  <si>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</si>
  <si>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</si>
  <si>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</si>
  <si>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</si>
  <si>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</si>
  <si>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</si>
  <si>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</si>
  <si>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</si>
  <si>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</si>
  <si>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</si>
  <si>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</si>
  <si>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</si>
  <si>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</si>
  <si>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</si>
  <si>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</si>
  <si>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</si>
  <si>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</si>
  <si>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</si>
  <si>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</si>
  <si>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</si>
  <si>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</si>
  <si>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</si>
  <si>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</si>
  <si>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</si>
  <si>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</si>
  <si>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</si>
  <si>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</si>
  <si>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</si>
  <si>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</si>
  <si>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</si>
  <si>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</si>
  <si>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</si>
  <si>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</si>
  <si>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</si>
  <si>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</si>
  <si>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</si>
  <si>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</si>
  <si>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</si>
  <si>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</si>
  <si>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</si>
  <si>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</si>
  <si>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</si>
  <si>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以下の判定結果をもとに数値を見直してください。</t>
  </si>
  <si>
    <t>本事業全体の経費支出を記載してください。</t>
  </si>
  <si>
    <t>実績額の総額についての判定</t>
  </si>
  <si>
    <t>差額</t>
  </si>
  <si>
    <t>仮計算
補助金交付申請額</t>
  </si>
  <si>
    <t>按分計算
補助金交付申請額</t>
  </si>
  <si>
    <t>予算額（交付決定額または変更申請額）</t>
  </si>
  <si>
    <t>実績額</t>
  </si>
  <si>
    <t>補助対象経費の総額について、実績額は予算額以下か</t>
  </si>
  <si>
    <t>補助金
交付決定額</t>
  </si>
  <si>
    <t>補助事業に要した経費</t>
  </si>
  <si>
    <t>補助金の額</t>
  </si>
  <si>
    <t>技</t>
  </si>
  <si>
    <t>運</t>
  </si>
  <si>
    <t>設備投資の制限に抵触していないか
→機械装置費</t>
  </si>
  <si>
    <t>補助金交付決定額－補助金の額</t>
  </si>
  <si>
    <t>補助金が増えた金額</t>
  </si>
  <si>
    <t>補助金交付決定額×２０%</t>
  </si>
  <si>
    <t>判定１</t>
  </si>
  <si>
    <t>判定２</t>
  </si>
  <si>
    <t>判定３</t>
  </si>
  <si>
    <t>判定４</t>
  </si>
  <si>
    <t>総合判定</t>
  </si>
  <si>
    <t>名前の管理（引用しているため削除不可）</t>
  </si>
  <si>
    <t>補助金の額（実績額）の補助金交付決定額（予算額）からの増分は20％以内か</t>
  </si>
  <si>
    <t>実績額の補助金の額は補助対象経費の2/3以下か</t>
  </si>
  <si>
    <t>名前</t>
  </si>
  <si>
    <t>消費税率</t>
  </si>
  <si>
    <t>事業類型</t>
  </si>
  <si>
    <t>⑧</t>
  </si>
  <si>
    <t>⑨</t>
  </si>
  <si>
    <t>実績額の補助対象経費×2/3</t>
  </si>
  <si>
    <t xml:space="preserve">初期設定値
</t>
  </si>
  <si>
    <t>補助金交付決定額×２０％</t>
  </si>
  <si>
    <t>流用で増額できる
経費区分</t>
  </si>
  <si>
    <t>各経費区分
の流用上限</t>
  </si>
  <si>
    <t>流用順序</t>
  </si>
  <si>
    <t>流用額</t>
  </si>
  <si>
    <t>初期設定値
＋流用額</t>
  </si>
  <si>
    <t>資金の調達先</t>
  </si>
  <si>
    <t>自己資金（税込み）</t>
  </si>
  <si>
    <t>補助金（税抜き）</t>
  </si>
  <si>
    <t>借　　入　　金</t>
  </si>
  <si>
    <t>借入金（税込み）</t>
  </si>
  <si>
    <t>その他（税込み）</t>
  </si>
  <si>
    <t>合　　計　　額</t>
  </si>
  <si>
    <t>合計額（税込み）</t>
  </si>
  <si>
    <t>内訳</t>
  </si>
  <si>
    <t>④（⑤="○"）</t>
  </si>
  <si>
    <t>機械装置費以外</t>
  </si>
  <si>
    <t>上記２つの最小値</t>
  </si>
  <si>
    <t>補助金の額（予算額-初期設定値）</t>
  </si>
  <si>
    <t>補助金の総額（実績額）は補助金交付決定総額（予算額）以下か</t>
  </si>
  <si>
    <t>合　計</t>
  </si>
  <si>
    <t>③=min(①,②)</t>
  </si>
  <si>
    <t>④</t>
  </si>
  <si>
    <t>⑤</t>
  </si>
  <si>
    <t>⑥</t>
  </si>
  <si>
    <t>⑦=min(④,⑥)</t>
  </si>
  <si>
    <t>⑩=③+⑨</t>
  </si>
  <si>
    <t>①-③</t>
  </si>
  <si>
    <t>要対応は</t>
  </si>
  <si>
    <t>× 並びに</t>
  </si>
  <si>
    <t>色の変わったセル</t>
  </si>
  <si>
    <t>補助金交付決定額</t>
  </si>
  <si>
    <t>補助金の経費区分間の流用について、「補助金が増えた金額」の総額は「補助金が減った金額（補助金交付決定額×20％が上限）」の総額以下か</t>
  </si>
  <si>
    <t>予算額　計算シート</t>
  </si>
  <si>
    <t>判定（ａ）</t>
  </si>
  <si>
    <t>判定（ｂ）</t>
  </si>
  <si>
    <t>判定（ｃ）</t>
  </si>
  <si>
    <t>＜経費明細表＞</t>
  </si>
  <si>
    <t>機械装置費を除く補助金申請額の合計額(修正前)</t>
  </si>
  <si>
    <t>順位２</t>
  </si>
  <si>
    <t>設備投資にウエイトをおいて補助金額を按分しています。</t>
  </si>
  <si>
    <t>補助金交付申請限度額</t>
  </si>
  <si>
    <t>順位２の合計額</t>
  </si>
  <si>
    <t>微修正してください。</t>
  </si>
  <si>
    <t>機械装置費を優先した残りの
補助金交付申請額</t>
  </si>
  <si>
    <t>事業類型</t>
  </si>
  <si>
    <t>実績額　チェックシート(実績額の補助金額が予算額のそれと比較して２０%を超えることはできません。)</t>
  </si>
  <si>
    <t>A</t>
  </si>
  <si>
    <t>B</t>
  </si>
  <si>
    <t>補助金が減った金額（補助金交付決定額×20％が上限）</t>
  </si>
  <si>
    <t>補助金の額</t>
  </si>
  <si>
    <t>合計</t>
  </si>
  <si>
    <t>min(②-③,④）</t>
  </si>
  <si>
    <t>補助金が減った金額
（補助金交付決定額×20％が上限）</t>
  </si>
  <si>
    <t>↓</t>
  </si>
  <si>
    <t>③</t>
  </si>
  <si>
    <t>a</t>
  </si>
  <si>
    <t>⑨</t>
  </si>
  <si>
    <t>⑩</t>
  </si>
  <si>
    <t>補助金交付決定額×２０%のうち
増額できる経費分</t>
  </si>
  <si>
    <t>b</t>
  </si>
  <si>
    <t>min(a,b)</t>
  </si>
  <si>
    <t>c</t>
  </si>
  <si>
    <t>上記⑦=Σmin（④,⑥）</t>
  </si>
  <si>
    <t>d</t>
  </si>
  <si>
    <t>Σmin（④,⑥）</t>
  </si>
  <si>
    <t>⇒</t>
  </si>
  <si>
    <t>■はじめに</t>
  </si>
  <si>
    <t>【様式第６の別紙２】</t>
  </si>
  <si>
    <t>シート名</t>
  </si>
  <si>
    <t>目次</t>
  </si>
  <si>
    <t>№</t>
  </si>
  <si>
    <t>機械装置費（50万円以上）</t>
  </si>
  <si>
    <t>機械装置費（50万円未満）</t>
  </si>
  <si>
    <t>機１</t>
  </si>
  <si>
    <t>機２</t>
  </si>
  <si>
    <t>機械装置費
（50万円以上）</t>
  </si>
  <si>
    <t>機械装置費
（50万円未満）</t>
  </si>
  <si>
    <t>専門家経費</t>
  </si>
  <si>
    <t>機械装置費（50万円以上）</t>
  </si>
  <si>
    <t>（切捨て）</t>
  </si>
  <si>
    <t>補助対象経費</t>
  </si>
  <si>
    <t>補助対象経費の（2/3）</t>
  </si>
  <si>
    <t>機1</t>
  </si>
  <si>
    <t>機2</t>
  </si>
  <si>
    <t>専</t>
  </si>
  <si>
    <t>総務部長　経済計子</t>
  </si>
  <si>
    <t>ＡＡ株式会社</t>
  </si>
  <si>
    <t>○○装置　(型番１２３型番TK)</t>
  </si>
  <si>
    <t>台</t>
  </si>
  <si>
    <t>ＢＢ株式会社</t>
  </si>
  <si>
    <t>○○装置　(型番１型番TK)</t>
  </si>
  <si>
    <t>ＢＢ株式会社</t>
  </si>
  <si>
    <t>○○装置　(型番２型番TK)</t>
  </si>
  <si>
    <t>○○装置　(型番３型番TK)</t>
  </si>
  <si>
    <t>Ｄ株式会社</t>
  </si>
  <si>
    <t>○○指導</t>
  </si>
  <si>
    <t>日</t>
  </si>
  <si>
    <t>○○運輸</t>
  </si>
  <si>
    <t>○○機材</t>
  </si>
  <si>
    <t>個</t>
  </si>
  <si>
    <t>○○弁理士</t>
  </si>
  <si>
    <t>日</t>
  </si>
  <si>
    <t>戻る</t>
  </si>
  <si>
    <t>機械装置費(50万円以上）</t>
  </si>
  <si>
    <t>機械装置費(50万円未満）</t>
  </si>
  <si>
    <t>Σmin（②-③,④）：「交付決定額から初期設定値で補助金が減った金額（補助金交付決定額×20％が上限）」の合計</t>
  </si>
  <si>
    <t>②-③</t>
  </si>
  <si>
    <t>様式第６の別紙２　経費明細表 (1/3)</t>
  </si>
  <si>
    <t>流用可能額早見表</t>
  </si>
  <si>
    <t>様式第６の別紙２　経費明細表 (2/3)</t>
  </si>
  <si>
    <t>「様式第６の別紙２　経費明細表」のチェックリスト：申請の前にお手元の経費支出明細表の数値を入力して誤りがないかチェックしてください。</t>
  </si>
  <si>
    <t>様式第６の別紙２　経費明細表(3/3)</t>
  </si>
  <si>
    <t>上限額</t>
  </si>
  <si>
    <t>役職名・氏名</t>
  </si>
  <si>
    <t>連絡先（TEL）</t>
  </si>
  <si>
    <t>本事業の経理担当者の</t>
  </si>
  <si>
    <t>予算額</t>
  </si>
  <si>
    <t>機械装置費（50万円以上）</t>
  </si>
  <si>
    <t>機械装置費（50万円未満）</t>
  </si>
  <si>
    <t>端数額</t>
  </si>
  <si>
    <t>補助対象経費の（2/3）</t>
  </si>
  <si>
    <t>補助金確定額から按分</t>
  </si>
  <si>
    <t>（切捨て）</t>
  </si>
  <si>
    <t>切捨て</t>
  </si>
  <si>
    <r>
      <t xml:space="preserve">端数調整後
</t>
    </r>
    <r>
      <rPr>
        <sz val="10"/>
        <color indexed="8"/>
        <rFont val="ＭＳ ゴシック"/>
        <family val="3"/>
      </rPr>
      <t>（取得財産）</t>
    </r>
  </si>
  <si>
    <t>実績流用後の額</t>
  </si>
  <si>
    <t>＜補助金相当額の手当方法＞</t>
  </si>
  <si>
    <t>＜事業全体に要した経費調達一覧＞</t>
  </si>
  <si>
    <t>事業に要した経費(円)</t>
  </si>
  <si>
    <t>基本情報入力（使い方）</t>
  </si>
  <si>
    <t>経費明細表</t>
  </si>
  <si>
    <t>日本標準産業分類</t>
  </si>
  <si>
    <t>下記の各費用項目をクリックすると対象のシートに移動します。</t>
  </si>
  <si>
    <t>目次</t>
  </si>
  <si>
    <t>機械装置費（50万円未満）</t>
  </si>
  <si>
    <t>技術導入費</t>
  </si>
  <si>
    <t>運搬費</t>
  </si>
  <si>
    <t>専門家経費</t>
  </si>
  <si>
    <t>対象項目</t>
  </si>
  <si>
    <t>一般型</t>
  </si>
  <si>
    <t>小規模型</t>
  </si>
  <si>
    <t>結果</t>
  </si>
  <si>
    <t>条件</t>
  </si>
  <si>
    <t>照合金額</t>
  </si>
  <si>
    <t>判定</t>
  </si>
  <si>
    <t>補助下限額</t>
  </si>
  <si>
    <t>←この塗りつぶしのあるセルに、必要に応じて入力をお願いします。（全シート対象）</t>
  </si>
  <si>
    <t>企業名を入力してください。</t>
  </si>
  <si>
    <t>052-123-4567</t>
  </si>
  <si>
    <t>№</t>
  </si>
  <si>
    <t>事業類型</t>
  </si>
  <si>
    <t>補助上限額</t>
  </si>
  <si>
    <t>革新的サービス</t>
  </si>
  <si>
    <t>ものづくり技術</t>
  </si>
  <si>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（セルB19～B28参照）</t>
    </r>
  </si>
  <si>
    <t>予算</t>
  </si>
  <si>
    <t>実績</t>
  </si>
  <si>
    <t>振込手数料800円（税抜き）先方負担のため減額あり</t>
  </si>
  <si>
    <t>資金（借入金）の調達先を入力してください。（自己資金の場合は空欄にしてください。）</t>
  </si>
  <si>
    <t>経理担当者の役職氏名TELを入力してください。</t>
  </si>
  <si>
    <t>（単位：円）</t>
  </si>
  <si>
    <t>資金調達内訳</t>
  </si>
  <si>
    <t>経費明細表</t>
  </si>
  <si>
    <t>補助上限額（交付決定額）</t>
  </si>
  <si>
    <t xml:space="preserve">  例：Ｂ金属株式会社</t>
  </si>
  <si>
    <t xml:space="preserve">  例：総務部長　経済計子</t>
  </si>
  <si>
    <t xml:space="preserve">  例：052-123-4567</t>
  </si>
  <si>
    <t>■ワークシート入力</t>
  </si>
  <si>
    <t>・請求書等の証拠書類をもとに、各経費のそれぞれの単価・数量・内容を入力すると、経費明細表へ自動的に反映されます。</t>
  </si>
  <si>
    <t>・消費税は原則円未満切り捨てにしてありますので、必要に応じて微調整をしてください。</t>
  </si>
  <si>
    <t>　※このＥＸＣＥＬのフォーマットは計算式に保護をかけています。</t>
  </si>
  <si>
    <t>　　保護を解除する場合は「校閲」のタブをクリックして、「シート保護の解除」をしてください。パスワードはかけていません。</t>
  </si>
  <si>
    <t>「経費明細表」</t>
  </si>
  <si>
    <t>・交付決定額または変更申請額を入力してください。</t>
  </si>
  <si>
    <t>資金調達内訳</t>
  </si>
  <si>
    <t>・自動算出されますので、実績に合わせ変更してください。</t>
  </si>
  <si>
    <t>印刷</t>
  </si>
  <si>
    <t>■基本情報入力</t>
  </si>
  <si>
    <r>
      <t>・交付申請時に上限調整が行われたり、計画変更の申請により上限調整された</t>
    </r>
    <r>
      <rPr>
        <b/>
        <sz val="12"/>
        <rFont val="ＭＳ ゴシック"/>
        <family val="3"/>
      </rPr>
      <t>補助対象経費</t>
    </r>
    <r>
      <rPr>
        <sz val="12"/>
        <rFont val="ＭＳ ゴシック"/>
        <family val="3"/>
      </rPr>
      <t>は、手修正を行ってください。</t>
    </r>
  </si>
  <si>
    <t>作成するためのものです。</t>
  </si>
  <si>
    <t>このエクセルは事務処理の手引きの様式第６の別紙２ 経費明細表と関連書類を</t>
  </si>
  <si>
    <t>補助金の上限を設定するため事業類型を選択してください。(必須)</t>
  </si>
  <si>
    <t xml:space="preserve">  例：一般型</t>
  </si>
  <si>
    <t xml:space="preserve">  例：ものづくり技術</t>
  </si>
  <si>
    <t>△△信用金庫　○○支店</t>
  </si>
  <si>
    <t xml:space="preserve">  例：△△信用金庫　○○支店</t>
  </si>
  <si>
    <t>ＡＡ株式会社</t>
  </si>
  <si>
    <t>○○装置　(型番４５６型番GW)</t>
  </si>
  <si>
    <t>Ｅ法律事務所</t>
  </si>
  <si>
    <t>知的財産権取得</t>
  </si>
  <si>
    <t>式</t>
  </si>
  <si>
    <t>調整される補助金の額</t>
  </si>
  <si>
    <t>調整する件数</t>
  </si>
  <si>
    <t>設備投資の制限に抵触していないか</t>
  </si>
  <si>
    <t>判定4</t>
  </si>
  <si>
    <t>実績額　経費区分間の流用計算シート(経費区分間で流用する場合はセルＹ54～Ｙ59に流用額を入力)</t>
  </si>
  <si>
    <t>補助上限額(交付決定額）</t>
  </si>
  <si>
    <t>機械装置費で補助対象経費にして
単価５０万円以上の設備投資が必要</t>
  </si>
  <si>
    <t>機械装置費で補助対象経費にして
単価５０万円以上の設備投資が必要</t>
  </si>
  <si>
    <r>
      <t xml:space="preserve">ここで算定された流用可能額を、下記の点を考慮し、X54～X63に配分して下さい。
　・W54～W63 流用（配分する時の）順序の小さい番号から順に入力
　・V54～V63 </t>
    </r>
    <r>
      <rPr>
        <b/>
        <u val="single"/>
        <sz val="14"/>
        <color indexed="10"/>
        <rFont val="ＭＳ Ｐゴシック"/>
        <family val="3"/>
      </rPr>
      <t>各経費区分の流用上限額</t>
    </r>
    <r>
      <rPr>
        <b/>
        <sz val="14"/>
        <color indexed="30"/>
        <rFont val="ＭＳ Ｐゴシック"/>
        <family val="3"/>
      </rPr>
      <t>を超えないこと</t>
    </r>
  </si>
  <si>
    <t>　補助金の額を修正してください。</t>
  </si>
  <si>
    <t>・補助金の額（実績額）が補助金交付決定額と異なる場合は、各経費区分の流用上限額の範囲内（交付決定額と実績額の差）で</t>
  </si>
  <si>
    <t>　経費明細表と計算シート（チェックシート）を印刷してください。</t>
  </si>
  <si>
    <t>・画面の「経費明細印刷（1/3）」「経費明細印刷（2/3）」「経費明細印刷（3/3）」（セルE9～J9）のボタンをクリックして</t>
  </si>
  <si>
    <t>Ｂ金属株式会社</t>
  </si>
  <si>
    <r>
      <t xml:space="preserve">○○作業
</t>
    </r>
    <r>
      <rPr>
        <sz val="9"/>
        <color indexed="8"/>
        <rFont val="ＭＳ 明朝"/>
        <family val="1"/>
      </rPr>
      <t>（計画日数20日）</t>
    </r>
  </si>
  <si>
    <t>「費目別支出明細書」</t>
  </si>
  <si>
    <t>「機械装置費（50万円以上）」から「専門家経費」まで該当の「費目別支出明細書」へ請求書等の証拠書類をもとに入力してください。</t>
  </si>
  <si>
    <t>　 ※下記の項目をクリックすると対象のシートに移動します。</t>
  </si>
  <si>
    <t>・各経費の数値が「費目別支出明細書」の合計と一致しているか確認してください。</t>
  </si>
  <si>
    <t>　費目別支出明細書</t>
  </si>
  <si>
    <t>　 ※下記の各費用項目をクリックすると対象のシートに移動します。また、各費用シートの「戻る」ボタン（セルB2）をクリックすると経費明細表シートに移動します。</t>
  </si>
  <si>
    <t>・修正の仕方は経費明細表3/3の”流用可能額早見表（セルO79）”を確認のうえ”⑨流用額（セルX54～63）”　に適宜入力してください。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</si>
</sst>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 numFmtId="218" formatCode="&quot;印刷番号：&quot;0"/>
    <numFmt numFmtId="219" formatCode="h:mm;@"/>
    <numFmt numFmtId="220" formatCode="&quot;印刷番号：&quot;00000000"/>
    <numFmt numFmtId="221" formatCode="0&quot;件&quot;"/>
    <numFmt numFmtId="222" formatCode="&quot;参考：補助上限額　&quot;#,##0&quot;円&quot;"/>
    <numFmt numFmtId="223" formatCode="yyyy/m/d;@"/>
    <numFmt numFmtId="224" formatCode="0.0000000000_ "/>
    <numFmt numFmtId="225" formatCode="0.00_);[Red]\(0.00\)"/>
  </numFmts>
  <fonts count="188">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8"/>
      <name val="ＭＳ 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sz val="14"/>
      <name val="ＭＳ Ｐゴシック"/>
      <family val="3"/>
    </font>
    <font>
      <sz val="18"/>
      <name val="ＭＳ ゴシック"/>
      <family val="3"/>
    </font>
    <font>
      <sz val="16"/>
      <name val="ＭＳ ゴシック"/>
      <family val="3"/>
    </font>
    <font>
      <sz val="12"/>
      <name val="ＭＳ Ｐゴシック"/>
      <family val="3"/>
    </font>
    <font>
      <b/>
      <sz val="9"/>
      <name val="ＭＳ ゴシック"/>
      <family val="3"/>
    </font>
    <font>
      <b/>
      <sz val="12"/>
      <name val="ＭＳ Ｐゴシック"/>
      <family val="3"/>
    </font>
    <font>
      <b/>
      <sz val="14"/>
      <name val="ＭＳ Ｐゴシック"/>
      <family val="3"/>
    </font>
    <font>
      <sz val="20"/>
      <name val="ＭＳ Ｐゴシック"/>
      <family val="3"/>
    </font>
    <font>
      <b/>
      <u val="single"/>
      <sz val="14"/>
      <name val="ＭＳ Ｐゴシック"/>
      <family val="3"/>
    </font>
    <font>
      <sz val="9"/>
      <name val="Meiryo UI"/>
      <family val="3"/>
    </font>
    <font>
      <sz val="9.5"/>
      <name val="ＭＳ Ｐゴシック"/>
      <family val="3"/>
    </font>
    <font>
      <sz val="9"/>
      <name val="ＭＳ Ｐゴシック"/>
      <family val="3"/>
    </font>
    <font>
      <sz val="12"/>
      <color indexed="8"/>
      <name val="ＭＳ ゴシック"/>
      <family val="3"/>
    </font>
    <font>
      <b/>
      <sz val="16"/>
      <name val="ＭＳ Ｐゴシック"/>
      <family val="3"/>
    </font>
    <font>
      <b/>
      <sz val="14"/>
      <color indexed="30"/>
      <name val="ＭＳ Ｐゴシック"/>
      <family val="3"/>
    </font>
    <font>
      <b/>
      <u val="single"/>
      <sz val="14"/>
      <color indexed="10"/>
      <name val="ＭＳ Ｐゴシック"/>
      <family val="3"/>
    </font>
    <font>
      <sz val="10"/>
      <color indexed="8"/>
      <name val="ＭＳ ゴシック"/>
      <family val="3"/>
    </font>
    <font>
      <sz val="10"/>
      <name val="ＭＳ 明朝"/>
      <family val="1"/>
    </font>
    <font>
      <u val="single"/>
      <sz val="12"/>
      <name val="ＭＳ ゴシック"/>
      <family val="3"/>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1"/>
      <color indexed="8"/>
      <name val="ＭＳ 明朝"/>
      <family val="1"/>
    </font>
    <font>
      <sz val="12"/>
      <color indexed="8"/>
      <name val="ＭＳ Ｐゴシック"/>
      <family val="3"/>
    </font>
    <font>
      <b/>
      <sz val="11"/>
      <name val="ＭＳ Ｐゴシック"/>
      <family val="3"/>
    </font>
    <font>
      <sz val="9"/>
      <color indexed="8"/>
      <name val="ＭＳ Ｐゴシック"/>
      <family val="3"/>
    </font>
    <font>
      <sz val="16"/>
      <color indexed="8"/>
      <name val="ＭＳ Ｐゴシック"/>
      <family val="3"/>
    </font>
    <font>
      <sz val="12"/>
      <color indexed="10"/>
      <name val="ＭＳ Ｐゴシック"/>
      <family val="3"/>
    </font>
    <font>
      <b/>
      <sz val="14"/>
      <color indexed="56"/>
      <name val="ＭＳ Ｐゴシック"/>
      <family val="3"/>
    </font>
    <font>
      <b/>
      <sz val="9"/>
      <name val="ＭＳ Ｐゴシック"/>
      <family val="3"/>
    </font>
    <font>
      <b/>
      <sz val="14"/>
      <color indexed="9"/>
      <name val="ＭＳ ゴシック"/>
      <family val="3"/>
    </font>
    <font>
      <u val="single"/>
      <sz val="11"/>
      <color indexed="8"/>
      <name val="ＭＳ ゴシック"/>
      <family val="3"/>
    </font>
    <font>
      <b/>
      <u val="single"/>
      <sz val="10"/>
      <color indexed="8"/>
      <name val="ＭＳ ゴシック"/>
      <family val="3"/>
    </font>
    <font>
      <sz val="18"/>
      <color indexed="8"/>
      <name val="ＭＳ ゴシック"/>
      <family val="3"/>
    </font>
    <font>
      <u val="single"/>
      <sz val="10"/>
      <color indexed="8"/>
      <name val="ＭＳ ゴシック"/>
      <family val="3"/>
    </font>
    <font>
      <sz val="14"/>
      <color indexed="56"/>
      <name val="ＭＳ Ｐゴシック"/>
      <family val="3"/>
    </font>
    <font>
      <b/>
      <sz val="11"/>
      <color indexed="30"/>
      <name val="ＭＳ ゴシック"/>
      <family val="3"/>
    </font>
    <font>
      <b/>
      <sz val="14"/>
      <color indexed="9"/>
      <name val="ＭＳ Ｐゴシック"/>
      <family val="3"/>
    </font>
    <font>
      <sz val="12"/>
      <color indexed="9"/>
      <name val="ＭＳ ゴシック"/>
      <family val="3"/>
    </font>
    <font>
      <b/>
      <sz val="12"/>
      <color indexed="8"/>
      <name val="ＭＳ ゴシック"/>
      <family val="3"/>
    </font>
    <font>
      <b/>
      <sz val="11"/>
      <color indexed="8"/>
      <name val="ＭＳ ゴシック"/>
      <family val="3"/>
    </font>
    <font>
      <sz val="12"/>
      <color indexed="10"/>
      <name val="ＭＳ ゴシック"/>
      <family val="3"/>
    </font>
    <font>
      <sz val="18"/>
      <color indexed="8"/>
      <name val="ＭＳ Ｐゴシック"/>
      <family val="3"/>
    </font>
    <font>
      <b/>
      <sz val="36"/>
      <color indexed="21"/>
      <name val="ＭＳ Ｐゴシック"/>
      <family val="3"/>
    </font>
    <font>
      <sz val="12"/>
      <color indexed="47"/>
      <name val="ＭＳ ゴシック"/>
      <family val="3"/>
    </font>
    <font>
      <sz val="12"/>
      <color indexed="45"/>
      <name val="ＭＳ ゴシック"/>
      <family val="3"/>
    </font>
    <font>
      <sz val="12"/>
      <color indexed="45"/>
      <name val="ＭＳ Ｐゴシック"/>
      <family val="3"/>
    </font>
    <font>
      <sz val="11"/>
      <color indexed="45"/>
      <name val="ＭＳ Ｐゴシック"/>
      <family val="3"/>
    </font>
    <font>
      <b/>
      <sz val="14"/>
      <color indexed="8"/>
      <name val="ＭＳ Ｐゴシック"/>
      <family val="3"/>
    </font>
    <font>
      <sz val="14"/>
      <color indexed="8"/>
      <name val="ＭＳ ゴシック"/>
      <family val="3"/>
    </font>
    <font>
      <sz val="18"/>
      <name val="ＭＳ Ｐゴシック"/>
      <family val="3"/>
    </font>
    <font>
      <sz val="16"/>
      <color indexed="45"/>
      <name val="ＭＳ Ｐゴシック"/>
      <family val="3"/>
    </font>
    <font>
      <sz val="18"/>
      <color indexed="45"/>
      <name val="ＭＳ Ｐゴシック"/>
      <family val="3"/>
    </font>
    <font>
      <sz val="14"/>
      <color indexed="45"/>
      <name val="ＭＳ ゴシック"/>
      <family val="3"/>
    </font>
    <font>
      <sz val="14"/>
      <color indexed="45"/>
      <name val="ＭＳ Ｐゴシック"/>
      <family val="3"/>
    </font>
    <font>
      <sz val="14"/>
      <color indexed="8"/>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sz val="11"/>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sz val="26"/>
      <color indexed="30"/>
      <name val="ＭＳ Ｐゴシック"/>
      <family val="3"/>
    </font>
    <font>
      <b/>
      <sz val="14"/>
      <color indexed="21"/>
      <name val="ＭＳ Ｐゴシック"/>
      <family val="3"/>
    </font>
    <font>
      <sz val="13"/>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color theme="1"/>
      <name val="Calibri"/>
      <family val="3"/>
    </font>
    <font>
      <sz val="11"/>
      <color theme="1"/>
      <name val="ＭＳ ゴシック"/>
      <family val="3"/>
    </font>
    <font>
      <sz val="10"/>
      <name val="Calibri"/>
      <family val="3"/>
    </font>
    <font>
      <sz val="11"/>
      <color theme="1"/>
      <name val="ＭＳ 明朝"/>
      <family val="1"/>
    </font>
    <font>
      <b/>
      <sz val="14"/>
      <name val="Calibri"/>
      <family val="3"/>
    </font>
    <font>
      <sz val="14"/>
      <name val="Calibri"/>
      <family val="3"/>
    </font>
    <font>
      <sz val="12"/>
      <color theme="1"/>
      <name val="Calibri"/>
      <family val="3"/>
    </font>
    <font>
      <sz val="12"/>
      <name val="Calibri"/>
      <family val="3"/>
    </font>
    <font>
      <sz val="12"/>
      <color theme="1"/>
      <name val="ＭＳ ゴシック"/>
      <family val="3"/>
    </font>
    <font>
      <b/>
      <sz val="11"/>
      <name val="Calibri"/>
      <family val="3"/>
    </font>
    <font>
      <sz val="9"/>
      <name val="Calibri"/>
      <family val="3"/>
    </font>
    <font>
      <sz val="9"/>
      <color theme="1"/>
      <name val="Calibri"/>
      <family val="3"/>
    </font>
    <font>
      <sz val="16"/>
      <color theme="1"/>
      <name val="Calibri"/>
      <family val="3"/>
    </font>
    <font>
      <sz val="16"/>
      <name val="Calibri"/>
      <family val="3"/>
    </font>
    <font>
      <b/>
      <sz val="12"/>
      <name val="Calibri"/>
      <family val="3"/>
    </font>
    <font>
      <sz val="12"/>
      <color rgb="FFFF0000"/>
      <name val="Calibri"/>
      <family val="3"/>
    </font>
    <font>
      <b/>
      <sz val="14"/>
      <color rgb="FF002060"/>
      <name val="Calibri"/>
      <family val="3"/>
    </font>
    <font>
      <b/>
      <sz val="9"/>
      <name val="Calibri"/>
      <family val="3"/>
    </font>
    <font>
      <b/>
      <sz val="14"/>
      <color theme="0"/>
      <name val="ＭＳ ゴシック"/>
      <family val="3"/>
    </font>
    <font>
      <u val="single"/>
      <sz val="11"/>
      <color theme="1"/>
      <name val="ＭＳ ゴシック"/>
      <family val="3"/>
    </font>
    <font>
      <b/>
      <u val="single"/>
      <sz val="10"/>
      <color theme="1"/>
      <name val="ＭＳ ゴシック"/>
      <family val="3"/>
    </font>
    <font>
      <sz val="11"/>
      <color theme="1"/>
      <name val="ＭＳ Ｐゴシック"/>
      <family val="3"/>
    </font>
    <font>
      <sz val="10"/>
      <color theme="1"/>
      <name val="ＭＳ Ｐゴシック"/>
      <family val="3"/>
    </font>
    <font>
      <sz val="10"/>
      <color theme="1"/>
      <name val="ＭＳ ゴシック"/>
      <family val="3"/>
    </font>
    <font>
      <sz val="18"/>
      <color theme="1"/>
      <name val="ＭＳ ゴシック"/>
      <family val="3"/>
    </font>
    <font>
      <u val="single"/>
      <sz val="10"/>
      <color theme="1"/>
      <name val="ＭＳ ゴシック"/>
      <family val="3"/>
    </font>
    <font>
      <sz val="14"/>
      <color rgb="FF002060"/>
      <name val="Calibri"/>
      <family val="3"/>
    </font>
    <font>
      <b/>
      <sz val="14"/>
      <color rgb="FF002060"/>
      <name val="ＭＳ Ｐゴシック"/>
      <family val="3"/>
    </font>
    <font>
      <b/>
      <sz val="14"/>
      <color rgb="FF0070C0"/>
      <name val="ＭＳ Ｐゴシック"/>
      <family val="3"/>
    </font>
    <font>
      <b/>
      <sz val="11"/>
      <color rgb="FF0070C0"/>
      <name val="ＭＳ ゴシック"/>
      <family val="3"/>
    </font>
    <font>
      <b/>
      <sz val="14"/>
      <color theme="0"/>
      <name val="Calibri"/>
      <family val="3"/>
    </font>
    <font>
      <sz val="12"/>
      <color theme="0"/>
      <name val="ＭＳ ゴシック"/>
      <family val="3"/>
    </font>
    <font>
      <b/>
      <sz val="12"/>
      <color theme="1"/>
      <name val="ＭＳ ゴシック"/>
      <family val="3"/>
    </font>
    <font>
      <b/>
      <sz val="11"/>
      <color theme="1"/>
      <name val="ＭＳ ゴシック"/>
      <family val="3"/>
    </font>
    <font>
      <sz val="12"/>
      <color rgb="FFFF0000"/>
      <name val="ＭＳ ゴシック"/>
      <family val="3"/>
    </font>
    <font>
      <sz val="18"/>
      <color theme="1"/>
      <name val="Calibri"/>
      <family val="3"/>
    </font>
    <font>
      <b/>
      <sz val="16"/>
      <name val="Calibri"/>
      <family val="3"/>
    </font>
    <font>
      <b/>
      <sz val="36"/>
      <color theme="8" tint="-0.4999699890613556"/>
      <name val="Calibri"/>
      <family val="3"/>
    </font>
    <font>
      <sz val="12"/>
      <color theme="9" tint="0.7999799847602844"/>
      <name val="ＭＳ ゴシック"/>
      <family val="3"/>
    </font>
    <font>
      <sz val="12"/>
      <color rgb="FFFF66FF"/>
      <name val="ＭＳ ゴシック"/>
      <family val="3"/>
    </font>
    <font>
      <sz val="12"/>
      <color rgb="FFFF66FF"/>
      <name val="Calibri"/>
      <family val="3"/>
    </font>
    <font>
      <sz val="11"/>
      <color rgb="FFFF66FF"/>
      <name val="Calibri"/>
      <family val="3"/>
    </font>
    <font>
      <b/>
      <sz val="14"/>
      <color theme="1"/>
      <name val="Calibri"/>
      <family val="3"/>
    </font>
    <font>
      <sz val="14"/>
      <color theme="1"/>
      <name val="ＭＳ ゴシック"/>
      <family val="3"/>
    </font>
    <font>
      <sz val="18"/>
      <name val="Calibri"/>
      <family val="3"/>
    </font>
    <font>
      <sz val="16"/>
      <color rgb="FFFF66FF"/>
      <name val="ＭＳ Ｐゴシック"/>
      <family val="3"/>
    </font>
    <font>
      <sz val="18"/>
      <color rgb="FFFF66FF"/>
      <name val="Calibri"/>
      <family val="3"/>
    </font>
    <font>
      <sz val="14"/>
      <color rgb="FFFF66FF"/>
      <name val="ＭＳ ゴシック"/>
      <family val="3"/>
    </font>
    <font>
      <sz val="14"/>
      <color rgb="FFFF66FF"/>
      <name val="Calibri"/>
      <family val="3"/>
    </font>
    <font>
      <sz val="14"/>
      <color theme="1"/>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sz val="11"/>
      <color rgb="FF002060"/>
      <name val="Calibri"/>
      <family val="3"/>
    </font>
    <font>
      <b/>
      <sz val="11"/>
      <color rgb="FF002060"/>
      <name val="ＭＳ Ｐゴシック"/>
      <family val="3"/>
    </font>
    <font>
      <b/>
      <u val="single"/>
      <sz val="14"/>
      <color rgb="FF0070C0"/>
      <name val="Calibri"/>
      <family val="3"/>
    </font>
    <font>
      <b/>
      <sz val="12"/>
      <color rgb="FFFF0000"/>
      <name val="Calibri"/>
      <family val="3"/>
    </font>
    <font>
      <b/>
      <sz val="12"/>
      <color rgb="FF0070C0"/>
      <name val="Calibri"/>
      <family val="3"/>
    </font>
    <font>
      <b/>
      <sz val="11"/>
      <color rgb="FF002060"/>
      <name val="Calibri"/>
      <family val="3"/>
    </font>
    <font>
      <sz val="13"/>
      <color rgb="FF002060"/>
      <name val="Calibri"/>
      <family val="3"/>
    </font>
    <font>
      <b/>
      <sz val="14"/>
      <color theme="8" tint="-0.4999699890613556"/>
      <name val="Calibri"/>
      <family val="3"/>
    </font>
    <font>
      <sz val="16"/>
      <color theme="1"/>
      <name val="ＭＳ Ｐゴシック"/>
      <family val="3"/>
    </font>
    <font>
      <sz val="26"/>
      <color rgb="FF0070C0"/>
      <name val="Calibri"/>
      <family val="3"/>
    </font>
    <font>
      <sz val="11"/>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8"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DE9D9"/>
        <bgColor indexed="64"/>
      </patternFill>
    </fill>
    <fill>
      <patternFill patternType="solid">
        <fgColor rgb="FFFFFF00"/>
        <bgColor indexed="64"/>
      </patternFill>
    </fill>
  </fills>
  <borders count="2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bottom style="medium"/>
    </border>
    <border>
      <left style="thin"/>
      <right style="thin"/>
      <top/>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style="thin"/>
      <top style="thin"/>
      <bottom style="medium"/>
    </border>
    <border>
      <left style="thin"/>
      <right style="medium"/>
      <top/>
      <bottom style="medium"/>
    </border>
    <border>
      <left style="thin"/>
      <right style="thin"/>
      <top style="medium"/>
      <bottom style="medium"/>
    </border>
    <border>
      <left/>
      <right style="thin"/>
      <top/>
      <bottom style="medium"/>
    </border>
    <border>
      <left>
        <color indexed="63"/>
      </left>
      <right style="medium"/>
      <top>
        <color indexed="63"/>
      </top>
      <bottom style="medium"/>
    </border>
    <border>
      <left style="thin"/>
      <right/>
      <top style="thin"/>
      <bottom style="thin"/>
    </border>
    <border>
      <left style="thin"/>
      <right/>
      <top style="thin"/>
      <bottom style="medium"/>
    </border>
    <border>
      <left style="thin"/>
      <right style="thin"/>
      <top/>
      <bottom/>
    </border>
    <border>
      <left style="thin"/>
      <right style="thin"/>
      <top style="thin"/>
      <bottom/>
    </border>
    <border>
      <left style="thin"/>
      <right style="thin"/>
      <top style="thin"/>
      <bottom style="hair"/>
    </border>
    <border>
      <left style="thin"/>
      <right style="thin"/>
      <top style="hair"/>
      <bottom style="hair"/>
    </border>
    <border>
      <left/>
      <right/>
      <top/>
      <bottom style="thin"/>
    </border>
    <border>
      <left style="thin"/>
      <right style="thick"/>
      <top style="thin"/>
      <bottom style="thin"/>
    </border>
    <border>
      <left style="thick"/>
      <right/>
      <top/>
      <bottom/>
    </border>
    <border>
      <left style="thin"/>
      <right style="thick"/>
      <top/>
      <bottom>
        <color indexed="63"/>
      </bottom>
    </border>
    <border>
      <left style="medium">
        <color rgb="FF002060"/>
      </left>
      <right style="medium">
        <color rgb="FF002060"/>
      </right>
      <top style="medium">
        <color rgb="FF002060"/>
      </top>
      <bottom/>
    </border>
    <border>
      <left/>
      <right style="thin"/>
      <top style="thin"/>
      <bottom/>
    </border>
    <border>
      <left/>
      <right/>
      <top style="thin"/>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top/>
      <bottom/>
    </border>
    <border>
      <left style="medium">
        <color rgb="FF002060"/>
      </left>
      <right style="medium">
        <color rgb="FF002060"/>
      </right>
      <top>
        <color indexed="63"/>
      </top>
      <bottom>
        <color indexed="63"/>
      </bottom>
    </border>
    <border>
      <left/>
      <right style="thin"/>
      <top/>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right style="thin"/>
      <top/>
      <bottom style="thin"/>
    </border>
    <border>
      <left style="thin"/>
      <right style="medium">
        <color rgb="FFFF0000"/>
      </right>
      <top/>
      <bottom style="thin"/>
    </border>
    <border>
      <left style="medium">
        <color rgb="FFFF0000"/>
      </left>
      <right style="medium">
        <color rgb="FFFF0000"/>
      </right>
      <top/>
      <bottom style="thin"/>
    </border>
    <border diagonalUp="1">
      <left style="thin"/>
      <right style="thin"/>
      <top style="thin"/>
      <bottom style="thin"/>
      <diagonal style="thin"/>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medium">
        <color rgb="FF002060"/>
      </left>
      <right style="thin"/>
      <top style="thin"/>
      <bottom>
        <color indexed="63"/>
      </bottom>
    </border>
    <border>
      <left style="thin"/>
      <right/>
      <top style="thin"/>
      <bottom/>
    </border>
    <border>
      <left style="thin"/>
      <right style="thin"/>
      <top style="medium"/>
      <bottom style="thin"/>
    </border>
    <border>
      <left/>
      <right/>
      <top/>
      <bottom style="medium"/>
    </border>
    <border>
      <left style="thin"/>
      <right/>
      <top style="medium"/>
      <bottom/>
    </border>
    <border>
      <left style="thin"/>
      <right style="thin"/>
      <top style="double"/>
      <bottom style="thin"/>
    </border>
    <border>
      <left style="thin"/>
      <right style="thin"/>
      <top style="thin"/>
      <bottom style="double"/>
    </border>
    <border>
      <left/>
      <right style="thin"/>
      <top style="thin"/>
      <bottom style="thin"/>
    </border>
    <border>
      <left>
        <color indexed="63"/>
      </left>
      <right style="thin"/>
      <top style="thin"/>
      <bottom style="medium"/>
    </border>
    <border>
      <left style="thin"/>
      <right style="thin"/>
      <top>
        <color indexed="63"/>
      </top>
      <bottom style="hair"/>
    </border>
    <border>
      <left style="medium"/>
      <right style="medium"/>
      <top>
        <color indexed="63"/>
      </top>
      <bottom style="medium"/>
    </border>
    <border>
      <left style="medium"/>
      <right style="medium"/>
      <top style="thin"/>
      <bottom style="thin"/>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right style="medium"/>
      <top style="medium"/>
      <bottom>
        <color indexed="63"/>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medium">
        <color rgb="FF0070C0"/>
      </top>
      <bottom style="thick">
        <color rgb="FF0070C0"/>
      </bottom>
    </border>
    <border>
      <left style="medium"/>
      <right style="medium"/>
      <top style="medium"/>
      <bottom style="medium"/>
    </border>
    <border>
      <left style="medium"/>
      <right style="medium"/>
      <top style="thin"/>
      <bottom>
        <color indexed="63"/>
      </bottom>
    </border>
    <border>
      <left style="medium"/>
      <right style="medium"/>
      <top style="medium"/>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style="medium"/>
    </border>
    <border>
      <left>
        <color indexed="63"/>
      </left>
      <right style="medium"/>
      <top style="medium"/>
      <bottom style="medium"/>
    </border>
    <border>
      <left style="double">
        <color rgb="FF002060"/>
      </left>
      <right>
        <color indexed="63"/>
      </right>
      <top>
        <color indexed="63"/>
      </top>
      <bottom>
        <color indexed="63"/>
      </bottom>
    </border>
    <border>
      <left style="thick"/>
      <right style="thin"/>
      <top style="thick"/>
      <bottom style="hair"/>
    </border>
    <border>
      <left style="thick"/>
      <right style="thin"/>
      <top style="hair"/>
      <bottom style="hair"/>
    </border>
    <border>
      <left style="thick"/>
      <right style="thin"/>
      <top style="hair"/>
      <bottom style="thick"/>
    </border>
    <border>
      <left>
        <color indexed="63"/>
      </left>
      <right style="thick"/>
      <top style="hair"/>
      <bottom style="thick"/>
    </border>
    <border>
      <left>
        <color indexed="63"/>
      </left>
      <right style="thick"/>
      <top style="hair"/>
      <bottom style="hair"/>
    </border>
    <border>
      <left style="thin"/>
      <right style="thick"/>
      <top style="thin"/>
      <bottom/>
    </border>
    <border>
      <left style="double"/>
      <right style="thin"/>
      <top style="thin"/>
      <bottom style="double"/>
    </border>
    <border>
      <left style="thin"/>
      <right>
        <color indexed="63"/>
      </right>
      <top style="thin"/>
      <bottom style="double"/>
    </border>
    <border>
      <left style="thin"/>
      <right style="double"/>
      <top style="double"/>
      <bottom style="thin"/>
    </border>
    <border>
      <left>
        <color indexed="63"/>
      </left>
      <right style="thin"/>
      <top style="double"/>
      <bottom style="thin"/>
    </border>
    <border>
      <left style="thin"/>
      <right>
        <color indexed="63"/>
      </right>
      <top style="double"/>
      <bottom style="thin"/>
    </border>
    <border>
      <left style="double"/>
      <right style="thin"/>
      <top/>
      <bottom style="thin"/>
    </border>
    <border>
      <left style="thin"/>
      <right style="double"/>
      <top/>
      <bottom style="thin"/>
    </border>
    <border>
      <left style="thin"/>
      <right style="double"/>
      <top style="thin"/>
      <bottom style="thin"/>
    </border>
    <border>
      <left style="double"/>
      <right style="thin"/>
      <top style="thin"/>
      <bottom style="thin"/>
    </border>
    <border diagonalUp="1">
      <left style="thin"/>
      <right style="thin"/>
      <top>
        <color indexed="63"/>
      </top>
      <bottom style="thin"/>
      <diagonal style="thin"/>
    </border>
    <border>
      <left style="thin"/>
      <right style="thin"/>
      <top style="hair"/>
      <bottom style="thin"/>
    </border>
    <border>
      <left>
        <color indexed="63"/>
      </left>
      <right>
        <color indexed="63"/>
      </right>
      <top style="thick">
        <color theme="8" tint="-0.4999699890613556"/>
      </top>
      <bottom>
        <color indexed="63"/>
      </bottom>
    </border>
    <border>
      <left style="medium">
        <color rgb="FFFF0000"/>
      </left>
      <right>
        <color indexed="63"/>
      </right>
      <top style="thin"/>
      <bottom>
        <color indexed="63"/>
      </bottom>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double">
        <color rgb="FF002060"/>
      </left>
      <right style="thin">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bottom style="thin"/>
    </border>
    <border>
      <left>
        <color indexed="63"/>
      </left>
      <right style="medium"/>
      <top/>
      <bottom style="thin"/>
    </border>
    <border>
      <left/>
      <right/>
      <top style="thin"/>
      <bottom style="thin"/>
    </border>
    <border>
      <left style="medium">
        <color rgb="FFFF0000"/>
      </left>
      <right style="medium">
        <color rgb="FFFF0000"/>
      </right>
      <top style="thin"/>
      <bottom>
        <color indexed="63"/>
      </bottom>
    </border>
    <border>
      <left style="medium">
        <color rgb="FFFF0000"/>
      </left>
      <right style="medium">
        <color rgb="FFFF0000"/>
      </right>
      <top>
        <color indexed="63"/>
      </top>
      <bottom style="hair"/>
    </border>
    <border>
      <left style="medium">
        <color rgb="FFFF0000"/>
      </left>
      <right style="medium">
        <color rgb="FFFF0000"/>
      </right>
      <top style="hair"/>
      <bottom>
        <color indexed="63"/>
      </bottom>
    </border>
    <border>
      <left style="medium">
        <color rgb="FFFF0000"/>
      </left>
      <right style="thin"/>
      <top style="thin"/>
      <bottom>
        <color indexed="63"/>
      </bottom>
    </border>
    <border>
      <left style="medium">
        <color rgb="FFFF0000"/>
      </left>
      <right style="thin"/>
      <top>
        <color indexed="63"/>
      </top>
      <bottom style="hair"/>
    </border>
    <border>
      <left style="medium">
        <color rgb="FFFF0000"/>
      </left>
      <right style="thin"/>
      <top style="hair"/>
      <bottom>
        <color indexed="63"/>
      </bottom>
    </border>
    <border>
      <left style="medium">
        <color rgb="FFFF0000"/>
      </left>
      <right style="thin"/>
      <top>
        <color indexed="63"/>
      </top>
      <bottom style="thin"/>
    </border>
    <border>
      <left style="mediumDashed">
        <color rgb="FF0070C0"/>
      </left>
      <right style="thin"/>
      <top style="thin"/>
      <bottom>
        <color indexed="63"/>
      </bottom>
    </border>
    <border>
      <left style="mediumDashed">
        <color rgb="FF0070C0"/>
      </left>
      <right style="thin"/>
      <top>
        <color indexed="63"/>
      </top>
      <bottom style="hair"/>
    </border>
    <border>
      <left style="mediumDashed">
        <color rgb="FF0070C0"/>
      </left>
      <right style="thin"/>
      <top style="hair"/>
      <bottom>
        <color indexed="63"/>
      </bottom>
    </border>
    <border>
      <left style="mediumDashed">
        <color rgb="FF0070C0"/>
      </left>
      <right style="thin"/>
      <top>
        <color indexed="63"/>
      </top>
      <bottom style="thin"/>
    </border>
    <border>
      <left style="thin"/>
      <right style="medium">
        <color rgb="FFFF0000"/>
      </right>
      <top>
        <color indexed="63"/>
      </top>
      <bottom style="hair"/>
    </border>
    <border>
      <left style="thin"/>
      <right style="medium">
        <color rgb="FFFF0000"/>
      </right>
      <top style="hair"/>
      <bottom>
        <color indexed="63"/>
      </bottom>
    </border>
    <border>
      <left style="thin"/>
      <right style="mediumDashed">
        <color rgb="FF0070C0"/>
      </right>
      <top style="thin"/>
      <bottom>
        <color indexed="63"/>
      </bottom>
    </border>
    <border>
      <left style="thin"/>
      <right style="mediumDashed">
        <color rgb="FF0070C0"/>
      </right>
      <top>
        <color indexed="63"/>
      </top>
      <bottom style="hair"/>
    </border>
    <border>
      <left style="thin"/>
      <right style="mediumDashed">
        <color rgb="FF0070C0"/>
      </right>
      <top style="hair"/>
      <bottom>
        <color indexed="63"/>
      </bottom>
    </border>
    <border>
      <left style="thin"/>
      <right style="mediumDashed">
        <color rgb="FF0070C0"/>
      </right>
      <top>
        <color indexed="63"/>
      </top>
      <bottom style="thin"/>
    </border>
    <border>
      <left style="mediumDashed">
        <color rgb="FF0070C0"/>
      </left>
      <right style="mediumDashed">
        <color rgb="FF0070C0"/>
      </right>
      <top style="thin"/>
      <bottom>
        <color indexed="63"/>
      </bottom>
    </border>
    <border>
      <left style="mediumDashed">
        <color rgb="FF0070C0"/>
      </left>
      <right style="mediumDashed">
        <color rgb="FF0070C0"/>
      </right>
      <top>
        <color indexed="63"/>
      </top>
      <bottom style="hair"/>
    </border>
    <border>
      <left style="mediumDashed">
        <color rgb="FF0070C0"/>
      </left>
      <right style="mediumDashed">
        <color rgb="FF0070C0"/>
      </right>
      <top style="hair"/>
      <bottom>
        <color indexed="63"/>
      </bottom>
    </border>
    <border>
      <left style="mediumDashed">
        <color rgb="FF0070C0"/>
      </left>
      <right style="mediumDashed">
        <color rgb="FF0070C0"/>
      </right>
      <top/>
      <bottom style="thin"/>
    </border>
    <border>
      <left style="thin"/>
      <right style="thin"/>
      <top style="hair"/>
      <bottom>
        <color indexed="63"/>
      </bottom>
    </border>
    <border>
      <left style="medium">
        <color rgb="FF002060"/>
      </left>
      <right style="medium">
        <color rgb="FF002060"/>
      </right>
      <top style="hair"/>
      <bottom>
        <color indexed="63"/>
      </bottom>
    </border>
    <border>
      <left style="medium">
        <color rgb="FF002060"/>
      </left>
      <right style="medium">
        <color rgb="FF002060"/>
      </right>
      <top>
        <color indexed="63"/>
      </top>
      <bottom style="hair"/>
    </border>
    <border>
      <left style="medium">
        <color rgb="FF002060"/>
      </left>
      <right style="thin"/>
      <top>
        <color indexed="63"/>
      </top>
      <bottom style="hair"/>
    </border>
    <border>
      <left style="medium">
        <color rgb="FF002060"/>
      </left>
      <right style="thin"/>
      <top style="hair"/>
      <bottom>
        <color indexed="63"/>
      </bottom>
    </border>
    <border>
      <left style="medium">
        <color rgb="FF002060"/>
      </left>
      <right style="thin"/>
      <top>
        <color indexed="63"/>
      </top>
      <bottom style="thin"/>
    </border>
    <border diagonalUp="1">
      <left style="mediumDashed">
        <color rgb="FF0070C0"/>
      </left>
      <right style="thin"/>
      <top style="thin"/>
      <bottom/>
      <diagonal style="thin"/>
    </border>
    <border diagonalUp="1">
      <left style="mediumDashed">
        <color rgb="FF0070C0"/>
      </left>
      <right style="thin"/>
      <top>
        <color indexed="63"/>
      </top>
      <bottom style="thin"/>
      <diagonal style="thin"/>
    </border>
    <border>
      <left style="medium">
        <color rgb="FFFF0000"/>
      </left>
      <right style="medium">
        <color rgb="FFFF0000"/>
      </right>
      <top>
        <color indexed="63"/>
      </top>
      <bottom style="medium">
        <color rgb="FFFF0000"/>
      </bottom>
    </border>
    <border>
      <left style="thin"/>
      <right style="medium">
        <color rgb="FF002060"/>
      </right>
      <top style="thin"/>
      <bottom>
        <color indexed="63"/>
      </bottom>
    </border>
    <border>
      <left style="thin"/>
      <right style="medium">
        <color rgb="FF002060"/>
      </right>
      <top>
        <color indexed="63"/>
      </top>
      <bottom style="hair"/>
    </border>
    <border>
      <left style="thin"/>
      <right style="medium">
        <color rgb="FF002060"/>
      </right>
      <top style="hair"/>
      <bottom>
        <color indexed="63"/>
      </bottom>
    </border>
    <border>
      <left style="thin"/>
      <right style="medium">
        <color rgb="FF002060"/>
      </right>
      <top>
        <color indexed="63"/>
      </top>
      <bottom style="thin"/>
    </border>
    <border>
      <left style="medium">
        <color rgb="FF002060"/>
      </left>
      <right style="medium">
        <color rgb="FF002060"/>
      </right>
      <top style="thin"/>
      <bottom/>
    </border>
    <border>
      <left style="medium">
        <color rgb="FF002060"/>
      </left>
      <right style="medium">
        <color rgb="FF002060"/>
      </right>
      <top>
        <color indexed="63"/>
      </top>
      <bottom style="medium">
        <color rgb="FF002060"/>
      </bottom>
    </border>
    <border diagonalUp="1">
      <left style="thin"/>
      <right style="thin"/>
      <top style="thin"/>
      <bottom/>
      <diagonal style="thin"/>
    </border>
    <border diagonalUp="1">
      <left style="thin"/>
      <right style="mediumDashed">
        <color rgb="FF0070C0"/>
      </right>
      <top style="thin"/>
      <bottom/>
      <diagonal style="thin"/>
    </border>
    <border diagonalUp="1">
      <left style="thin"/>
      <right style="mediumDashed">
        <color rgb="FF0070C0"/>
      </right>
      <top/>
      <bottom style="thin"/>
      <diagonal style="thin"/>
    </border>
    <border>
      <left style="thin"/>
      <right style="thin"/>
      <top/>
      <bottom style="thick"/>
    </border>
    <border>
      <left style="thick"/>
      <right style="thick"/>
      <top style="thick"/>
      <bottom/>
    </border>
    <border>
      <left style="thick"/>
      <right style="thick"/>
      <top/>
      <bottom/>
    </border>
    <border>
      <left style="thick"/>
      <right style="thick"/>
      <top>
        <color indexed="63"/>
      </top>
      <bottom style="thin"/>
    </border>
    <border>
      <left>
        <color indexed="63"/>
      </left>
      <right style="medium">
        <color rgb="FF002060"/>
      </right>
      <top>
        <color indexed="63"/>
      </top>
      <bottom>
        <color indexed="63"/>
      </bottom>
    </border>
    <border>
      <left style="medium">
        <color rgb="FF002060"/>
      </left>
      <right style="thin">
        <color rgb="FF002060"/>
      </right>
      <top style="medium">
        <color rgb="FF002060"/>
      </top>
      <bottom style="thin">
        <color rgb="FF002060"/>
      </bottom>
    </border>
    <border>
      <left style="medium">
        <color rgb="FF002060"/>
      </left>
      <right style="thin">
        <color rgb="FF002060"/>
      </right>
      <top style="thin">
        <color rgb="FF002060"/>
      </top>
      <bottom style="thin">
        <color rgb="FF002060"/>
      </bottom>
    </border>
    <border>
      <left style="medium">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thin">
        <color rgb="FF002060"/>
      </bottom>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color indexed="63"/>
      </left>
      <right style="thick">
        <color rgb="FF0070C0"/>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style="hair"/>
      <right style="hair"/>
      <top>
        <color indexed="63"/>
      </top>
      <bottom style="thin"/>
    </border>
    <border>
      <left style="hair"/>
      <right style="thin"/>
      <top/>
      <bottom style="thin"/>
    </border>
    <border>
      <left style="mediumDashed">
        <color rgb="FF0070C0"/>
      </left>
      <right style="mediumDashed">
        <color rgb="FF0070C0"/>
      </right>
      <top>
        <color indexed="63"/>
      </top>
      <bottom style="mediumDashed">
        <color rgb="FF0070C0"/>
      </bottom>
    </border>
    <border>
      <left style="thin">
        <color rgb="FF002060"/>
      </left>
      <right style="thin">
        <color rgb="FF002060"/>
      </right>
      <top style="medium">
        <color rgb="FF002060"/>
      </top>
      <bottom style="thin">
        <color rgb="FF002060"/>
      </bottom>
    </border>
    <border>
      <left style="thick"/>
      <right>
        <color indexed="63"/>
      </right>
      <top style="thin"/>
      <bottom/>
    </border>
    <border>
      <left style="thick"/>
      <right/>
      <top style="thick"/>
      <bottom style="thin"/>
    </border>
    <border>
      <left/>
      <right>
        <color indexed="63"/>
      </right>
      <top style="thick"/>
      <bottom style="thin"/>
    </border>
    <border>
      <left/>
      <right style="thick"/>
      <top style="thick"/>
      <bottom style="thin"/>
    </border>
    <border>
      <left style="thin"/>
      <right style="thin"/>
      <top style="thick"/>
      <bottom style="hair"/>
    </border>
    <border>
      <left style="thin"/>
      <right style="thick"/>
      <top style="thick"/>
      <bottom style="hair"/>
    </border>
    <border>
      <left style="thick"/>
      <right style="thin"/>
      <top style="thin"/>
      <bottom style="thin"/>
    </border>
    <border>
      <left style="thick"/>
      <right style="thin"/>
      <top style="thin"/>
      <bottom>
        <color indexed="63"/>
      </bottom>
    </border>
    <border>
      <left style="thick"/>
      <right style="thin"/>
      <top>
        <color indexed="63"/>
      </top>
      <bottom style="hair"/>
    </border>
    <border>
      <left style="thick">
        <color theme="8" tint="-0.4999699890613556"/>
      </left>
      <right style="thick">
        <color theme="8" tint="-0.4999699890613556"/>
      </right>
      <top style="thick">
        <color theme="8" tint="-0.4999699890613556"/>
      </top>
      <bottom style="thin"/>
    </border>
    <border>
      <left style="thick">
        <color theme="8" tint="-0.4999699890613556"/>
      </left>
      <right style="thick">
        <color theme="8" tint="-0.4999699890613556"/>
      </right>
      <top style="thin"/>
      <bottom style="thin"/>
    </border>
    <border>
      <left style="thick">
        <color theme="8" tint="-0.4999699890613556"/>
      </left>
      <right style="thick">
        <color theme="8" tint="-0.4999699890613556"/>
      </right>
      <top style="thin"/>
      <bottom/>
    </border>
    <border>
      <left style="medium">
        <color rgb="FF002060"/>
      </left>
      <right style="thin"/>
      <top>
        <color indexed="63"/>
      </top>
      <bottom>
        <color indexed="63"/>
      </bottom>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n"/>
      <right/>
      <top style="hair"/>
      <bottom style="hair"/>
    </border>
    <border>
      <left/>
      <right>
        <color indexed="63"/>
      </right>
      <top style="hair"/>
      <bottom style="hair"/>
    </border>
    <border>
      <left style="thin"/>
      <right>
        <color indexed="63"/>
      </right>
      <top style="hair"/>
      <bottom style="thick"/>
    </border>
    <border>
      <left>
        <color indexed="63"/>
      </left>
      <right>
        <color indexed="63"/>
      </right>
      <top style="hair"/>
      <bottom style="thick"/>
    </border>
    <border>
      <left style="mediumDashed">
        <color rgb="FF0070C0"/>
      </left>
      <right style="mediumDashed">
        <color rgb="FF0070C0"/>
      </right>
      <top/>
      <bottom/>
    </border>
    <border>
      <left>
        <color indexed="63"/>
      </left>
      <right>
        <color indexed="63"/>
      </right>
      <top>
        <color indexed="63"/>
      </top>
      <bottom style="double">
        <color rgb="FF002060"/>
      </bottom>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thin"/>
      <right style="thick"/>
      <top style="hair"/>
      <bottom style="hair"/>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ck"/>
      <right style="thin"/>
      <top style="hair"/>
      <bottom>
        <color indexed="63"/>
      </bottom>
    </border>
    <border>
      <left style="thin"/>
      <right style="double"/>
      <top style="thin"/>
      <bottom>
        <color indexed="63"/>
      </bottom>
    </border>
    <border>
      <left style="thin"/>
      <right style="double"/>
      <top>
        <color indexed="63"/>
      </top>
      <bottom style="double"/>
    </border>
    <border>
      <left style="double"/>
      <right/>
      <top style="thin"/>
      <bottom style="thin"/>
    </border>
    <border>
      <left style="thick"/>
      <right style="thick"/>
      <top style="thin"/>
      <bottom>
        <color indexed="63"/>
      </bottom>
    </border>
    <border>
      <left style="thick"/>
      <right style="thick"/>
      <top>
        <color indexed="63"/>
      </top>
      <bottom style="hair"/>
    </border>
    <border>
      <left>
        <color indexed="63"/>
      </left>
      <right>
        <color indexed="63"/>
      </right>
      <top>
        <color indexed="63"/>
      </top>
      <bottom style="hair"/>
    </border>
    <border>
      <left style="thin"/>
      <right style="thick"/>
      <top>
        <color indexed="63"/>
      </top>
      <bottom style="hair"/>
    </border>
    <border>
      <left style="thick"/>
      <right style="thick"/>
      <top style="hair"/>
      <bottom>
        <color indexed="63"/>
      </bottom>
    </border>
    <border>
      <left style="thick"/>
      <right style="thick"/>
      <top>
        <color indexed="63"/>
      </top>
      <bottom style="thick"/>
    </border>
    <border>
      <left style="thick"/>
      <right>
        <color indexed="63"/>
      </right>
      <top>
        <color indexed="63"/>
      </top>
      <bottom style="thin"/>
    </border>
    <border>
      <left/>
      <right style="thick"/>
      <top style="thin"/>
      <bottom/>
    </border>
    <border>
      <left/>
      <right style="thick"/>
      <top/>
      <bottom style="thin"/>
    </border>
    <border>
      <left style="thick"/>
      <right>
        <color indexed="63"/>
      </right>
      <top style="hair"/>
      <bottom>
        <color indexed="63"/>
      </bottom>
    </border>
    <border>
      <left style="thick"/>
      <right>
        <color indexed="63"/>
      </right>
      <top>
        <color indexed="63"/>
      </top>
      <bottom style="hair"/>
    </border>
    <border>
      <left style="thin"/>
      <right style="thick"/>
      <top style="hair"/>
      <bottom>
        <color indexed="63"/>
      </bottom>
    </border>
    <border>
      <left style="thin"/>
      <right style="thick"/>
      <top/>
      <bottom style="thin"/>
    </border>
    <border>
      <left style="thick"/>
      <right style="thin"/>
      <top/>
      <bottom/>
    </border>
    <border>
      <left style="thick"/>
      <right style="thin"/>
      <top/>
      <bottom style="thick"/>
    </border>
    <border>
      <left style="thin"/>
      <right>
        <color indexed="63"/>
      </right>
      <top/>
      <bottom style="thick"/>
    </border>
    <border>
      <left style="thin"/>
      <right style="thick"/>
      <top>
        <color indexed="63"/>
      </top>
      <bottom style="thick"/>
    </border>
    <border>
      <left style="thin"/>
      <right/>
      <top style="hair"/>
      <bottom>
        <color indexed="63"/>
      </bottom>
    </border>
    <border>
      <left style="thin"/>
      <right>
        <color indexed="63"/>
      </right>
      <top>
        <color indexed="63"/>
      </top>
      <bottom style="hair"/>
    </border>
    <border>
      <left style="medium"/>
      <right/>
      <top style="medium"/>
      <bottom style="medium"/>
    </border>
    <border>
      <left/>
      <right/>
      <top style="medium"/>
      <bottom style="medium"/>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right>
        <color indexed="63"/>
      </right>
      <top style="medium"/>
      <bottom style="thin"/>
    </border>
    <border>
      <left/>
      <right style="medium"/>
      <top style="medium"/>
      <bottom style="thin"/>
    </border>
    <border>
      <left>
        <color indexed="63"/>
      </left>
      <right style="medium"/>
      <top style="medium"/>
      <bottom>
        <color indexed="63"/>
      </botto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7"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9" fillId="0" borderId="0" applyNumberFormat="0" applyFill="0" applyBorder="0" applyAlignment="0" applyProtection="0"/>
    <xf numFmtId="0" fontId="120" fillId="32" borderId="0" applyNumberFormat="0" applyBorder="0" applyAlignment="0" applyProtection="0"/>
  </cellStyleXfs>
  <cellXfs count="878">
    <xf numFmtId="0" fontId="0" fillId="0" borderId="0" xfId="0" applyFont="1" applyAlignment="1">
      <alignment vertical="center"/>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123" fillId="0" borderId="10" xfId="0" applyFont="1" applyBorder="1" applyAlignment="1" applyProtection="1">
      <alignment horizontal="center" vertical="top" wrapText="1"/>
      <protection locked="0"/>
    </xf>
    <xf numFmtId="0" fontId="123" fillId="0" borderId="11" xfId="0" applyFont="1" applyBorder="1" applyAlignment="1" applyProtection="1">
      <alignment horizontal="center" vertical="center" wrapText="1"/>
      <protection locked="0"/>
    </xf>
    <xf numFmtId="0" fontId="124"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0" fillId="0" borderId="0" xfId="0" applyFont="1" applyAlignment="1" applyProtection="1">
      <alignment horizontal="left" vertical="center"/>
      <protection/>
    </xf>
    <xf numFmtId="38" fontId="0" fillId="0" borderId="0" xfId="0" applyNumberFormat="1" applyFont="1" applyAlignment="1" applyProtection="1">
      <alignment vertical="center"/>
      <protection locked="0"/>
    </xf>
    <xf numFmtId="176" fontId="9" fillId="0" borderId="12" xfId="0" applyNumberFormat="1" applyFont="1" applyBorder="1" applyAlignment="1" applyProtection="1">
      <alignment horizontal="right" vertical="center" wrapText="1"/>
      <protection/>
    </xf>
    <xf numFmtId="176" fontId="9" fillId="0" borderId="13" xfId="0" applyNumberFormat="1" applyFont="1" applyBorder="1" applyAlignment="1" applyProtection="1">
      <alignment horizontal="right" vertical="center" wrapText="1"/>
      <protection/>
    </xf>
    <xf numFmtId="0" fontId="0" fillId="33" borderId="0" xfId="0" applyFont="1" applyFill="1" applyAlignment="1" applyProtection="1">
      <alignment vertical="center"/>
      <protection locked="0"/>
    </xf>
    <xf numFmtId="0" fontId="123" fillId="0" borderId="0" xfId="0" applyFont="1" applyAlignment="1" applyProtection="1">
      <alignment horizontal="center" vertical="center"/>
      <protection locked="0"/>
    </xf>
    <xf numFmtId="178" fontId="125"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3" fillId="0" borderId="14" xfId="0" applyFont="1" applyBorder="1" applyAlignment="1" applyProtection="1">
      <alignment horizontal="center" vertical="center" wrapText="1"/>
      <protection locked="0"/>
    </xf>
    <xf numFmtId="0" fontId="123" fillId="0" borderId="15" xfId="0" applyFont="1" applyBorder="1" applyAlignment="1" applyProtection="1">
      <alignment horizontal="center" vertical="center" wrapText="1"/>
      <protection locked="0"/>
    </xf>
    <xf numFmtId="0" fontId="126" fillId="0" borderId="0" xfId="0" applyFont="1" applyAlignment="1" applyProtection="1">
      <alignment vertical="center"/>
      <protection locked="0"/>
    </xf>
    <xf numFmtId="0" fontId="0" fillId="0" borderId="0" xfId="0" applyAlignment="1" applyProtection="1">
      <alignment vertical="center"/>
      <protection locked="0"/>
    </xf>
    <xf numFmtId="0" fontId="127" fillId="0" borderId="0" xfId="0" applyFont="1" applyAlignment="1" applyProtection="1">
      <alignment horizontal="center" vertical="center"/>
      <protection locked="0"/>
    </xf>
    <xf numFmtId="0" fontId="128"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129" fillId="0" borderId="0" xfId="0" applyFont="1" applyAlignment="1" applyProtection="1">
      <alignment vertical="center"/>
      <protection locked="0"/>
    </xf>
    <xf numFmtId="0" fontId="130"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123" fillId="0" borderId="16" xfId="0" applyFont="1" applyBorder="1" applyAlignment="1" applyProtection="1">
      <alignment horizontal="center" vertical="center" wrapText="1"/>
      <protection locked="0"/>
    </xf>
    <xf numFmtId="176" fontId="9" fillId="0" borderId="17" xfId="0" applyNumberFormat="1" applyFont="1" applyBorder="1" applyAlignment="1" applyProtection="1">
      <alignment horizontal="right" vertical="center" wrapText="1"/>
      <protection/>
    </xf>
    <xf numFmtId="176" fontId="9" fillId="0" borderId="18" xfId="0" applyNumberFormat="1" applyFont="1" applyBorder="1" applyAlignment="1" applyProtection="1">
      <alignment horizontal="right" vertical="center" wrapText="1"/>
      <protection/>
    </xf>
    <xf numFmtId="178" fontId="125" fillId="33" borderId="17" xfId="0" applyNumberFormat="1" applyFont="1" applyFill="1" applyBorder="1" applyAlignment="1" applyProtection="1">
      <alignment horizontal="right" vertical="center" wrapText="1"/>
      <protection/>
    </xf>
    <xf numFmtId="178" fontId="125" fillId="33" borderId="19" xfId="0" applyNumberFormat="1" applyFont="1" applyFill="1" applyBorder="1" applyAlignment="1" applyProtection="1">
      <alignment horizontal="right" vertical="center" wrapText="1"/>
      <protection/>
    </xf>
    <xf numFmtId="0" fontId="131" fillId="0" borderId="0" xfId="0" applyFont="1" applyBorder="1" applyAlignment="1">
      <alignment horizontal="center" vertical="center" wrapText="1"/>
    </xf>
    <xf numFmtId="0" fontId="131" fillId="0" borderId="0" xfId="0" applyFont="1" applyBorder="1" applyAlignment="1">
      <alignment vertical="center" wrapText="1"/>
    </xf>
    <xf numFmtId="0" fontId="131" fillId="0" borderId="0" xfId="0" applyFont="1" applyAlignment="1">
      <alignment horizontal="center" vertical="center" wrapText="1"/>
    </xf>
    <xf numFmtId="0" fontId="121" fillId="0" borderId="0" xfId="0" applyFont="1" applyAlignment="1">
      <alignment vertical="center"/>
    </xf>
    <xf numFmtId="0" fontId="121" fillId="0" borderId="0" xfId="0" applyFont="1" applyBorder="1" applyAlignment="1">
      <alignment horizontal="center" vertical="center"/>
    </xf>
    <xf numFmtId="0" fontId="121" fillId="0" borderId="0" xfId="0" applyFont="1" applyBorder="1" applyAlignment="1">
      <alignment vertical="center"/>
    </xf>
    <xf numFmtId="0" fontId="121" fillId="0" borderId="0" xfId="0" applyFont="1" applyBorder="1" applyAlignment="1">
      <alignment vertical="center" wrapText="1"/>
    </xf>
    <xf numFmtId="49" fontId="121" fillId="0" borderId="0" xfId="0" applyNumberFormat="1" applyFont="1" applyBorder="1" applyAlignment="1" quotePrefix="1">
      <alignment horizontal="right" vertical="center"/>
    </xf>
    <xf numFmtId="0" fontId="121" fillId="0" borderId="0" xfId="0" applyFont="1" applyAlignment="1">
      <alignment horizontal="center" vertical="center"/>
    </xf>
    <xf numFmtId="49" fontId="121" fillId="0" borderId="0" xfId="0" applyNumberFormat="1" applyFont="1" applyBorder="1" applyAlignment="1">
      <alignment horizontal="right" vertical="center"/>
    </xf>
    <xf numFmtId="0" fontId="121" fillId="0" borderId="0" xfId="0" applyFont="1" applyBorder="1" applyAlignment="1">
      <alignment horizontal="left" vertical="center" indent="1"/>
    </xf>
    <xf numFmtId="0" fontId="121" fillId="33" borderId="0" xfId="0" applyFont="1" applyFill="1" applyBorder="1" applyAlignment="1">
      <alignment vertical="center"/>
    </xf>
    <xf numFmtId="178" fontId="125" fillId="33" borderId="20" xfId="0" applyNumberFormat="1" applyFont="1" applyFill="1" applyBorder="1" applyAlignment="1" applyProtection="1">
      <alignment horizontal="right" vertical="center" wrapText="1"/>
      <protection/>
    </xf>
    <xf numFmtId="0" fontId="123" fillId="0" borderId="21" xfId="0" applyFont="1" applyBorder="1" applyAlignment="1" applyProtection="1">
      <alignment horizontal="center" vertical="center" wrapText="1"/>
      <protection locked="0"/>
    </xf>
    <xf numFmtId="178" fontId="125" fillId="33" borderId="22" xfId="0" applyNumberFormat="1" applyFont="1" applyFill="1" applyBorder="1" applyAlignment="1" applyProtection="1">
      <alignment horizontal="right" vertical="center" wrapText="1"/>
      <protection/>
    </xf>
    <xf numFmtId="176" fontId="9" fillId="0" borderId="23" xfId="0" applyNumberFormat="1" applyFont="1" applyBorder="1" applyAlignment="1" applyProtection="1">
      <alignment horizontal="right" vertical="center" wrapText="1"/>
      <protection/>
    </xf>
    <xf numFmtId="176" fontId="9" fillId="0" borderId="24" xfId="0" applyNumberFormat="1" applyFont="1" applyBorder="1" applyAlignment="1" applyProtection="1">
      <alignment horizontal="right" vertical="center" wrapText="1"/>
      <protection/>
    </xf>
    <xf numFmtId="38" fontId="14" fillId="0" borderId="0" xfId="53" applyFont="1" applyFill="1" applyBorder="1" applyAlignment="1" applyProtection="1">
      <alignment vertical="top" wrapText="1"/>
      <protection locked="0"/>
    </xf>
    <xf numFmtId="0" fontId="132" fillId="0" borderId="0" xfId="0" applyFont="1" applyBorder="1" applyAlignment="1" applyProtection="1">
      <alignment vertical="center"/>
      <protection locked="0"/>
    </xf>
    <xf numFmtId="0" fontId="13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lignment horizontal="center" vertical="center"/>
    </xf>
    <xf numFmtId="0" fontId="11" fillId="0" borderId="25" xfId="0" applyFont="1" applyBorder="1" applyAlignment="1" applyProtection="1">
      <alignment horizontal="center" vertical="center" wrapText="1"/>
      <protection locked="0"/>
    </xf>
    <xf numFmtId="0" fontId="22" fillId="0" borderId="0" xfId="0" applyFont="1" applyAlignment="1" applyProtection="1">
      <alignment vertical="center"/>
      <protection locked="0"/>
    </xf>
    <xf numFmtId="0" fontId="3" fillId="0" borderId="0" xfId="0" applyFont="1" applyAlignment="1" applyProtection="1">
      <alignment vertical="center"/>
      <protection locked="0"/>
    </xf>
    <xf numFmtId="0" fontId="132" fillId="0" borderId="0" xfId="0" applyFont="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Border="1" applyAlignment="1" applyProtection="1">
      <alignment vertical="center"/>
      <protection locked="0"/>
    </xf>
    <xf numFmtId="0" fontId="133" fillId="0" borderId="0" xfId="0" applyFont="1" applyAlignment="1">
      <alignment vertical="center"/>
    </xf>
    <xf numFmtId="0" fontId="134" fillId="0" borderId="0" xfId="0" applyFont="1" applyAlignment="1">
      <alignment horizontal="right" vertical="center"/>
    </xf>
    <xf numFmtId="0" fontId="135" fillId="0" borderId="0" xfId="0" applyFont="1" applyAlignment="1" applyProtection="1">
      <alignment horizontal="right" vertical="center"/>
      <protection/>
    </xf>
    <xf numFmtId="0" fontId="25" fillId="0" borderId="0" xfId="0" applyFont="1" applyAlignment="1" applyProtection="1">
      <alignment vertical="center"/>
      <protection locked="0"/>
    </xf>
    <xf numFmtId="0" fontId="129" fillId="0" borderId="0" xfId="0" applyFont="1" applyAlignment="1" applyProtection="1">
      <alignment horizontal="center" vertical="center"/>
      <protection locked="0"/>
    </xf>
    <xf numFmtId="0" fontId="136" fillId="0" borderId="0" xfId="0" applyFont="1" applyAlignment="1" applyProtection="1">
      <alignment vertical="center"/>
      <protection locked="0"/>
    </xf>
    <xf numFmtId="0" fontId="137" fillId="0" borderId="0" xfId="0" applyFont="1" applyAlignment="1" applyProtection="1">
      <alignment vertical="center"/>
      <protection locked="0"/>
    </xf>
    <xf numFmtId="0" fontId="137" fillId="0" borderId="0" xfId="0" applyFont="1" applyAlignment="1" applyProtection="1">
      <alignment horizontal="center" vertical="center"/>
      <protection locked="0"/>
    </xf>
    <xf numFmtId="0" fontId="138" fillId="0" borderId="0" xfId="0" applyFont="1" applyAlignment="1">
      <alignment vertical="center"/>
    </xf>
    <xf numFmtId="0" fontId="7" fillId="0" borderId="0" xfId="0" applyFont="1" applyAlignment="1" applyProtection="1">
      <alignment vertical="center"/>
      <protection locked="0"/>
    </xf>
    <xf numFmtId="0" fontId="121" fillId="0" borderId="0" xfId="0" applyFont="1" applyAlignment="1" applyProtection="1">
      <alignment vertical="center"/>
      <protection/>
    </xf>
    <xf numFmtId="0" fontId="1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6" fillId="6" borderId="26"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xf>
    <xf numFmtId="176" fontId="5" fillId="0" borderId="0" xfId="0" applyNumberFormat="1" applyFont="1" applyFill="1" applyBorder="1" applyAlignment="1" applyProtection="1">
      <alignment horizontal="right" vertical="center" wrapText="1"/>
      <protection/>
    </xf>
    <xf numFmtId="176" fontId="9" fillId="0" borderId="0" xfId="0" applyNumberFormat="1" applyFont="1" applyFill="1" applyBorder="1" applyAlignment="1" applyProtection="1">
      <alignment horizontal="right" vertical="center" wrapText="1"/>
      <protection/>
    </xf>
    <xf numFmtId="0" fontId="132" fillId="0" borderId="0" xfId="0" applyFont="1" applyBorder="1" applyAlignment="1" applyProtection="1">
      <alignment horizontal="center" vertical="center"/>
      <protection locked="0"/>
    </xf>
    <xf numFmtId="0" fontId="128" fillId="0" borderId="0" xfId="0" applyFont="1" applyAlignment="1">
      <alignment horizontal="right" vertical="center"/>
    </xf>
    <xf numFmtId="38" fontId="15" fillId="0" borderId="27" xfId="50" applyFont="1" applyFill="1" applyBorder="1" applyAlignment="1" applyProtection="1">
      <alignment vertical="center"/>
      <protection/>
    </xf>
    <xf numFmtId="176" fontId="15" fillId="0" borderId="27" xfId="0" applyNumberFormat="1" applyFont="1" applyBorder="1" applyAlignment="1" applyProtection="1">
      <alignment horizontal="right" vertical="center"/>
      <protection/>
    </xf>
    <xf numFmtId="176" fontId="15" fillId="0" borderId="28" xfId="0" applyNumberFormat="1" applyFont="1" applyFill="1" applyBorder="1" applyAlignment="1" applyProtection="1">
      <alignment horizontal="right" vertical="center" wrapText="1"/>
      <protection/>
    </xf>
    <xf numFmtId="38" fontId="15" fillId="0" borderId="28" xfId="50" applyFont="1" applyFill="1" applyBorder="1" applyAlignment="1" applyProtection="1">
      <alignment vertical="center"/>
      <protection/>
    </xf>
    <xf numFmtId="176" fontId="15" fillId="0" borderId="28" xfId="0" applyNumberFormat="1" applyFont="1" applyBorder="1" applyAlignment="1" applyProtection="1">
      <alignment horizontal="right" vertical="center"/>
      <protection/>
    </xf>
    <xf numFmtId="0" fontId="132" fillId="0" borderId="0" xfId="0" applyFont="1" applyFill="1" applyAlignment="1" applyProtection="1">
      <alignment vertical="center"/>
      <protection locked="0"/>
    </xf>
    <xf numFmtId="176" fontId="26" fillId="0" borderId="0" xfId="0" applyNumberFormat="1" applyFont="1" applyFill="1" applyBorder="1" applyAlignment="1" applyProtection="1">
      <alignment horizontal="right" vertical="top" wrapText="1"/>
      <protection/>
    </xf>
    <xf numFmtId="0" fontId="17" fillId="0" borderId="29" xfId="0" applyFont="1" applyFill="1" applyBorder="1" applyAlignment="1" applyProtection="1">
      <alignment horizontal="left" vertical="top"/>
      <protection locked="0"/>
    </xf>
    <xf numFmtId="0" fontId="17" fillId="0" borderId="29" xfId="0" applyFont="1" applyFill="1" applyBorder="1" applyAlignment="1" applyProtection="1">
      <alignment horizontal="center" vertical="center" shrinkToFit="1"/>
      <protection/>
    </xf>
    <xf numFmtId="176" fontId="15" fillId="0" borderId="13" xfId="0" applyNumberFormat="1" applyFont="1" applyFill="1" applyBorder="1" applyAlignment="1" applyProtection="1">
      <alignment horizontal="right" vertical="center" wrapText="1"/>
      <protection/>
    </xf>
    <xf numFmtId="213" fontId="6" fillId="6" borderId="23" xfId="50" applyNumberFormat="1" applyFont="1" applyFill="1" applyBorder="1" applyAlignment="1" applyProtection="1">
      <alignment horizontal="center" vertical="center"/>
      <protection/>
    </xf>
    <xf numFmtId="176" fontId="15" fillId="0" borderId="28" xfId="0" applyNumberFormat="1" applyFont="1" applyFill="1" applyBorder="1" applyAlignment="1" applyProtection="1">
      <alignment horizontal="right" vertical="center"/>
      <protection/>
    </xf>
    <xf numFmtId="176" fontId="15" fillId="0" borderId="23" xfId="0" applyNumberFormat="1" applyFont="1" applyFill="1" applyBorder="1" applyAlignment="1" applyProtection="1">
      <alignment horizontal="right" vertical="center" wrapText="1"/>
      <protection/>
    </xf>
    <xf numFmtId="0" fontId="139" fillId="0" borderId="0" xfId="0" applyFont="1" applyAlignment="1" applyProtection="1">
      <alignment vertical="center"/>
      <protection locked="0"/>
    </xf>
    <xf numFmtId="0" fontId="139" fillId="0" borderId="0" xfId="0" applyFont="1" applyAlignment="1" applyProtection="1">
      <alignment horizontal="center" vertical="center"/>
      <protection locked="0"/>
    </xf>
    <xf numFmtId="0" fontId="121" fillId="0" borderId="0" xfId="0" applyFont="1" applyAlignment="1" applyProtection="1">
      <alignment/>
      <protection locked="0"/>
    </xf>
    <xf numFmtId="0" fontId="132" fillId="33" borderId="0" xfId="0" applyFont="1" applyFill="1" applyBorder="1" applyAlignment="1" applyProtection="1">
      <alignment vertical="center"/>
      <protection locked="0"/>
    </xf>
    <xf numFmtId="0" fontId="121" fillId="0" borderId="30" xfId="0" applyFont="1" applyBorder="1" applyAlignment="1" applyProtection="1">
      <alignment horizontal="center" vertical="center"/>
      <protection locked="0"/>
    </xf>
    <xf numFmtId="0" fontId="121" fillId="0" borderId="0" xfId="0" applyFont="1" applyFill="1" applyBorder="1" applyAlignment="1" applyProtection="1">
      <alignment horizontal="center" vertical="center" textRotation="255"/>
      <protection locked="0"/>
    </xf>
    <xf numFmtId="0" fontId="11" fillId="0" borderId="0"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26" fillId="0" borderId="0" xfId="0" applyFont="1" applyBorder="1" applyAlignment="1" applyProtection="1">
      <alignment horizontal="center" vertical="center"/>
      <protection locked="0"/>
    </xf>
    <xf numFmtId="0" fontId="140" fillId="0" borderId="0" xfId="0" applyFont="1" applyFill="1" applyBorder="1" applyAlignment="1" applyProtection="1">
      <alignment horizontal="center" vertical="center" wrapText="1" shrinkToFit="1"/>
      <protection/>
    </xf>
    <xf numFmtId="176" fontId="126" fillId="0" borderId="0" xfId="0" applyNumberFormat="1" applyFont="1" applyFill="1" applyBorder="1" applyAlignment="1" applyProtection="1">
      <alignment horizontal="right" vertical="center"/>
      <protection/>
    </xf>
    <xf numFmtId="0" fontId="129" fillId="0" borderId="0" xfId="0" applyFont="1" applyBorder="1" applyAlignment="1" applyProtection="1">
      <alignment horizontal="left" vertical="top" wrapText="1"/>
      <protection/>
    </xf>
    <xf numFmtId="38" fontId="132" fillId="0" borderId="0" xfId="0" applyNumberFormat="1" applyFont="1" applyAlignment="1" applyProtection="1">
      <alignment vertical="center"/>
      <protection locked="0"/>
    </xf>
    <xf numFmtId="176" fontId="126" fillId="0" borderId="0" xfId="0" applyNumberFormat="1" applyFont="1" applyFill="1" applyBorder="1" applyAlignment="1" applyProtection="1">
      <alignment horizontal="left" vertical="center" wrapText="1" indent="3"/>
      <protection/>
    </xf>
    <xf numFmtId="0" fontId="16" fillId="0" borderId="0" xfId="0" applyFont="1" applyFill="1" applyBorder="1" applyAlignment="1" applyProtection="1">
      <alignment horizontal="left" vertical="top" indent="2"/>
      <protection locked="0"/>
    </xf>
    <xf numFmtId="0" fontId="6" fillId="0" borderId="0" xfId="0" applyFont="1" applyFill="1" applyBorder="1" applyAlignment="1" applyProtection="1">
      <alignment horizontal="center" vertical="center" shrinkToFit="1"/>
      <protection locked="0"/>
    </xf>
    <xf numFmtId="0" fontId="129" fillId="0" borderId="0" xfId="0" applyFont="1" applyBorder="1" applyAlignment="1" applyProtection="1">
      <alignment horizontal="center" vertical="center"/>
      <protection/>
    </xf>
    <xf numFmtId="176" fontId="132" fillId="0" borderId="0" xfId="0" applyNumberFormat="1" applyFont="1" applyAlignment="1" applyProtection="1">
      <alignment vertical="center"/>
      <protection locked="0"/>
    </xf>
    <xf numFmtId="0" fontId="19"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vertical="center" wrapText="1"/>
      <protection locked="0"/>
    </xf>
    <xf numFmtId="0" fontId="129" fillId="0" borderId="0" xfId="0" applyFont="1" applyAlignment="1" applyProtection="1">
      <alignment horizontal="right" vertical="center"/>
      <protection locked="0"/>
    </xf>
    <xf numFmtId="0" fontId="141" fillId="0" borderId="0" xfId="0" applyFont="1" applyAlignment="1" applyProtection="1">
      <alignment horizontal="left" vertical="center" indent="2"/>
      <protection locked="0"/>
    </xf>
    <xf numFmtId="38" fontId="25" fillId="0" borderId="0" xfId="50" applyNumberFormat="1" applyFont="1" applyBorder="1" applyAlignment="1" applyProtection="1">
      <alignment vertical="center"/>
      <protection locked="0"/>
    </xf>
    <xf numFmtId="38" fontId="24" fillId="0" borderId="0" xfId="50" applyNumberFormat="1" applyFont="1" applyBorder="1" applyAlignment="1" applyProtection="1">
      <alignment vertical="center"/>
      <protection locked="0"/>
    </xf>
    <xf numFmtId="0" fontId="141" fillId="0" borderId="0" xfId="0" applyFont="1" applyAlignment="1" applyProtection="1">
      <alignment horizontal="left" vertical="center" indent="3"/>
      <protection locked="0"/>
    </xf>
    <xf numFmtId="38" fontId="24" fillId="0" borderId="0" xfId="50" applyNumberFormat="1" applyFont="1" applyBorder="1" applyAlignment="1" applyProtection="1">
      <alignment vertical="center" wrapText="1"/>
      <protection locked="0"/>
    </xf>
    <xf numFmtId="0" fontId="132" fillId="0" borderId="0" xfId="0" applyFont="1" applyAlignment="1" applyProtection="1">
      <alignment horizontal="center"/>
      <protection locked="0"/>
    </xf>
    <xf numFmtId="0" fontId="0" fillId="0" borderId="0" xfId="0" applyBorder="1" applyAlignment="1">
      <alignment vertical="center"/>
    </xf>
    <xf numFmtId="0" fontId="142" fillId="0" borderId="0" xfId="0" applyFont="1" applyAlignment="1" applyProtection="1">
      <alignment horizontal="left" vertical="center"/>
      <protection locked="0"/>
    </xf>
    <xf numFmtId="0" fontId="21" fillId="6" borderId="33" xfId="0" applyFont="1" applyFill="1" applyBorder="1" applyAlignment="1" applyProtection="1">
      <alignment horizontal="center" vertical="center" wrapText="1"/>
      <protection locked="0"/>
    </xf>
    <xf numFmtId="0" fontId="129" fillId="6" borderId="34" xfId="0" applyFont="1" applyFill="1" applyBorder="1" applyAlignment="1" applyProtection="1">
      <alignment horizontal="center" vertical="center"/>
      <protection locked="0"/>
    </xf>
    <xf numFmtId="0" fontId="129" fillId="6" borderId="35" xfId="0" applyFont="1" applyFill="1" applyBorder="1" applyAlignment="1" applyProtection="1">
      <alignment horizontal="center" vertical="center"/>
      <protection locked="0"/>
    </xf>
    <xf numFmtId="0" fontId="129" fillId="6" borderId="36" xfId="0" applyFont="1" applyFill="1" applyBorder="1" applyAlignment="1" applyProtection="1">
      <alignment horizontal="center" vertical="center"/>
      <protection locked="0"/>
    </xf>
    <xf numFmtId="0" fontId="129" fillId="6" borderId="37" xfId="0" applyFont="1" applyFill="1" applyBorder="1" applyAlignment="1" applyProtection="1">
      <alignment horizontal="center" vertical="center"/>
      <protection locked="0"/>
    </xf>
    <xf numFmtId="0" fontId="129" fillId="6" borderId="38"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wrapText="1"/>
      <protection locked="0"/>
    </xf>
    <xf numFmtId="0" fontId="21" fillId="6" borderId="39" xfId="0" applyFont="1" applyFill="1" applyBorder="1" applyAlignment="1" applyProtection="1">
      <alignment horizontal="center" vertical="top" wrapText="1"/>
      <protection locked="0"/>
    </xf>
    <xf numFmtId="0" fontId="6" fillId="6" borderId="40" xfId="0" applyFont="1" applyFill="1" applyBorder="1" applyAlignment="1" applyProtection="1">
      <alignment horizontal="center" vertical="top" wrapText="1"/>
      <protection locked="0"/>
    </xf>
    <xf numFmtId="0" fontId="11" fillId="6" borderId="41" xfId="0" applyFont="1" applyFill="1" applyBorder="1" applyAlignment="1" applyProtection="1">
      <alignment horizontal="center" vertical="top" wrapText="1"/>
      <protection locked="0"/>
    </xf>
    <xf numFmtId="0" fontId="129" fillId="6" borderId="39" xfId="0" applyFont="1" applyFill="1" applyBorder="1" applyAlignment="1" applyProtection="1">
      <alignment horizontal="center" vertical="top"/>
      <protection locked="0"/>
    </xf>
    <xf numFmtId="0" fontId="129" fillId="6" borderId="0" xfId="0" applyFont="1" applyFill="1" applyBorder="1" applyAlignment="1" applyProtection="1">
      <alignment horizontal="center" vertical="top"/>
      <protection locked="0"/>
    </xf>
    <xf numFmtId="0" fontId="129" fillId="6" borderId="42" xfId="0" applyFont="1" applyFill="1" applyBorder="1" applyAlignment="1" applyProtection="1">
      <alignment horizontal="center" vertical="top"/>
      <protection locked="0"/>
    </xf>
    <xf numFmtId="0" fontId="129" fillId="6" borderId="43" xfId="0" applyFont="1" applyFill="1" applyBorder="1" applyAlignment="1" applyProtection="1">
      <alignment horizontal="center" vertical="top" wrapText="1"/>
      <protection locked="0"/>
    </xf>
    <xf numFmtId="176" fontId="9" fillId="0" borderId="0" xfId="0" applyNumberFormat="1" applyFont="1" applyFill="1" applyBorder="1" applyAlignment="1" applyProtection="1">
      <alignment horizontal="left" vertical="center" wrapText="1"/>
      <protection locked="0"/>
    </xf>
    <xf numFmtId="0" fontId="124" fillId="0" borderId="0" xfId="0" applyFont="1" applyBorder="1" applyAlignment="1" applyProtection="1">
      <alignment vertical="center"/>
      <protection locked="0"/>
    </xf>
    <xf numFmtId="0" fontId="6" fillId="6" borderId="44" xfId="0" applyFont="1" applyFill="1" applyBorder="1" applyAlignment="1" applyProtection="1">
      <alignment horizontal="center" vertical="center" wrapText="1"/>
      <protection locked="0"/>
    </xf>
    <xf numFmtId="0" fontId="6" fillId="6" borderId="45" xfId="0" applyFont="1" applyFill="1" applyBorder="1" applyAlignment="1" applyProtection="1">
      <alignment horizontal="center" vertical="center" wrapText="1"/>
      <protection locked="0"/>
    </xf>
    <xf numFmtId="0" fontId="6" fillId="6" borderId="46" xfId="0" applyFont="1" applyFill="1" applyBorder="1" applyAlignment="1" applyProtection="1">
      <alignment horizontal="center" vertical="center" wrapText="1"/>
      <protection locked="0"/>
    </xf>
    <xf numFmtId="0" fontId="129" fillId="6" borderId="44" xfId="0" applyFont="1" applyFill="1" applyBorder="1" applyAlignment="1" applyProtection="1">
      <alignment horizontal="center" vertical="center"/>
      <protection locked="0"/>
    </xf>
    <xf numFmtId="0" fontId="129" fillId="6" borderId="29" xfId="0" applyFont="1" applyFill="1" applyBorder="1" applyAlignment="1" applyProtection="1">
      <alignment horizontal="center" vertical="center"/>
      <protection locked="0"/>
    </xf>
    <xf numFmtId="0" fontId="129" fillId="6" borderId="47" xfId="0" applyFont="1" applyFill="1" applyBorder="1" applyAlignment="1" applyProtection="1">
      <alignment horizontal="center" vertical="center"/>
      <protection locked="0"/>
    </xf>
    <xf numFmtId="0" fontId="129" fillId="6" borderId="48" xfId="0" applyFont="1" applyFill="1" applyBorder="1" applyAlignment="1" applyProtection="1">
      <alignment horizontal="center" vertical="center"/>
      <protection locked="0"/>
    </xf>
    <xf numFmtId="0" fontId="143" fillId="0" borderId="13" xfId="0" applyFont="1" applyBorder="1" applyAlignment="1" applyProtection="1">
      <alignment horizontal="center" vertical="center" wrapText="1"/>
      <protection locked="0"/>
    </xf>
    <xf numFmtId="0" fontId="144" fillId="0" borderId="49" xfId="0" applyFont="1" applyBorder="1" applyAlignment="1" applyProtection="1">
      <alignment horizontal="left" vertical="center" wrapText="1"/>
      <protection locked="0"/>
    </xf>
    <xf numFmtId="0" fontId="143" fillId="33" borderId="13" xfId="0" applyFont="1" applyFill="1" applyBorder="1" applyAlignment="1" applyProtection="1">
      <alignment horizontal="center" vertical="center" wrapText="1"/>
      <protection locked="0"/>
    </xf>
    <xf numFmtId="0" fontId="144" fillId="33" borderId="13" xfId="0" applyFont="1" applyFill="1" applyBorder="1" applyAlignment="1" applyProtection="1">
      <alignment horizontal="left" vertical="center" wrapText="1"/>
      <protection locked="0"/>
    </xf>
    <xf numFmtId="176" fontId="10" fillId="0" borderId="0" xfId="0" applyNumberFormat="1" applyFont="1" applyFill="1" applyBorder="1" applyAlignment="1" applyProtection="1">
      <alignment horizontal="left" vertical="center" wrapText="1"/>
      <protection locked="0"/>
    </xf>
    <xf numFmtId="0" fontId="144" fillId="0" borderId="13" xfId="0" applyFont="1" applyBorder="1" applyAlignment="1" applyProtection="1">
      <alignment horizontal="left" vertical="center" wrapText="1"/>
      <protection locked="0"/>
    </xf>
    <xf numFmtId="0" fontId="144" fillId="0" borderId="0" xfId="0" applyFont="1" applyBorder="1" applyAlignment="1" applyProtection="1">
      <alignment vertical="top" wrapText="1"/>
      <protection locked="0"/>
    </xf>
    <xf numFmtId="0" fontId="144" fillId="34" borderId="49" xfId="0" applyFont="1" applyFill="1" applyBorder="1" applyAlignment="1" applyProtection="1">
      <alignment horizontal="left" vertical="center" wrapText="1"/>
      <protection locked="0"/>
    </xf>
    <xf numFmtId="0" fontId="145" fillId="0" borderId="0" xfId="0" applyFont="1" applyAlignment="1" applyProtection="1">
      <alignment vertical="center"/>
      <protection locked="0"/>
    </xf>
    <xf numFmtId="0" fontId="146" fillId="0" borderId="0" xfId="0" applyFont="1" applyAlignment="1" applyProtection="1">
      <alignment vertical="center"/>
      <protection locked="0"/>
    </xf>
    <xf numFmtId="0" fontId="147" fillId="0" borderId="0" xfId="0" applyFont="1" applyAlignment="1" applyProtection="1">
      <alignment vertical="center"/>
      <protection locked="0"/>
    </xf>
    <xf numFmtId="0" fontId="129" fillId="0" borderId="0"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176" fontId="7" fillId="0" borderId="0" xfId="0" applyNumberFormat="1" applyFont="1" applyAlignment="1" applyProtection="1">
      <alignment/>
      <protection locked="0"/>
    </xf>
    <xf numFmtId="176" fontId="15" fillId="0" borderId="0" xfId="0" applyNumberFormat="1" applyFont="1" applyAlignment="1" applyProtection="1">
      <alignment horizontal="right"/>
      <protection/>
    </xf>
    <xf numFmtId="0" fontId="18" fillId="0" borderId="0" xfId="0" applyFont="1" applyAlignment="1" applyProtection="1">
      <alignment horizontal="center" shrinkToFit="1"/>
      <protection locked="0"/>
    </xf>
    <xf numFmtId="0" fontId="18" fillId="0" borderId="0" xfId="0" applyFont="1" applyAlignment="1" applyProtection="1">
      <alignment horizontal="left" shrinkToFit="1"/>
      <protection locked="0"/>
    </xf>
    <xf numFmtId="176" fontId="148" fillId="0" borderId="50" xfId="0" applyNumberFormat="1" applyFont="1" applyBorder="1" applyAlignment="1" applyProtection="1">
      <alignment vertical="center"/>
      <protection/>
    </xf>
    <xf numFmtId="176" fontId="148" fillId="0" borderId="51" xfId="0" applyNumberFormat="1" applyFont="1" applyBorder="1" applyAlignment="1" applyProtection="1">
      <alignment vertical="center"/>
      <protection/>
    </xf>
    <xf numFmtId="176" fontId="148" fillId="0" borderId="52" xfId="0" applyNumberFormat="1" applyFont="1" applyBorder="1" applyAlignment="1" applyProtection="1">
      <alignment vertical="center"/>
      <protection/>
    </xf>
    <xf numFmtId="176" fontId="148" fillId="0" borderId="53" xfId="0" applyNumberFormat="1" applyFont="1" applyBorder="1" applyAlignment="1" applyProtection="1">
      <alignment vertical="center"/>
      <protection/>
    </xf>
    <xf numFmtId="38" fontId="7" fillId="0" borderId="0" xfId="0" applyNumberFormat="1" applyFont="1" applyFill="1" applyBorder="1" applyAlignment="1" applyProtection="1">
      <alignment vertical="center" shrinkToFit="1"/>
      <protection locked="0"/>
    </xf>
    <xf numFmtId="38" fontId="7" fillId="0" borderId="0" xfId="0" applyNumberFormat="1" applyFont="1" applyFill="1" applyBorder="1" applyAlignment="1" applyProtection="1">
      <alignment shrinkToFit="1"/>
      <protection locked="0"/>
    </xf>
    <xf numFmtId="176" fontId="149" fillId="0" borderId="0" xfId="0" applyNumberFormat="1" applyFont="1" applyAlignment="1" applyProtection="1">
      <alignment horizontal="right" vertical="center"/>
      <protection/>
    </xf>
    <xf numFmtId="176" fontId="15" fillId="0" borderId="0" xfId="0" applyNumberFormat="1" applyFont="1" applyAlignment="1" applyProtection="1">
      <alignment/>
      <protection locked="0"/>
    </xf>
    <xf numFmtId="176" fontId="15" fillId="0" borderId="0" xfId="0" applyNumberFormat="1" applyFont="1" applyAlignment="1" applyProtection="1">
      <alignment horizontal="right"/>
      <protection locked="0"/>
    </xf>
    <xf numFmtId="0" fontId="18" fillId="0" borderId="0" xfId="0" applyFont="1" applyAlignment="1" applyProtection="1">
      <alignment horizontal="center"/>
      <protection locked="0"/>
    </xf>
    <xf numFmtId="0" fontId="18" fillId="0" borderId="0" xfId="0" applyFont="1" applyAlignment="1" applyProtection="1">
      <alignment horizontal="left"/>
      <protection locked="0"/>
    </xf>
    <xf numFmtId="176" fontId="127" fillId="0" borderId="0" xfId="0" applyNumberFormat="1" applyFont="1" applyBorder="1" applyAlignment="1" applyProtection="1">
      <alignment/>
      <protection locked="0"/>
    </xf>
    <xf numFmtId="0" fontId="135" fillId="0" borderId="0" xfId="0" applyFont="1" applyAlignment="1" applyProtection="1">
      <alignment horizontal="right" vertical="center"/>
      <protection locked="0"/>
    </xf>
    <xf numFmtId="0" fontId="6" fillId="6" borderId="25" xfId="0" applyFont="1" applyFill="1" applyBorder="1" applyAlignment="1" applyProtection="1">
      <alignment horizontal="center" vertical="top" wrapText="1"/>
      <protection locked="0"/>
    </xf>
    <xf numFmtId="0" fontId="150" fillId="0" borderId="0" xfId="0" applyFont="1" applyBorder="1" applyAlignment="1" applyProtection="1">
      <alignment horizontal="left" vertical="center"/>
      <protection locked="0"/>
    </xf>
    <xf numFmtId="0" fontId="103" fillId="35" borderId="26" xfId="0" applyFont="1" applyFill="1" applyBorder="1" applyAlignment="1" applyProtection="1">
      <alignment horizontal="center" vertical="center"/>
      <protection locked="0"/>
    </xf>
    <xf numFmtId="0" fontId="103" fillId="35" borderId="34" xfId="0" applyFont="1" applyFill="1" applyBorder="1" applyAlignment="1" applyProtection="1">
      <alignment horizontal="center" vertical="center"/>
      <protection locked="0"/>
    </xf>
    <xf numFmtId="0" fontId="151" fillId="0" borderId="0" xfId="0" applyFont="1" applyAlignment="1" applyProtection="1">
      <alignment horizontal="left" vertical="center"/>
      <protection locked="0"/>
    </xf>
    <xf numFmtId="0" fontId="151" fillId="0" borderId="0" xfId="0" applyFont="1" applyBorder="1" applyAlignment="1" applyProtection="1">
      <alignment horizontal="left" vertical="center"/>
      <protection locked="0"/>
    </xf>
    <xf numFmtId="0" fontId="151" fillId="0" borderId="0" xfId="0" applyFont="1" applyBorder="1" applyAlignment="1" applyProtection="1">
      <alignment horizontal="right" vertical="center"/>
      <protection locked="0"/>
    </xf>
    <xf numFmtId="0" fontId="151" fillId="0" borderId="0" xfId="0" applyFont="1" applyBorder="1" applyAlignment="1" applyProtection="1">
      <alignment horizontal="center" vertical="center"/>
      <protection locked="0"/>
    </xf>
    <xf numFmtId="0" fontId="21" fillId="6" borderId="54" xfId="0" applyFont="1" applyFill="1" applyBorder="1" applyAlignment="1" applyProtection="1">
      <alignment horizontal="center" vertical="center" wrapText="1"/>
      <protection locked="0"/>
    </xf>
    <xf numFmtId="0" fontId="129" fillId="6" borderId="13"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wrapText="1"/>
      <protection locked="0"/>
    </xf>
    <xf numFmtId="0" fontId="129" fillId="6" borderId="55" xfId="0" applyFont="1" applyFill="1" applyBorder="1" applyAlignment="1" applyProtection="1">
      <alignment horizontal="center" vertical="center"/>
      <protection locked="0"/>
    </xf>
    <xf numFmtId="0" fontId="129" fillId="6" borderId="26" xfId="0" applyFont="1" applyFill="1" applyBorder="1" applyAlignment="1" applyProtection="1">
      <alignment horizontal="center" vertical="center"/>
      <protection locked="0"/>
    </xf>
    <xf numFmtId="0" fontId="121" fillId="0" borderId="23" xfId="0" applyFont="1" applyBorder="1" applyAlignment="1" applyProtection="1">
      <alignment horizontal="center" vertical="center"/>
      <protection locked="0"/>
    </xf>
    <xf numFmtId="0" fontId="121" fillId="0" borderId="1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14" fillId="0" borderId="0" xfId="0" applyFont="1" applyBorder="1" applyAlignment="1" applyProtection="1">
      <alignment vertical="center"/>
      <protection locked="0"/>
    </xf>
    <xf numFmtId="213" fontId="15" fillId="0" borderId="13" xfId="50" applyNumberFormat="1" applyFont="1" applyFill="1" applyBorder="1" applyAlignment="1" applyProtection="1">
      <alignment vertical="center"/>
      <protection/>
    </xf>
    <xf numFmtId="221" fontId="15" fillId="0" borderId="13" xfId="50" applyNumberFormat="1" applyFont="1" applyFill="1" applyBorder="1" applyAlignment="1" applyProtection="1">
      <alignment vertical="center"/>
      <protection/>
    </xf>
    <xf numFmtId="0" fontId="152" fillId="0" borderId="0" xfId="0" applyFont="1" applyFill="1" applyAlignment="1" applyProtection="1">
      <alignment horizontal="center" vertical="center"/>
      <protection/>
    </xf>
    <xf numFmtId="0" fontId="130" fillId="0" borderId="0" xfId="0" applyFont="1" applyAlignment="1" applyProtection="1">
      <alignment vertical="center"/>
      <protection locked="0"/>
    </xf>
    <xf numFmtId="14" fontId="130" fillId="0" borderId="0" xfId="0" applyNumberFormat="1" applyFont="1" applyAlignment="1" applyProtection="1">
      <alignment vertical="center"/>
      <protection locked="0"/>
    </xf>
    <xf numFmtId="0" fontId="130" fillId="0" borderId="0" xfId="0" applyFont="1" applyAlignment="1" applyProtection="1">
      <alignment vertical="center"/>
      <protection locked="0"/>
    </xf>
    <xf numFmtId="196" fontId="6" fillId="33" borderId="0" xfId="0" applyNumberFormat="1" applyFont="1" applyFill="1" applyBorder="1" applyAlignment="1" applyProtection="1">
      <alignment horizontal="left" vertical="center"/>
      <protection locked="0"/>
    </xf>
    <xf numFmtId="0" fontId="130" fillId="33" borderId="0" xfId="0" applyFont="1" applyFill="1" applyAlignment="1" applyProtection="1">
      <alignment vertical="center"/>
      <protection locked="0"/>
    </xf>
    <xf numFmtId="0" fontId="6" fillId="0" borderId="0" xfId="0" applyFont="1" applyAlignment="1" applyProtection="1">
      <alignment vertical="center"/>
      <protection locked="0"/>
    </xf>
    <xf numFmtId="0" fontId="153" fillId="0" borderId="0" xfId="0" applyFont="1" applyAlignment="1" applyProtection="1">
      <alignment vertical="center"/>
      <protection locked="0"/>
    </xf>
    <xf numFmtId="0" fontId="6" fillId="0" borderId="0" xfId="0" applyFont="1" applyAlignment="1" applyProtection="1">
      <alignment vertical="center"/>
      <protection locked="0"/>
    </xf>
    <xf numFmtId="0" fontId="130" fillId="0" borderId="0" xfId="0" applyFont="1" applyAlignment="1">
      <alignment vertical="center"/>
    </xf>
    <xf numFmtId="0" fontId="6" fillId="0" borderId="0" xfId="0" applyFont="1" applyBorder="1" applyAlignment="1" applyProtection="1">
      <alignment horizontal="center" vertical="center"/>
      <protection locked="0"/>
    </xf>
    <xf numFmtId="0" fontId="130" fillId="36" borderId="0" xfId="0" applyFont="1" applyFill="1" applyAlignment="1" applyProtection="1">
      <alignment vertical="center"/>
      <protection locked="0"/>
    </xf>
    <xf numFmtId="0" fontId="107" fillId="36" borderId="0" xfId="44" applyFill="1" applyAlignment="1" applyProtection="1">
      <alignment vertical="center"/>
      <protection locked="0"/>
    </xf>
    <xf numFmtId="0" fontId="125" fillId="7" borderId="56" xfId="0" applyFont="1" applyFill="1" applyBorder="1" applyAlignment="1" applyProtection="1">
      <alignment horizontal="left" vertical="center" wrapText="1"/>
      <protection locked="0"/>
    </xf>
    <xf numFmtId="0" fontId="125" fillId="7" borderId="12" xfId="0" applyFont="1" applyFill="1" applyBorder="1" applyAlignment="1" applyProtection="1">
      <alignment horizontal="left" vertical="center" wrapText="1"/>
      <protection locked="0"/>
    </xf>
    <xf numFmtId="0" fontId="125" fillId="7" borderId="13" xfId="0" applyFont="1" applyFill="1" applyBorder="1" applyAlignment="1" applyProtection="1">
      <alignment horizontal="left" vertical="center" wrapText="1"/>
      <protection locked="0"/>
    </xf>
    <xf numFmtId="0" fontId="125" fillId="7" borderId="13" xfId="0" applyFont="1" applyFill="1" applyBorder="1" applyAlignment="1" applyProtection="1">
      <alignment horizontal="left" vertical="center" wrapText="1" shrinkToFit="1"/>
      <protection locked="0"/>
    </xf>
    <xf numFmtId="176" fontId="9" fillId="7" borderId="18" xfId="0" applyNumberFormat="1" applyFont="1" applyFill="1" applyBorder="1" applyAlignment="1" applyProtection="1">
      <alignment horizontal="right" vertical="center" wrapText="1"/>
      <protection locked="0"/>
    </xf>
    <xf numFmtId="176" fontId="9" fillId="7" borderId="12" xfId="0" applyNumberFormat="1" applyFont="1" applyFill="1" applyBorder="1" applyAlignment="1" applyProtection="1">
      <alignment horizontal="right" vertical="center" wrapText="1"/>
      <protection locked="0"/>
    </xf>
    <xf numFmtId="176" fontId="9" fillId="7" borderId="17" xfId="0" applyNumberFormat="1" applyFont="1" applyFill="1" applyBorder="1" applyAlignment="1" applyProtection="1">
      <alignment horizontal="right" vertical="center" wrapText="1"/>
      <protection locked="0"/>
    </xf>
    <xf numFmtId="0" fontId="125" fillId="7" borderId="18" xfId="0" applyFont="1" applyFill="1" applyBorder="1" applyAlignment="1" applyProtection="1">
      <alignment horizontal="left" vertical="center" wrapText="1"/>
      <protection locked="0"/>
    </xf>
    <xf numFmtId="0" fontId="6" fillId="6" borderId="25" xfId="0" applyFont="1" applyFill="1" applyBorder="1" applyAlignment="1" applyProtection="1">
      <alignment horizontal="center" vertical="center" wrapText="1"/>
      <protection locked="0"/>
    </xf>
    <xf numFmtId="0" fontId="154" fillId="0" borderId="0" xfId="0" applyFont="1" applyAlignment="1" applyProtection="1">
      <alignment vertical="center"/>
      <protection locked="0"/>
    </xf>
    <xf numFmtId="0" fontId="107" fillId="0" borderId="13" xfId="44" applyBorder="1" applyAlignment="1" applyProtection="1">
      <alignment vertical="center"/>
      <protection/>
    </xf>
    <xf numFmtId="0" fontId="0" fillId="0" borderId="0" xfId="0" applyFont="1" applyAlignment="1" applyProtection="1">
      <alignment horizontal="left" vertical="center"/>
      <protection locked="0"/>
    </xf>
    <xf numFmtId="0" fontId="123" fillId="0" borderId="17" xfId="0" applyFont="1" applyBorder="1" applyAlignment="1" applyProtection="1">
      <alignment horizontal="center" vertical="center" wrapText="1"/>
      <protection locked="0"/>
    </xf>
    <xf numFmtId="0" fontId="155" fillId="33" borderId="57" xfId="0" applyFont="1" applyFill="1" applyBorder="1" applyAlignment="1" applyProtection="1">
      <alignment horizontal="center" vertical="center" wrapText="1"/>
      <protection locked="0"/>
    </xf>
    <xf numFmtId="0" fontId="123" fillId="0" borderId="58" xfId="0" applyFont="1" applyBorder="1" applyAlignment="1" applyProtection="1">
      <alignment horizontal="center" vertical="top" wrapText="1"/>
      <protection locked="0"/>
    </xf>
    <xf numFmtId="0" fontId="0" fillId="0" borderId="59" xfId="0" applyBorder="1" applyAlignment="1">
      <alignment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13" xfId="0" applyBorder="1" applyAlignment="1">
      <alignment horizontal="center" vertical="center"/>
    </xf>
    <xf numFmtId="0" fontId="11" fillId="0" borderId="29"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29"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shrinkToFit="1"/>
      <protection locked="0"/>
    </xf>
    <xf numFmtId="0" fontId="0" fillId="0" borderId="0" xfId="0" applyFont="1" applyBorder="1" applyAlignment="1" applyProtection="1">
      <alignment vertical="center"/>
      <protection locked="0"/>
    </xf>
    <xf numFmtId="0" fontId="123" fillId="0" borderId="0" xfId="0" applyFont="1" applyAlignment="1" applyProtection="1">
      <alignment horizontal="left" vertical="center"/>
      <protection locked="0"/>
    </xf>
    <xf numFmtId="0" fontId="0" fillId="0" borderId="13" xfId="0" applyFont="1" applyBorder="1" applyAlignment="1" applyProtection="1">
      <alignment horizontal="center" vertical="center"/>
      <protection locked="0"/>
    </xf>
    <xf numFmtId="14" fontId="0" fillId="0" borderId="0" xfId="0" applyNumberFormat="1" applyFont="1" applyAlignment="1" applyProtection="1">
      <alignment vertical="center"/>
      <protection locked="0"/>
    </xf>
    <xf numFmtId="0" fontId="123" fillId="0" borderId="0" xfId="0" applyFont="1" applyAlignment="1" applyProtection="1">
      <alignment horizontal="justify" vertical="center"/>
      <protection locked="0"/>
    </xf>
    <xf numFmtId="0" fontId="121" fillId="0" borderId="0" xfId="0" applyFont="1" applyBorder="1" applyAlignment="1" applyProtection="1">
      <alignment horizontal="right" vertical="center"/>
      <protection locked="0"/>
    </xf>
    <xf numFmtId="0" fontId="0" fillId="0" borderId="57" xfId="0" applyFont="1" applyBorder="1" applyAlignment="1" applyProtection="1">
      <alignment horizontal="center" vertical="top" wrapText="1"/>
      <protection locked="0"/>
    </xf>
    <xf numFmtId="0" fontId="0" fillId="0" borderId="21" xfId="0" applyFont="1" applyBorder="1" applyAlignment="1" applyProtection="1">
      <alignment horizontal="center" vertical="top" wrapText="1"/>
      <protection locked="0"/>
    </xf>
    <xf numFmtId="0" fontId="123" fillId="0" borderId="17" xfId="0" applyFont="1" applyBorder="1" applyAlignment="1" applyProtection="1">
      <alignment horizontal="left" vertical="center" wrapText="1"/>
      <protection locked="0"/>
    </xf>
    <xf numFmtId="0" fontId="0" fillId="0" borderId="17" xfId="0" applyFont="1" applyBorder="1" applyAlignment="1" applyProtection="1">
      <alignment horizontal="center" vertical="top" wrapText="1"/>
      <protection locked="0"/>
    </xf>
    <xf numFmtId="0" fontId="125" fillId="7" borderId="46" xfId="0" applyFont="1" applyFill="1" applyBorder="1" applyAlignment="1" applyProtection="1">
      <alignment horizontal="left" vertical="center" wrapText="1"/>
      <protection locked="0"/>
    </xf>
    <xf numFmtId="0" fontId="125" fillId="7" borderId="61" xfId="0" applyFont="1" applyFill="1" applyBorder="1" applyAlignment="1" applyProtection="1">
      <alignment horizontal="left" vertical="center" wrapText="1"/>
      <protection locked="0"/>
    </xf>
    <xf numFmtId="0" fontId="9" fillId="7" borderId="13" xfId="0" applyFont="1" applyFill="1" applyBorder="1" applyAlignment="1" applyProtection="1">
      <alignment horizontal="left" vertical="center" wrapText="1"/>
      <protection locked="0"/>
    </xf>
    <xf numFmtId="0" fontId="125" fillId="7" borderId="61" xfId="0" applyFont="1" applyFill="1" applyBorder="1" applyAlignment="1" applyProtection="1">
      <alignment horizontal="left" vertical="center" shrinkToFit="1"/>
      <protection locked="0"/>
    </xf>
    <xf numFmtId="0" fontId="125" fillId="7" borderId="62" xfId="0" applyFont="1" applyFill="1" applyBorder="1" applyAlignment="1" applyProtection="1">
      <alignment horizontal="left" vertical="center" wrapText="1"/>
      <protection locked="0"/>
    </xf>
    <xf numFmtId="38" fontId="0" fillId="0" borderId="0" xfId="50" applyFont="1" applyAlignment="1" applyProtection="1">
      <alignment vertical="center"/>
      <protection locked="0"/>
    </xf>
    <xf numFmtId="0" fontId="123" fillId="0" borderId="0" xfId="0" applyFont="1" applyBorder="1" applyAlignment="1" applyProtection="1">
      <alignment horizontal="center" vertical="center" wrapText="1"/>
      <protection locked="0"/>
    </xf>
    <xf numFmtId="0" fontId="123" fillId="0" borderId="0" xfId="0" applyFont="1" applyAlignment="1" applyProtection="1">
      <alignment horizontal="left" vertical="center" shrinkToFit="1"/>
      <protection locked="0"/>
    </xf>
    <xf numFmtId="0" fontId="123" fillId="0" borderId="10" xfId="0" applyFont="1" applyBorder="1" applyAlignment="1" applyProtection="1">
      <alignment horizontal="center" vertical="top" shrinkToFit="1"/>
      <protection locked="0"/>
    </xf>
    <xf numFmtId="0" fontId="123" fillId="0" borderId="17" xfId="0" applyFont="1" applyBorder="1" applyAlignment="1" applyProtection="1">
      <alignment horizontal="left" vertical="center" shrinkToFit="1"/>
      <protection locked="0"/>
    </xf>
    <xf numFmtId="0" fontId="123" fillId="33" borderId="0" xfId="0" applyFont="1" applyFill="1" applyBorder="1" applyAlignment="1" applyProtection="1">
      <alignment horizontal="center" vertical="center" wrapText="1"/>
      <protection locked="0"/>
    </xf>
    <xf numFmtId="0" fontId="125" fillId="7" borderId="61" xfId="0" applyFont="1" applyFill="1" applyBorder="1" applyAlignment="1" applyProtection="1">
      <alignment horizontal="left" vertical="center" wrapText="1" shrinkToFit="1"/>
      <protection locked="0"/>
    </xf>
    <xf numFmtId="0" fontId="123" fillId="33" borderId="15" xfId="0" applyFont="1" applyFill="1" applyBorder="1" applyAlignment="1" applyProtection="1">
      <alignment horizontal="center" vertical="center" wrapText="1"/>
      <protection locked="0"/>
    </xf>
    <xf numFmtId="0" fontId="123" fillId="33" borderId="14" xfId="0" applyFont="1" applyFill="1" applyBorder="1" applyAlignment="1" applyProtection="1">
      <alignment horizontal="center" vertical="center" wrapText="1"/>
      <protection locked="0"/>
    </xf>
    <xf numFmtId="38" fontId="15" fillId="0" borderId="28" xfId="50" applyFont="1" applyFill="1" applyBorder="1" applyAlignment="1" applyProtection="1">
      <alignment horizontal="center" vertical="center"/>
      <protection/>
    </xf>
    <xf numFmtId="0" fontId="24" fillId="0" borderId="0" xfId="50" applyNumberFormat="1" applyFont="1" applyBorder="1" applyAlignment="1" applyProtection="1">
      <alignment vertical="center"/>
      <protection locked="0"/>
    </xf>
    <xf numFmtId="0" fontId="130" fillId="37" borderId="0" xfId="0" applyFont="1" applyFill="1" applyAlignment="1" applyProtection="1">
      <alignment vertical="center"/>
      <protection locked="0"/>
    </xf>
    <xf numFmtId="0" fontId="107" fillId="37" borderId="0" xfId="44" applyFill="1" applyAlignment="1" applyProtection="1">
      <alignment vertical="center"/>
      <protection/>
    </xf>
    <xf numFmtId="176" fontId="15" fillId="7" borderId="13" xfId="0" applyNumberFormat="1" applyFont="1" applyFill="1" applyBorder="1" applyAlignment="1" applyProtection="1">
      <alignment horizontal="right" vertical="center" wrapText="1"/>
      <protection locked="0"/>
    </xf>
    <xf numFmtId="176" fontId="15" fillId="0" borderId="63" xfId="0" applyNumberFormat="1" applyFont="1" applyFill="1" applyBorder="1" applyAlignment="1" applyProtection="1">
      <alignment horizontal="right" vertical="center" wrapText="1"/>
      <protection/>
    </xf>
    <xf numFmtId="0" fontId="123" fillId="0" borderId="64" xfId="0" applyFont="1" applyBorder="1" applyAlignment="1" applyProtection="1">
      <alignment horizontal="center" vertical="center" wrapText="1"/>
      <protection locked="0"/>
    </xf>
    <xf numFmtId="176" fontId="9" fillId="0" borderId="65" xfId="0" applyNumberFormat="1" applyFont="1" applyBorder="1" applyAlignment="1" applyProtection="1">
      <alignment horizontal="right" vertical="center" wrapText="1"/>
      <protection/>
    </xf>
    <xf numFmtId="0" fontId="156" fillId="0" borderId="0" xfId="0" applyFont="1" applyAlignment="1" applyProtection="1">
      <alignment vertical="center"/>
      <protection locked="0"/>
    </xf>
    <xf numFmtId="225" fontId="9" fillId="7" borderId="12"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center" vertical="center" shrinkToFit="1"/>
      <protection locked="0"/>
    </xf>
    <xf numFmtId="0" fontId="107" fillId="0" borderId="0" xfId="44" applyAlignment="1" applyProtection="1">
      <alignment vertical="center"/>
      <protection locked="0"/>
    </xf>
    <xf numFmtId="38" fontId="15" fillId="0" borderId="63" xfId="50" applyFont="1" applyFill="1" applyBorder="1" applyAlignment="1" applyProtection="1">
      <alignment horizontal="center" vertical="center"/>
      <protection/>
    </xf>
    <xf numFmtId="38" fontId="15" fillId="0" borderId="13" xfId="50" applyFont="1" applyFill="1" applyBorder="1" applyAlignment="1" applyProtection="1">
      <alignment vertical="center"/>
      <protection/>
    </xf>
    <xf numFmtId="176" fontId="15" fillId="0" borderId="0" xfId="0" applyNumberFormat="1" applyFont="1" applyFill="1" applyAlignment="1" applyProtection="1">
      <alignment horizontal="right" vertical="center"/>
      <protection/>
    </xf>
    <xf numFmtId="176" fontId="15" fillId="0" borderId="0" xfId="0" applyNumberFormat="1" applyFont="1" applyFill="1" applyAlignment="1" applyProtection="1">
      <alignment horizontal="right"/>
      <protection/>
    </xf>
    <xf numFmtId="176" fontId="18" fillId="0" borderId="0" xfId="0" applyNumberFormat="1" applyFont="1" applyFill="1" applyBorder="1" applyAlignment="1" applyProtection="1">
      <alignment vertical="center" wrapText="1"/>
      <protection locked="0"/>
    </xf>
    <xf numFmtId="176" fontId="18" fillId="0" borderId="0" xfId="0" applyNumberFormat="1" applyFont="1" applyFill="1" applyBorder="1" applyAlignment="1" applyProtection="1" quotePrefix="1">
      <alignment vertical="center" wrapText="1"/>
      <protection locked="0"/>
    </xf>
    <xf numFmtId="0" fontId="127" fillId="0" borderId="0" xfId="0" applyFont="1" applyBorder="1" applyAlignment="1" applyProtection="1">
      <alignment vertical="center" wrapText="1"/>
      <protection locked="0"/>
    </xf>
    <xf numFmtId="0" fontId="0" fillId="0" borderId="0" xfId="0" applyFill="1" applyAlignment="1">
      <alignment vertical="center"/>
    </xf>
    <xf numFmtId="0" fontId="129" fillId="0" borderId="0" xfId="0" applyFont="1" applyFill="1" applyAlignment="1" applyProtection="1">
      <alignment vertical="center"/>
      <protection locked="0"/>
    </xf>
    <xf numFmtId="0" fontId="136" fillId="0" borderId="0" xfId="0" applyFont="1" applyFill="1" applyBorder="1" applyAlignment="1" applyProtection="1">
      <alignment vertical="center"/>
      <protection/>
    </xf>
    <xf numFmtId="0" fontId="136" fillId="0" borderId="0" xfId="0" applyFont="1" applyFill="1" applyAlignment="1" applyProtection="1">
      <alignment horizontal="center" vertical="center"/>
      <protection/>
    </xf>
    <xf numFmtId="176" fontId="127" fillId="0" borderId="66" xfId="0" applyNumberFormat="1" applyFont="1" applyBorder="1" applyAlignment="1" applyProtection="1">
      <alignment vertical="center"/>
      <protection/>
    </xf>
    <xf numFmtId="176" fontId="127" fillId="0" borderId="67" xfId="0" applyNumberFormat="1" applyFont="1" applyBorder="1" applyAlignment="1" applyProtection="1">
      <alignment vertical="center"/>
      <protection/>
    </xf>
    <xf numFmtId="178" fontId="125" fillId="36" borderId="64" xfId="0" applyNumberFormat="1" applyFont="1" applyFill="1" applyBorder="1" applyAlignment="1" applyProtection="1">
      <alignment horizontal="right" vertical="center" wrapText="1"/>
      <protection/>
    </xf>
    <xf numFmtId="0" fontId="123" fillId="0" borderId="68" xfId="0" applyFont="1" applyBorder="1" applyAlignment="1" applyProtection="1">
      <alignment horizontal="center" vertical="top" wrapText="1"/>
      <protection locked="0"/>
    </xf>
    <xf numFmtId="0" fontId="155" fillId="33" borderId="57" xfId="0" applyFont="1" applyFill="1" applyBorder="1" applyAlignment="1" applyProtection="1">
      <alignment horizontal="center" vertical="center" wrapText="1"/>
      <protection locked="0"/>
    </xf>
    <xf numFmtId="0" fontId="157" fillId="0" borderId="0" xfId="0" applyFont="1" applyAlignment="1" applyProtection="1">
      <alignment vertical="center"/>
      <protection locked="0"/>
    </xf>
    <xf numFmtId="0" fontId="157" fillId="0" borderId="0" xfId="0" applyFont="1" applyAlignment="1" applyProtection="1">
      <alignment vertical="center" shrinkToFit="1"/>
      <protection locked="0"/>
    </xf>
    <xf numFmtId="0" fontId="151" fillId="38" borderId="0" xfId="0" applyFont="1" applyFill="1" applyBorder="1" applyAlignment="1" applyProtection="1">
      <alignment horizontal="center" vertical="center" shrinkToFit="1"/>
      <protection locked="0"/>
    </xf>
    <xf numFmtId="0" fontId="123" fillId="0" borderId="17" xfId="0" applyFont="1" applyBorder="1" applyAlignment="1" applyProtection="1">
      <alignment vertical="center" wrapText="1"/>
      <protection locked="0"/>
    </xf>
    <xf numFmtId="177" fontId="9" fillId="7" borderId="56" xfId="0" applyNumberFormat="1" applyFont="1" applyFill="1" applyBorder="1" applyAlignment="1" applyProtection="1">
      <alignment horizontal="center" vertical="center" wrapText="1" shrinkToFit="1"/>
      <protection locked="0"/>
    </xf>
    <xf numFmtId="177" fontId="9" fillId="7" borderId="13"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shrinkToFit="1"/>
      <protection locked="0"/>
    </xf>
    <xf numFmtId="177" fontId="9" fillId="7" borderId="12" xfId="0" applyNumberFormat="1" applyFont="1" applyFill="1" applyBorder="1" applyAlignment="1" applyProtection="1">
      <alignment horizontal="center" vertical="center" wrapText="1"/>
      <protection locked="0"/>
    </xf>
    <xf numFmtId="177" fontId="9" fillId="7" borderId="18" xfId="0" applyNumberFormat="1" applyFont="1" applyFill="1" applyBorder="1" applyAlignment="1" applyProtection="1">
      <alignment horizontal="center" vertical="center" wrapText="1"/>
      <protection locked="0"/>
    </xf>
    <xf numFmtId="177" fontId="9" fillId="7" borderId="17" xfId="0" applyNumberFormat="1" applyFont="1" applyFill="1" applyBorder="1" applyAlignment="1" applyProtection="1">
      <alignment horizontal="center" vertical="center" wrapText="1"/>
      <protection locked="0"/>
    </xf>
    <xf numFmtId="176" fontId="9" fillId="7" borderId="12" xfId="0" applyNumberFormat="1" applyFont="1" applyFill="1" applyBorder="1" applyAlignment="1" applyProtection="1">
      <alignment horizontal="right" vertical="center" wrapText="1" shrinkToFit="1"/>
      <protection locked="0"/>
    </xf>
    <xf numFmtId="176" fontId="125" fillId="7" borderId="56" xfId="0" applyNumberFormat="1" applyFont="1" applyFill="1" applyBorder="1" applyAlignment="1" applyProtection="1">
      <alignment horizontal="right" vertical="center" wrapText="1" shrinkToFit="1"/>
      <protection locked="0"/>
    </xf>
    <xf numFmtId="176" fontId="9" fillId="7" borderId="13" xfId="0" applyNumberFormat="1" applyFont="1" applyFill="1" applyBorder="1" applyAlignment="1" applyProtection="1">
      <alignment horizontal="right" vertical="center" wrapText="1" shrinkToFit="1"/>
      <protection locked="0"/>
    </xf>
    <xf numFmtId="225" fontId="9" fillId="7" borderId="56" xfId="0" applyNumberFormat="1" applyFont="1" applyFill="1" applyBorder="1" applyAlignment="1" applyProtection="1">
      <alignment horizontal="right" vertical="center" wrapText="1" shrinkToFit="1"/>
      <protection locked="0"/>
    </xf>
    <xf numFmtId="225" fontId="9" fillId="7" borderId="13" xfId="0" applyNumberFormat="1" applyFont="1" applyFill="1" applyBorder="1" applyAlignment="1" applyProtection="1">
      <alignment horizontal="right" vertical="center" wrapText="1" shrinkToFit="1"/>
      <protection locked="0"/>
    </xf>
    <xf numFmtId="225" fontId="9" fillId="7" borderId="12" xfId="0" applyNumberFormat="1" applyFont="1" applyFill="1" applyBorder="1" applyAlignment="1" applyProtection="1">
      <alignment horizontal="right" vertical="center" wrapText="1" shrinkToFit="1"/>
      <protection locked="0"/>
    </xf>
    <xf numFmtId="0" fontId="121" fillId="0" borderId="0" xfId="0" applyFont="1" applyAlignment="1" applyProtection="1">
      <alignment horizontal="right" vertical="center"/>
      <protection locked="0"/>
    </xf>
    <xf numFmtId="225" fontId="9" fillId="7" borderId="18" xfId="0" applyNumberFormat="1" applyFont="1" applyFill="1" applyBorder="1" applyAlignment="1" applyProtection="1">
      <alignment horizontal="right" vertical="center" wrapText="1"/>
      <protection locked="0"/>
    </xf>
    <xf numFmtId="0" fontId="123" fillId="7" borderId="14" xfId="0" applyFont="1" applyFill="1" applyBorder="1" applyAlignment="1" applyProtection="1">
      <alignment horizontal="center" vertical="center" wrapText="1"/>
      <protection locked="0"/>
    </xf>
    <xf numFmtId="0" fontId="123" fillId="7" borderId="15" xfId="0" applyFont="1" applyFill="1" applyBorder="1" applyAlignment="1" applyProtection="1">
      <alignment horizontal="center" vertical="center" wrapText="1"/>
      <protection locked="0"/>
    </xf>
    <xf numFmtId="0" fontId="123" fillId="7" borderId="16" xfId="0" applyFont="1" applyFill="1" applyBorder="1" applyAlignment="1" applyProtection="1">
      <alignment horizontal="center" vertical="center" wrapText="1"/>
      <protection locked="0"/>
    </xf>
    <xf numFmtId="176" fontId="31" fillId="0" borderId="69" xfId="0" applyNumberFormat="1" applyFont="1" applyFill="1" applyBorder="1" applyAlignment="1" applyProtection="1">
      <alignment vertical="center"/>
      <protection/>
    </xf>
    <xf numFmtId="176" fontId="158" fillId="0" borderId="69" xfId="0" applyNumberFormat="1" applyFont="1" applyFill="1" applyBorder="1" applyAlignment="1" applyProtection="1">
      <alignment vertical="center"/>
      <protection/>
    </xf>
    <xf numFmtId="176" fontId="158" fillId="0" borderId="70" xfId="0" applyNumberFormat="1" applyFont="1" applyFill="1" applyBorder="1" applyAlignment="1" applyProtection="1">
      <alignment vertical="center"/>
      <protection/>
    </xf>
    <xf numFmtId="178" fontId="125" fillId="36" borderId="71" xfId="0" applyNumberFormat="1" applyFont="1" applyFill="1" applyBorder="1" applyAlignment="1" applyProtection="1">
      <alignment horizontal="right" vertical="center" wrapText="1"/>
      <protection/>
    </xf>
    <xf numFmtId="176" fontId="9" fillId="0" borderId="72" xfId="0" applyNumberFormat="1" applyFont="1" applyBorder="1" applyAlignment="1" applyProtection="1">
      <alignment horizontal="right" vertical="center" wrapText="1"/>
      <protection/>
    </xf>
    <xf numFmtId="0" fontId="123" fillId="0" borderId="68" xfId="0" applyFont="1" applyBorder="1" applyAlignment="1" applyProtection="1">
      <alignment horizontal="center" vertical="top" wrapText="1"/>
      <protection locked="0"/>
    </xf>
    <xf numFmtId="0" fontId="123" fillId="0" borderId="64" xfId="0" applyFont="1" applyBorder="1" applyAlignment="1" applyProtection="1">
      <alignment horizontal="center" vertical="center" wrapText="1"/>
      <protection locked="0"/>
    </xf>
    <xf numFmtId="0" fontId="123" fillId="33" borderId="16" xfId="0" applyFont="1" applyFill="1" applyBorder="1" applyAlignment="1" applyProtection="1">
      <alignment horizontal="center" vertical="center" wrapText="1"/>
      <protection locked="0"/>
    </xf>
    <xf numFmtId="0" fontId="123" fillId="33" borderId="22" xfId="0" applyFont="1" applyFill="1" applyBorder="1" applyAlignment="1" applyProtection="1">
      <alignment horizontal="center" vertical="center" wrapText="1"/>
      <protection locked="0"/>
    </xf>
    <xf numFmtId="176" fontId="9" fillId="0" borderId="73" xfId="0" applyNumberFormat="1" applyFont="1" applyBorder="1" applyAlignment="1" applyProtection="1">
      <alignment horizontal="right" vertical="center" wrapText="1"/>
      <protection/>
    </xf>
    <xf numFmtId="176" fontId="9" fillId="0" borderId="15" xfId="0" applyNumberFormat="1" applyFont="1" applyBorder="1" applyAlignment="1" applyProtection="1">
      <alignment horizontal="right" vertical="center" wrapText="1"/>
      <protection/>
    </xf>
    <xf numFmtId="176" fontId="9" fillId="33" borderId="74" xfId="0" applyNumberFormat="1" applyFont="1" applyFill="1" applyBorder="1" applyAlignment="1" applyProtection="1">
      <alignment horizontal="right" vertical="center" wrapText="1"/>
      <protection/>
    </xf>
    <xf numFmtId="176" fontId="9" fillId="0" borderId="74" xfId="0" applyNumberFormat="1" applyFont="1" applyFill="1" applyBorder="1" applyAlignment="1" applyProtection="1">
      <alignment horizontal="right" vertical="center" wrapText="1"/>
      <protection/>
    </xf>
    <xf numFmtId="176" fontId="9" fillId="0" borderId="75" xfId="0" applyNumberFormat="1" applyFont="1" applyBorder="1" applyAlignment="1" applyProtection="1">
      <alignment horizontal="right" vertical="center" wrapText="1"/>
      <protection/>
    </xf>
    <xf numFmtId="176" fontId="9" fillId="0" borderId="76" xfId="0" applyNumberFormat="1" applyFont="1" applyFill="1" applyBorder="1" applyAlignment="1" applyProtection="1">
      <alignment horizontal="right" vertical="center" wrapText="1"/>
      <protection/>
    </xf>
    <xf numFmtId="178" fontId="125" fillId="33" borderId="77" xfId="0" applyNumberFormat="1" applyFont="1" applyFill="1" applyBorder="1" applyAlignment="1" applyProtection="1">
      <alignment horizontal="right" vertical="center" wrapText="1"/>
      <protection/>
    </xf>
    <xf numFmtId="178" fontId="125" fillId="33" borderId="78" xfId="0" applyNumberFormat="1" applyFont="1" applyFill="1" applyBorder="1" applyAlignment="1" applyProtection="1">
      <alignment horizontal="right" vertical="center" wrapText="1"/>
      <protection/>
    </xf>
    <xf numFmtId="0" fontId="121" fillId="0" borderId="79" xfId="0" applyFont="1" applyBorder="1" applyAlignment="1" applyProtection="1">
      <alignment vertical="center" wrapText="1"/>
      <protection/>
    </xf>
    <xf numFmtId="0" fontId="121" fillId="0" borderId="0" xfId="0" applyFont="1" applyBorder="1" applyAlignment="1" applyProtection="1">
      <alignment vertical="center" wrapText="1"/>
      <protection/>
    </xf>
    <xf numFmtId="176" fontId="121" fillId="0" borderId="79" xfId="0" applyNumberFormat="1" applyFont="1" applyBorder="1" applyAlignment="1" applyProtection="1">
      <alignment vertical="center" wrapText="1"/>
      <protection/>
    </xf>
    <xf numFmtId="176" fontId="121" fillId="0" borderId="0" xfId="0" applyNumberFormat="1" applyFont="1" applyBorder="1" applyAlignment="1" applyProtection="1">
      <alignment vertical="center" wrapText="1"/>
      <protection/>
    </xf>
    <xf numFmtId="0" fontId="0" fillId="0" borderId="0" xfId="0" applyFont="1" applyAlignment="1">
      <alignment vertical="center"/>
    </xf>
    <xf numFmtId="176" fontId="15" fillId="0" borderId="0" xfId="0" applyNumberFormat="1" applyFont="1" applyFill="1" applyBorder="1" applyAlignment="1" applyProtection="1">
      <alignment horizontal="right" vertical="center" wrapText="1"/>
      <protection/>
    </xf>
    <xf numFmtId="38" fontId="15" fillId="0" borderId="0" xfId="50" applyFont="1" applyFill="1" applyBorder="1" applyAlignment="1" applyProtection="1">
      <alignment horizontal="center" vertical="center"/>
      <protection/>
    </xf>
    <xf numFmtId="38" fontId="15" fillId="0" borderId="0" xfId="50" applyFont="1" applyFill="1" applyBorder="1" applyAlignment="1" applyProtection="1">
      <alignment vertical="center"/>
      <protection/>
    </xf>
    <xf numFmtId="176" fontId="15" fillId="0" borderId="0" xfId="0" applyNumberFormat="1" applyFont="1" applyBorder="1" applyAlignment="1" applyProtection="1">
      <alignment horizontal="right" vertical="center"/>
      <protection/>
    </xf>
    <xf numFmtId="0" fontId="6" fillId="0" borderId="0" xfId="0" applyFont="1" applyFill="1" applyBorder="1" applyAlignment="1" applyProtection="1">
      <alignment horizontal="center" vertical="center" wrapText="1"/>
      <protection locked="0"/>
    </xf>
    <xf numFmtId="0" fontId="126" fillId="0" borderId="0" xfId="0" applyFont="1" applyFill="1" applyBorder="1" applyAlignment="1" applyProtection="1">
      <alignment horizontal="center" vertical="center"/>
      <protection/>
    </xf>
    <xf numFmtId="38" fontId="15" fillId="0" borderId="0" xfId="50" applyNumberFormat="1" applyFont="1" applyFill="1" applyBorder="1" applyAlignment="1" applyProtection="1">
      <alignment horizontal="right" vertical="center"/>
      <protection/>
    </xf>
    <xf numFmtId="38" fontId="15" fillId="0" borderId="0" xfId="0" applyNumberFormat="1" applyFont="1" applyFill="1" applyBorder="1" applyAlignment="1" applyProtection="1">
      <alignment vertical="center" shrinkToFit="1"/>
      <protection/>
    </xf>
    <xf numFmtId="38" fontId="15" fillId="0" borderId="0" xfId="50" applyNumberFormat="1" applyFont="1" applyFill="1" applyBorder="1" applyAlignment="1" applyProtection="1">
      <alignment vertical="center"/>
      <protection/>
    </xf>
    <xf numFmtId="213" fontId="126" fillId="0" borderId="0" xfId="0" applyNumberFormat="1" applyFont="1" applyFill="1" applyBorder="1" applyAlignment="1" applyProtection="1">
      <alignment horizontal="center" vertical="center"/>
      <protection/>
    </xf>
    <xf numFmtId="0" fontId="159" fillId="0" borderId="0" xfId="0" applyFont="1" applyBorder="1" applyAlignment="1" applyProtection="1">
      <alignment vertical="center"/>
      <protection locked="0"/>
    </xf>
    <xf numFmtId="0" fontId="29" fillId="0" borderId="0" xfId="0" applyFont="1" applyFill="1" applyAlignment="1" applyProtection="1">
      <alignment vertical="center"/>
      <protection/>
    </xf>
    <xf numFmtId="0" fontId="143" fillId="0" borderId="0" xfId="0" applyFont="1" applyAlignment="1" applyProtection="1">
      <alignment vertical="center"/>
      <protection/>
    </xf>
    <xf numFmtId="0" fontId="29" fillId="0" borderId="0" xfId="0" applyFont="1" applyAlignment="1" applyProtection="1">
      <alignment vertical="center"/>
      <protection/>
    </xf>
    <xf numFmtId="0" fontId="29" fillId="0" borderId="0" xfId="0" applyNumberFormat="1" applyFont="1" applyAlignment="1" applyProtection="1">
      <alignment vertical="center"/>
      <protection/>
    </xf>
    <xf numFmtId="0" fontId="29" fillId="0" borderId="0"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213" fontId="29" fillId="0" borderId="0" xfId="50" applyNumberFormat="1" applyFont="1" applyFill="1" applyBorder="1" applyAlignment="1" applyProtection="1">
      <alignment vertical="center" wrapText="1"/>
      <protection/>
    </xf>
    <xf numFmtId="0" fontId="29" fillId="0" borderId="0" xfId="0" applyFont="1" applyFill="1" applyBorder="1" applyAlignment="1" applyProtection="1">
      <alignment vertical="center"/>
      <protection/>
    </xf>
    <xf numFmtId="0" fontId="130" fillId="0" borderId="0" xfId="0" applyFont="1" applyFill="1" applyAlignment="1" applyProtection="1">
      <alignment vertical="center"/>
      <protection locked="0"/>
    </xf>
    <xf numFmtId="0" fontId="160" fillId="7" borderId="55" xfId="0" applyFont="1" applyFill="1" applyBorder="1" applyAlignment="1" applyProtection="1">
      <alignment horizontal="left" vertical="center"/>
      <protection locked="0"/>
    </xf>
    <xf numFmtId="0" fontId="156" fillId="7" borderId="35" xfId="0" applyFont="1" applyFill="1" applyBorder="1" applyAlignment="1" applyProtection="1">
      <alignment vertical="center"/>
      <protection locked="0"/>
    </xf>
    <xf numFmtId="0" fontId="130" fillId="7" borderId="35" xfId="0" applyFont="1" applyFill="1" applyBorder="1" applyAlignment="1" applyProtection="1">
      <alignment vertical="center"/>
      <protection locked="0"/>
    </xf>
    <xf numFmtId="0" fontId="130" fillId="7" borderId="34" xfId="0" applyFont="1" applyFill="1" applyBorder="1" applyAlignment="1" applyProtection="1">
      <alignment vertical="center"/>
      <protection locked="0"/>
    </xf>
    <xf numFmtId="0" fontId="160" fillId="7" borderId="39" xfId="0" applyFont="1" applyFill="1" applyBorder="1" applyAlignment="1" applyProtection="1">
      <alignment vertical="center"/>
      <protection locked="0"/>
    </xf>
    <xf numFmtId="0" fontId="156" fillId="7" borderId="0" xfId="0" applyFont="1" applyFill="1" applyBorder="1" applyAlignment="1" applyProtection="1">
      <alignment vertical="center"/>
      <protection locked="0"/>
    </xf>
    <xf numFmtId="0" fontId="130" fillId="7" borderId="0" xfId="0" applyFont="1" applyFill="1" applyBorder="1" applyAlignment="1" applyProtection="1">
      <alignment vertical="center"/>
      <protection locked="0"/>
    </xf>
    <xf numFmtId="0" fontId="130" fillId="7" borderId="41" xfId="0" applyFont="1" applyFill="1" applyBorder="1" applyAlignment="1" applyProtection="1">
      <alignment vertical="center"/>
      <protection locked="0"/>
    </xf>
    <xf numFmtId="0" fontId="130" fillId="7" borderId="44" xfId="0" applyFont="1" applyFill="1" applyBorder="1" applyAlignment="1" applyProtection="1">
      <alignment vertical="center"/>
      <protection locked="0"/>
    </xf>
    <xf numFmtId="0" fontId="130" fillId="7" borderId="29" xfId="0" applyFont="1" applyFill="1" applyBorder="1" applyAlignment="1" applyProtection="1">
      <alignment vertical="center"/>
      <protection locked="0"/>
    </xf>
    <xf numFmtId="0" fontId="130" fillId="7" borderId="46" xfId="0" applyFont="1" applyFill="1" applyBorder="1" applyAlignment="1" applyProtection="1">
      <alignment vertical="center"/>
      <protection locked="0"/>
    </xf>
    <xf numFmtId="0" fontId="6" fillId="33" borderId="0" xfId="0" applyFont="1" applyFill="1" applyAlignment="1">
      <alignment vertical="center"/>
    </xf>
    <xf numFmtId="0" fontId="130" fillId="0" borderId="0" xfId="0" applyFont="1" applyFill="1" applyBorder="1" applyAlignment="1" applyProtection="1">
      <alignment vertical="center"/>
      <protection locked="0"/>
    </xf>
    <xf numFmtId="0" fontId="130" fillId="0" borderId="0" xfId="0" applyFont="1" applyFill="1" applyAlignment="1">
      <alignment vertical="center"/>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3" fontId="0" fillId="0" borderId="0" xfId="0" applyNumberFormat="1" applyAlignment="1">
      <alignment vertical="center"/>
    </xf>
    <xf numFmtId="176" fontId="4" fillId="0" borderId="13" xfId="0" applyNumberFormat="1" applyFont="1" applyFill="1" applyBorder="1" applyAlignment="1" applyProtection="1">
      <alignment horizontal="left" vertical="center" wrapText="1"/>
      <protection/>
    </xf>
    <xf numFmtId="0" fontId="21" fillId="33" borderId="80" xfId="0" applyFont="1" applyFill="1" applyBorder="1" applyAlignment="1" applyProtection="1">
      <alignment vertical="center"/>
      <protection/>
    </xf>
    <xf numFmtId="0" fontId="21" fillId="33" borderId="81" xfId="0" applyFont="1" applyFill="1" applyBorder="1" applyAlignment="1" applyProtection="1">
      <alignment vertical="center"/>
      <protection/>
    </xf>
    <xf numFmtId="0" fontId="21" fillId="0" borderId="81" xfId="0" applyFont="1" applyFill="1" applyBorder="1" applyAlignment="1" applyProtection="1">
      <alignment horizontal="left" vertical="center"/>
      <protection/>
    </xf>
    <xf numFmtId="0" fontId="21" fillId="0" borderId="82" xfId="0" applyFont="1" applyFill="1" applyBorder="1" applyAlignment="1" applyProtection="1">
      <alignment horizontal="left" vertical="center"/>
      <protection/>
    </xf>
    <xf numFmtId="213" fontId="21" fillId="0" borderId="83" xfId="0" applyNumberFormat="1" applyFont="1" applyFill="1" applyBorder="1" applyAlignment="1" applyProtection="1">
      <alignment horizontal="center" vertical="center"/>
      <protection/>
    </xf>
    <xf numFmtId="0" fontId="35" fillId="7" borderId="12" xfId="0" applyFont="1" applyFill="1" applyBorder="1" applyAlignment="1" applyProtection="1">
      <alignment horizontal="left" vertical="center"/>
      <protection locked="0"/>
    </xf>
    <xf numFmtId="0" fontId="16" fillId="0" borderId="29" xfId="0" applyFont="1" applyFill="1" applyBorder="1" applyAlignment="1" applyProtection="1">
      <alignment horizontal="right" vertical="top"/>
      <protection locked="0"/>
    </xf>
    <xf numFmtId="213" fontId="21" fillId="0" borderId="84" xfId="0" applyNumberFormat="1" applyFont="1" applyFill="1" applyBorder="1" applyAlignment="1" applyProtection="1">
      <alignment horizontal="center" vertical="center"/>
      <protection/>
    </xf>
    <xf numFmtId="0" fontId="30" fillId="0" borderId="0" xfId="0" applyFont="1" applyAlignment="1" applyProtection="1">
      <alignment horizontal="left" vertical="center"/>
      <protection locked="0"/>
    </xf>
    <xf numFmtId="0" fontId="129" fillId="0" borderId="0" xfId="0" applyFont="1" applyAlignment="1">
      <alignment vertical="center"/>
    </xf>
    <xf numFmtId="0" fontId="130" fillId="39" borderId="13" xfId="0" applyFont="1" applyFill="1" applyBorder="1" applyAlignment="1" applyProtection="1">
      <alignment vertical="center"/>
      <protection locked="0"/>
    </xf>
    <xf numFmtId="0" fontId="6" fillId="0" borderId="0" xfId="0" applyFont="1" applyAlignment="1">
      <alignment vertical="center"/>
    </xf>
    <xf numFmtId="0" fontId="6" fillId="0" borderId="0" xfId="0" applyFont="1" applyFill="1" applyAlignment="1" applyProtection="1">
      <alignment vertical="center"/>
      <protection locked="0"/>
    </xf>
    <xf numFmtId="0" fontId="36" fillId="33" borderId="0" xfId="0" applyFont="1" applyFill="1" applyAlignment="1" applyProtection="1">
      <alignment vertical="center"/>
      <protection locked="0"/>
    </xf>
    <xf numFmtId="0" fontId="13" fillId="0" borderId="0" xfId="0" applyFont="1" applyAlignment="1" applyProtection="1">
      <alignment horizontal="left" vertical="center"/>
      <protection locked="0"/>
    </xf>
    <xf numFmtId="0" fontId="21" fillId="0" borderId="0" xfId="0" applyFont="1" applyAlignment="1" applyProtection="1">
      <alignment vertical="center"/>
      <protection locked="0"/>
    </xf>
    <xf numFmtId="0" fontId="0" fillId="0" borderId="23" xfId="0" applyBorder="1" applyAlignment="1">
      <alignment horizontal="center" vertical="center"/>
    </xf>
    <xf numFmtId="0" fontId="130" fillId="33" borderId="0" xfId="0" applyFont="1" applyFill="1" applyAlignment="1" applyProtection="1">
      <alignment vertical="center"/>
      <protection locked="0"/>
    </xf>
    <xf numFmtId="0" fontId="161" fillId="0" borderId="0" xfId="0" applyFont="1" applyAlignment="1" applyProtection="1">
      <alignment vertical="center"/>
      <protection locked="0"/>
    </xf>
    <xf numFmtId="0" fontId="162" fillId="0" borderId="0" xfId="0" applyFont="1" applyAlignment="1" applyProtection="1">
      <alignment vertical="center"/>
      <protection locked="0"/>
    </xf>
    <xf numFmtId="0" fontId="163" fillId="0" borderId="0" xfId="0" applyFont="1" applyAlignment="1" applyProtection="1">
      <alignment horizontal="left" vertical="center"/>
      <protection locked="0"/>
    </xf>
    <xf numFmtId="195" fontId="9" fillId="7" borderId="12" xfId="0" applyNumberFormat="1" applyFont="1" applyFill="1" applyBorder="1" applyAlignment="1" applyProtection="1">
      <alignment vertical="center" shrinkToFit="1"/>
      <protection locked="0"/>
    </xf>
    <xf numFmtId="177" fontId="9" fillId="7" borderId="12" xfId="0" applyNumberFormat="1" applyFont="1" applyFill="1" applyBorder="1" applyAlignment="1" applyProtection="1">
      <alignment horizontal="center" vertical="center" shrinkToFit="1"/>
      <protection locked="0"/>
    </xf>
    <xf numFmtId="176" fontId="9" fillId="0" borderId="12" xfId="0" applyNumberFormat="1" applyFont="1" applyBorder="1" applyAlignment="1" applyProtection="1">
      <alignment vertical="center" shrinkToFit="1"/>
      <protection/>
    </xf>
    <xf numFmtId="176" fontId="9" fillId="7" borderId="12" xfId="0" applyNumberFormat="1" applyFont="1" applyFill="1" applyBorder="1" applyAlignment="1" applyProtection="1">
      <alignment vertical="center" shrinkToFit="1"/>
      <protection locked="0"/>
    </xf>
    <xf numFmtId="0" fontId="132" fillId="0" borderId="0" xfId="0" applyFont="1" applyBorder="1" applyAlignment="1" applyProtection="1">
      <alignment vertical="top" textRotation="255" shrinkToFit="1"/>
      <protection locked="0"/>
    </xf>
    <xf numFmtId="0" fontId="164" fillId="0" borderId="0" xfId="0" applyFont="1" applyFill="1" applyBorder="1" applyAlignment="1" applyProtection="1">
      <alignment horizontal="center" vertical="center"/>
      <protection/>
    </xf>
    <xf numFmtId="0" fontId="165" fillId="0" borderId="0" xfId="0" applyFont="1" applyAlignment="1" applyProtection="1">
      <alignment horizontal="left"/>
      <protection locked="0"/>
    </xf>
    <xf numFmtId="0" fontId="11" fillId="0" borderId="26"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38" fontId="15" fillId="0" borderId="0" xfId="50" applyNumberFormat="1" applyFont="1" applyBorder="1" applyAlignment="1" applyProtection="1">
      <alignment horizontal="right" vertical="center"/>
      <protection/>
    </xf>
    <xf numFmtId="0" fontId="152" fillId="0" borderId="0" xfId="0" applyFont="1" applyFill="1" applyBorder="1" applyAlignment="1" applyProtection="1">
      <alignment horizontal="center" vertical="center"/>
      <protection/>
    </xf>
    <xf numFmtId="0" fontId="103" fillId="0" borderId="0" xfId="0" applyFont="1" applyFill="1" applyBorder="1" applyAlignment="1" applyProtection="1">
      <alignment horizontal="center" vertical="center"/>
      <protection locked="0"/>
    </xf>
    <xf numFmtId="0" fontId="146" fillId="0" borderId="0" xfId="0" applyNumberFormat="1" applyFont="1" applyFill="1" applyAlignment="1" applyProtection="1">
      <alignment vertical="center"/>
      <protection/>
    </xf>
    <xf numFmtId="0" fontId="166" fillId="0" borderId="0" xfId="0" applyFont="1" applyFill="1" applyAlignment="1" applyProtection="1">
      <alignment vertical="center"/>
      <protection/>
    </xf>
    <xf numFmtId="213" fontId="6" fillId="0" borderId="0" xfId="50" applyNumberFormat="1" applyFont="1" applyFill="1" applyBorder="1" applyAlignment="1" applyProtection="1">
      <alignment horizontal="center" vertical="center"/>
      <protection/>
    </xf>
    <xf numFmtId="0" fontId="21" fillId="0" borderId="86" xfId="0" applyFont="1" applyFill="1" applyBorder="1" applyAlignment="1" applyProtection="1">
      <alignment horizontal="center" vertical="center" wrapText="1"/>
      <protection/>
    </xf>
    <xf numFmtId="0" fontId="21" fillId="0" borderId="60" xfId="0" applyFont="1" applyFill="1" applyBorder="1" applyAlignment="1" applyProtection="1">
      <alignment horizontal="center" vertical="center" wrapText="1"/>
      <protection/>
    </xf>
    <xf numFmtId="0" fontId="21" fillId="0" borderId="87" xfId="0" applyFont="1" applyFill="1" applyBorder="1" applyAlignment="1" applyProtection="1">
      <alignment horizontal="center" vertical="center" wrapText="1"/>
      <protection/>
    </xf>
    <xf numFmtId="0" fontId="4" fillId="0" borderId="88" xfId="0" applyFont="1" applyFill="1" applyBorder="1" applyAlignment="1" applyProtection="1">
      <alignment vertical="center"/>
      <protection/>
    </xf>
    <xf numFmtId="213" fontId="21" fillId="0" borderId="89" xfId="50" applyNumberFormat="1" applyFont="1" applyFill="1" applyBorder="1" applyAlignment="1" applyProtection="1">
      <alignment vertical="center" wrapText="1"/>
      <protection/>
    </xf>
    <xf numFmtId="213" fontId="21" fillId="0" borderId="59" xfId="50" applyNumberFormat="1" applyFont="1" applyFill="1" applyBorder="1" applyAlignment="1" applyProtection="1">
      <alignment vertical="center" wrapText="1"/>
      <protection/>
    </xf>
    <xf numFmtId="0" fontId="21" fillId="0" borderId="59" xfId="0" applyNumberFormat="1" applyFont="1" applyFill="1" applyBorder="1" applyAlignment="1" applyProtection="1">
      <alignment horizontal="center" vertical="center"/>
      <protection/>
    </xf>
    <xf numFmtId="0" fontId="21" fillId="0" borderId="90" xfId="0" applyNumberFormat="1" applyFont="1" applyFill="1" applyBorder="1" applyAlignment="1" applyProtection="1">
      <alignment horizontal="center" vertical="center"/>
      <protection/>
    </xf>
    <xf numFmtId="213" fontId="21" fillId="0" borderId="91" xfId="50" applyNumberFormat="1" applyFont="1" applyFill="1" applyBorder="1" applyAlignment="1" applyProtection="1">
      <alignment vertical="center" wrapText="1"/>
      <protection/>
    </xf>
    <xf numFmtId="213" fontId="21" fillId="0" borderId="46" xfId="50" applyNumberFormat="1" applyFont="1" applyFill="1" applyBorder="1" applyAlignment="1" applyProtection="1">
      <alignment vertical="center" wrapText="1"/>
      <protection/>
    </xf>
    <xf numFmtId="213" fontId="21" fillId="0" borderId="46" xfId="50" applyNumberFormat="1" applyFont="1" applyFill="1" applyBorder="1" applyAlignment="1" applyProtection="1">
      <alignment horizontal="center" vertical="center" wrapText="1"/>
      <protection/>
    </xf>
    <xf numFmtId="0" fontId="4" fillId="0" borderId="92" xfId="0" applyFont="1" applyFill="1" applyBorder="1" applyAlignment="1" applyProtection="1">
      <alignment vertical="center"/>
      <protection/>
    </xf>
    <xf numFmtId="213" fontId="21" fillId="0" borderId="61" xfId="50" applyNumberFormat="1" applyFont="1" applyFill="1" applyBorder="1" applyAlignment="1" applyProtection="1">
      <alignment vertical="center" wrapText="1"/>
      <protection/>
    </xf>
    <xf numFmtId="213" fontId="21" fillId="0" borderId="13" xfId="5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4" fillId="0" borderId="93" xfId="0" applyFont="1" applyFill="1" applyBorder="1" applyAlignment="1" applyProtection="1">
      <alignment vertical="center"/>
      <protection/>
    </xf>
    <xf numFmtId="0" fontId="4" fillId="0" borderId="61" xfId="0" applyFont="1" applyFill="1" applyBorder="1" applyAlignment="1" applyProtection="1">
      <alignment vertical="center" wrapText="1"/>
      <protection/>
    </xf>
    <xf numFmtId="176" fontId="21" fillId="0" borderId="13" xfId="0" applyNumberFormat="1" applyFont="1" applyFill="1" applyBorder="1" applyAlignment="1" applyProtection="1">
      <alignment vertical="center"/>
      <protection/>
    </xf>
    <xf numFmtId="0" fontId="4" fillId="0" borderId="94" xfId="0" applyFont="1" applyFill="1" applyBorder="1" applyAlignment="1" applyProtection="1">
      <alignment vertical="center" wrapText="1"/>
      <protection/>
    </xf>
    <xf numFmtId="0" fontId="29" fillId="0" borderId="0" xfId="0" applyFont="1" applyFill="1" applyBorder="1" applyAlignment="1" applyProtection="1">
      <alignment vertical="center"/>
      <protection/>
    </xf>
    <xf numFmtId="0" fontId="29" fillId="0" borderId="0" xfId="0" applyNumberFormat="1" applyFont="1" applyFill="1" applyBorder="1" applyAlignment="1" applyProtection="1">
      <alignment horizontal="center" vertical="center"/>
      <protection/>
    </xf>
    <xf numFmtId="0" fontId="29" fillId="0" borderId="0" xfId="50" applyNumberFormat="1" applyFont="1" applyFill="1" applyBorder="1" applyAlignment="1" applyProtection="1">
      <alignment horizontal="center" vertical="center" wrapText="1"/>
      <protection/>
    </xf>
    <xf numFmtId="0" fontId="29" fillId="0" borderId="0" xfId="0" applyFont="1" applyFill="1" applyBorder="1" applyAlignment="1" applyProtection="1">
      <alignment vertical="center" wrapText="1"/>
      <protection/>
    </xf>
    <xf numFmtId="176" fontId="29" fillId="0" borderId="0" xfId="0" applyNumberFormat="1" applyFont="1" applyFill="1" applyBorder="1" applyAlignment="1" applyProtection="1">
      <alignment vertical="center"/>
      <protection/>
    </xf>
    <xf numFmtId="176" fontId="29" fillId="0" borderId="0" xfId="0" applyNumberFormat="1" applyFont="1" applyFill="1" applyBorder="1" applyAlignment="1" applyProtection="1" quotePrefix="1">
      <alignment vertical="center" wrapText="1"/>
      <protection/>
    </xf>
    <xf numFmtId="0" fontId="29" fillId="0" borderId="0" xfId="0" applyFont="1" applyFill="1" applyBorder="1" applyAlignment="1" applyProtection="1" quotePrefix="1">
      <alignment vertical="center" wrapText="1"/>
      <protection/>
    </xf>
    <xf numFmtId="0" fontId="29" fillId="0" borderId="0" xfId="0" applyNumberFormat="1" applyFont="1" applyFill="1" applyBorder="1" applyAlignment="1" applyProtection="1" quotePrefix="1">
      <alignment horizontal="center" vertical="center" wrapText="1"/>
      <protection/>
    </xf>
    <xf numFmtId="0" fontId="29" fillId="0" borderId="0" xfId="0" applyNumberFormat="1" applyFont="1" applyFill="1" applyBorder="1" applyAlignment="1" applyProtection="1" quotePrefix="1">
      <alignment vertical="center" wrapText="1"/>
      <protection/>
    </xf>
    <xf numFmtId="0" fontId="21" fillId="0" borderId="0" xfId="0" applyFont="1" applyAlignment="1" applyProtection="1">
      <alignment vertical="center"/>
      <protection/>
    </xf>
    <xf numFmtId="0" fontId="0" fillId="0" borderId="0" xfId="0" applyBorder="1" applyAlignment="1">
      <alignment vertical="center"/>
    </xf>
    <xf numFmtId="0" fontId="24" fillId="0" borderId="28" xfId="0" applyFont="1" applyBorder="1" applyAlignment="1" applyProtection="1">
      <alignment horizontal="center" vertical="center"/>
      <protection/>
    </xf>
    <xf numFmtId="38" fontId="167" fillId="0" borderId="0" xfId="50" applyNumberFormat="1" applyFont="1" applyBorder="1" applyAlignment="1" applyProtection="1">
      <alignment vertical="center"/>
      <protection/>
    </xf>
    <xf numFmtId="38" fontId="15" fillId="0" borderId="46" xfId="0" applyNumberFormat="1" applyFont="1" applyFill="1" applyBorder="1" applyAlignment="1" applyProtection="1">
      <alignment vertical="center" shrinkToFit="1"/>
      <protection/>
    </xf>
    <xf numFmtId="38" fontId="15" fillId="0" borderId="12" xfId="50" applyNumberFormat="1" applyFont="1" applyBorder="1" applyAlignment="1" applyProtection="1">
      <alignment vertical="center"/>
      <protection/>
    </xf>
    <xf numFmtId="38" fontId="15" fillId="0" borderId="95" xfId="50" applyNumberFormat="1" applyFont="1" applyBorder="1" applyAlignment="1" applyProtection="1">
      <alignment vertical="center"/>
      <protection/>
    </xf>
    <xf numFmtId="38" fontId="15" fillId="0" borderId="27" xfId="50" applyNumberFormat="1" applyFont="1" applyBorder="1" applyAlignment="1" applyProtection="1">
      <alignment horizontal="right" vertical="center"/>
      <protection/>
    </xf>
    <xf numFmtId="38" fontId="15" fillId="0" borderId="27" xfId="0" applyNumberFormat="1" applyFont="1" applyFill="1" applyBorder="1" applyAlignment="1" applyProtection="1">
      <alignment vertical="center" shrinkToFit="1"/>
      <protection/>
    </xf>
    <xf numFmtId="38" fontId="15" fillId="0" borderId="27" xfId="50" applyNumberFormat="1" applyFont="1" applyBorder="1" applyAlignment="1" applyProtection="1">
      <alignment vertical="center"/>
      <protection/>
    </xf>
    <xf numFmtId="0" fontId="126" fillId="0" borderId="27" xfId="0" applyFont="1" applyFill="1" applyBorder="1" applyAlignment="1" applyProtection="1">
      <alignment horizontal="center" vertical="center"/>
      <protection/>
    </xf>
    <xf numFmtId="0" fontId="24" fillId="0" borderId="27" xfId="0" applyFont="1" applyBorder="1" applyAlignment="1" applyProtection="1">
      <alignment horizontal="center" vertical="center"/>
      <protection/>
    </xf>
    <xf numFmtId="38" fontId="15" fillId="0" borderId="28" xfId="50" applyNumberFormat="1" applyFont="1" applyBorder="1" applyAlignment="1" applyProtection="1">
      <alignment horizontal="right" vertical="center"/>
      <protection/>
    </xf>
    <xf numFmtId="38" fontId="15" fillId="0" borderId="28" xfId="0" applyNumberFormat="1" applyFont="1" applyFill="1" applyBorder="1" applyAlignment="1" applyProtection="1">
      <alignment vertical="center" shrinkToFit="1"/>
      <protection/>
    </xf>
    <xf numFmtId="38" fontId="15" fillId="0" borderId="28" xfId="50" applyNumberFormat="1" applyFont="1" applyBorder="1" applyAlignment="1" applyProtection="1">
      <alignment vertical="center"/>
      <protection/>
    </xf>
    <xf numFmtId="0" fontId="126" fillId="0" borderId="28" xfId="0" applyFont="1" applyFill="1" applyBorder="1" applyAlignment="1" applyProtection="1">
      <alignment horizontal="center" vertical="center"/>
      <protection/>
    </xf>
    <xf numFmtId="38" fontId="15" fillId="0" borderId="96" xfId="50" applyNumberFormat="1" applyFont="1" applyBorder="1" applyAlignment="1" applyProtection="1">
      <alignment horizontal="right" vertical="center"/>
      <protection/>
    </xf>
    <xf numFmtId="38" fontId="15" fillId="0" borderId="96" xfId="0" applyNumberFormat="1" applyFont="1" applyFill="1" applyBorder="1" applyAlignment="1" applyProtection="1">
      <alignment vertical="center" shrinkToFit="1"/>
      <protection/>
    </xf>
    <xf numFmtId="38" fontId="15" fillId="0" borderId="96" xfId="50" applyNumberFormat="1" applyFont="1" applyBorder="1" applyAlignment="1" applyProtection="1">
      <alignment vertical="center"/>
      <protection/>
    </xf>
    <xf numFmtId="38" fontId="15" fillId="0" borderId="96" xfId="50" applyNumberFormat="1" applyFont="1" applyFill="1" applyBorder="1" applyAlignment="1" applyProtection="1">
      <alignment vertical="center"/>
      <protection/>
    </xf>
    <xf numFmtId="0" fontId="126" fillId="0" borderId="96" xfId="0" applyFont="1" applyFill="1" applyBorder="1" applyAlignment="1" applyProtection="1">
      <alignment horizontal="center" vertical="center"/>
      <protection/>
    </xf>
    <xf numFmtId="0" fontId="24" fillId="0" borderId="96" xfId="0" applyFont="1" applyBorder="1" applyAlignment="1" applyProtection="1">
      <alignment horizontal="center" vertical="center"/>
      <protection/>
    </xf>
    <xf numFmtId="213" fontId="21" fillId="0" borderId="46" xfId="50" applyNumberFormat="1" applyFont="1" applyFill="1" applyBorder="1" applyAlignment="1" applyProtection="1">
      <alignment vertical="center"/>
      <protection/>
    </xf>
    <xf numFmtId="213" fontId="24" fillId="0" borderId="27" xfId="0" applyNumberFormat="1" applyFont="1" applyBorder="1" applyAlignment="1" applyProtection="1">
      <alignment horizontal="center" vertical="center"/>
      <protection/>
    </xf>
    <xf numFmtId="213" fontId="24" fillId="0" borderId="28" xfId="0" applyNumberFormat="1" applyFont="1" applyBorder="1" applyAlignment="1" applyProtection="1">
      <alignment horizontal="center" vertical="center"/>
      <protection/>
    </xf>
    <xf numFmtId="213" fontId="24" fillId="0" borderId="96" xfId="0" applyNumberFormat="1" applyFont="1" applyBorder="1" applyAlignment="1" applyProtection="1">
      <alignment horizontal="center" vertical="center"/>
      <protection/>
    </xf>
    <xf numFmtId="0" fontId="168" fillId="0" borderId="0" xfId="0" applyFont="1" applyFill="1" applyBorder="1" applyAlignment="1" applyProtection="1">
      <alignment horizontal="left" vertical="center"/>
      <protection/>
    </xf>
    <xf numFmtId="0" fontId="168" fillId="0" borderId="0" xfId="0" applyFont="1" applyAlignment="1" applyProtection="1">
      <alignment horizontal="left" vertical="center"/>
      <protection locked="0"/>
    </xf>
    <xf numFmtId="0" fontId="168" fillId="0" borderId="0" xfId="0" applyFont="1" applyAlignment="1" applyProtection="1">
      <alignment vertical="center"/>
      <protection locked="0"/>
    </xf>
    <xf numFmtId="0" fontId="121" fillId="0" borderId="0" xfId="0" applyFont="1" applyBorder="1" applyAlignment="1" applyProtection="1">
      <alignment horizontal="center" vertical="center"/>
      <protection locked="0"/>
    </xf>
    <xf numFmtId="176" fontId="135" fillId="0" borderId="0" xfId="0" applyNumberFormat="1" applyFont="1" applyFill="1" applyBorder="1" applyAlignment="1" applyProtection="1">
      <alignment horizontal="right" vertical="center" wrapText="1"/>
      <protection/>
    </xf>
    <xf numFmtId="222" fontId="124" fillId="0" borderId="0" xfId="0" applyNumberFormat="1" applyFont="1" applyFill="1" applyBorder="1" applyAlignment="1" applyProtection="1">
      <alignment horizontal="right" vertical="center"/>
      <protection/>
    </xf>
    <xf numFmtId="0" fontId="12" fillId="0" borderId="0" xfId="0" applyFont="1" applyAlignment="1" applyProtection="1">
      <alignment vertical="center"/>
      <protection locked="0"/>
    </xf>
    <xf numFmtId="0" fontId="169" fillId="0" borderId="0" xfId="0" applyFont="1" applyFill="1" applyBorder="1" applyAlignment="1" applyProtection="1">
      <alignment horizontal="center" vertical="center"/>
      <protection locked="0"/>
    </xf>
    <xf numFmtId="0" fontId="170" fillId="0" borderId="0" xfId="0" applyFont="1" applyAlignment="1" applyProtection="1">
      <alignment vertical="center"/>
      <protection locked="0"/>
    </xf>
    <xf numFmtId="0" fontId="132" fillId="0" borderId="0" xfId="0" applyFont="1" applyAlignment="1" applyProtection="1">
      <alignment vertical="center"/>
      <protection/>
    </xf>
    <xf numFmtId="0" fontId="128" fillId="0" borderId="0" xfId="0" applyFont="1" applyAlignment="1" applyProtection="1">
      <alignment horizontal="right" vertical="center"/>
      <protection/>
    </xf>
    <xf numFmtId="0" fontId="6" fillId="0" borderId="27" xfId="0" applyFont="1" applyFill="1" applyBorder="1" applyAlignment="1" applyProtection="1">
      <alignment horizontal="center" vertical="center" wrapText="1"/>
      <protection/>
    </xf>
    <xf numFmtId="0" fontId="0" fillId="0" borderId="0" xfId="0" applyAlignment="1" applyProtection="1">
      <alignment vertical="center"/>
      <protection/>
    </xf>
    <xf numFmtId="0" fontId="6" fillId="0" borderId="28" xfId="0" applyFont="1" applyFill="1" applyBorder="1" applyAlignment="1" applyProtection="1">
      <alignment horizontal="center" vertical="center" wrapText="1"/>
      <protection/>
    </xf>
    <xf numFmtId="0" fontId="133" fillId="0" borderId="0" xfId="0" applyFont="1" applyAlignment="1" applyProtection="1">
      <alignment vertical="center"/>
      <protection/>
    </xf>
    <xf numFmtId="176" fontId="15" fillId="0" borderId="49" xfId="0" applyNumberFormat="1" applyFont="1" applyFill="1" applyBorder="1" applyAlignment="1" applyProtection="1">
      <alignment horizontal="right" vertical="center" wrapText="1"/>
      <protection/>
    </xf>
    <xf numFmtId="0" fontId="15" fillId="0" borderId="49" xfId="0" applyFont="1" applyBorder="1" applyAlignment="1" applyProtection="1">
      <alignment horizontal="center" vertical="center"/>
      <protection/>
    </xf>
    <xf numFmtId="0" fontId="129" fillId="0" borderId="55" xfId="0" applyFont="1" applyBorder="1" applyAlignment="1" applyProtection="1">
      <alignment horizontal="center" vertical="center"/>
      <protection/>
    </xf>
    <xf numFmtId="176" fontId="15" fillId="0" borderId="13" xfId="0" applyNumberFormat="1" applyFont="1" applyFill="1" applyBorder="1" applyAlignment="1" applyProtection="1">
      <alignment vertical="center" wrapText="1"/>
      <protection/>
    </xf>
    <xf numFmtId="176" fontId="21" fillId="0" borderId="13" xfId="0" applyNumberFormat="1" applyFont="1" applyFill="1" applyBorder="1" applyAlignment="1" applyProtection="1">
      <alignment vertical="center" wrapText="1"/>
      <protection/>
    </xf>
    <xf numFmtId="0" fontId="127" fillId="0" borderId="0" xfId="0" applyFont="1" applyFill="1" applyAlignment="1" applyProtection="1">
      <alignment vertical="center"/>
      <protection/>
    </xf>
    <xf numFmtId="0" fontId="127" fillId="0" borderId="0" xfId="0" applyFont="1" applyAlignment="1" applyProtection="1">
      <alignment vertical="center"/>
      <protection/>
    </xf>
    <xf numFmtId="0" fontId="16" fillId="0" borderId="0" xfId="0" applyFont="1" applyFill="1" applyBorder="1" applyAlignment="1" applyProtection="1">
      <alignment vertical="center" wrapText="1"/>
      <protection/>
    </xf>
    <xf numFmtId="176" fontId="127" fillId="0" borderId="0" xfId="0" applyNumberFormat="1" applyFont="1" applyAlignment="1" applyProtection="1">
      <alignment vertical="center"/>
      <protection/>
    </xf>
    <xf numFmtId="176" fontId="15" fillId="0" borderId="34" xfId="0" applyNumberFormat="1" applyFont="1" applyFill="1" applyBorder="1" applyAlignment="1" applyProtection="1">
      <alignment vertical="center" wrapText="1"/>
      <protection/>
    </xf>
    <xf numFmtId="0" fontId="171" fillId="0" borderId="0" xfId="0" applyFont="1" applyFill="1" applyAlignment="1" applyProtection="1">
      <alignment vertical="center"/>
      <protection/>
    </xf>
    <xf numFmtId="0" fontId="171" fillId="0" borderId="0" xfId="0" applyFont="1" applyAlignment="1" applyProtection="1">
      <alignment vertical="center"/>
      <protection/>
    </xf>
    <xf numFmtId="176" fontId="135" fillId="0" borderId="41" xfId="0" applyNumberFormat="1" applyFont="1" applyFill="1" applyBorder="1" applyAlignment="1" applyProtection="1">
      <alignment vertical="center" wrapText="1"/>
      <protection/>
    </xf>
    <xf numFmtId="0" fontId="129" fillId="0" borderId="13" xfId="0" applyFont="1" applyFill="1" applyBorder="1" applyAlignment="1" applyProtection="1">
      <alignment vertical="center"/>
      <protection/>
    </xf>
    <xf numFmtId="0" fontId="0" fillId="0" borderId="0" xfId="0" applyBorder="1" applyAlignment="1" applyProtection="1">
      <alignment vertical="center"/>
      <protection/>
    </xf>
    <xf numFmtId="0" fontId="128" fillId="0" borderId="41" xfId="0" applyFont="1" applyFill="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97" xfId="0" applyBorder="1" applyAlignment="1" applyProtection="1">
      <alignment vertical="center"/>
      <protection/>
    </xf>
    <xf numFmtId="0" fontId="128" fillId="0" borderId="0" xfId="0" applyFont="1" applyAlignment="1" applyProtection="1">
      <alignment horizontal="right" vertical="center" wrapText="1"/>
      <protection/>
    </xf>
    <xf numFmtId="0" fontId="128" fillId="0" borderId="0" xfId="0" applyFont="1" applyFill="1" applyBorder="1" applyAlignment="1" applyProtection="1">
      <alignment vertical="center"/>
      <protection/>
    </xf>
    <xf numFmtId="0" fontId="172" fillId="0" borderId="35" xfId="0" applyFont="1" applyFill="1" applyBorder="1" applyAlignment="1" applyProtection="1">
      <alignment horizontal="left" vertical="center" indent="2"/>
      <protection/>
    </xf>
    <xf numFmtId="0" fontId="6" fillId="0" borderId="35" xfId="0" applyFont="1" applyFill="1" applyBorder="1" applyAlignment="1" applyProtection="1">
      <alignment horizontal="center" vertical="center" shrinkToFit="1"/>
      <protection/>
    </xf>
    <xf numFmtId="0" fontId="132" fillId="0" borderId="0" xfId="0" applyFont="1" applyAlignment="1" applyProtection="1">
      <alignment horizontal="center" vertical="center"/>
      <protection/>
    </xf>
    <xf numFmtId="0" fontId="0" fillId="0" borderId="0" xfId="0" applyBorder="1" applyAlignment="1" applyProtection="1">
      <alignment vertical="center"/>
      <protection/>
    </xf>
    <xf numFmtId="0" fontId="6" fillId="0" borderId="0" xfId="0" applyFont="1" applyFill="1" applyBorder="1" applyAlignment="1" applyProtection="1">
      <alignment horizontal="right" vertical="center"/>
      <protection/>
    </xf>
    <xf numFmtId="0" fontId="129" fillId="0" borderId="0" xfId="0" applyFont="1" applyAlignment="1" applyProtection="1">
      <alignment vertical="center"/>
      <protection/>
    </xf>
    <xf numFmtId="176" fontId="15" fillId="0" borderId="0" xfId="0" applyNumberFormat="1" applyFont="1" applyAlignment="1" applyProtection="1">
      <alignment vertical="center"/>
      <protection/>
    </xf>
    <xf numFmtId="0" fontId="15" fillId="0" borderId="0" xfId="0" applyFont="1" applyAlignment="1" applyProtection="1">
      <alignment horizontal="center" vertical="center"/>
      <protection/>
    </xf>
    <xf numFmtId="176" fontId="18" fillId="0" borderId="0" xfId="0" applyNumberFormat="1" applyFont="1" applyFill="1" applyBorder="1" applyAlignment="1" applyProtection="1">
      <alignment horizontal="left" vertical="center" wrapText="1"/>
      <protection/>
    </xf>
    <xf numFmtId="176" fontId="7" fillId="0" borderId="0" xfId="0" applyNumberFormat="1" applyFont="1" applyAlignment="1" applyProtection="1">
      <alignment/>
      <protection/>
    </xf>
    <xf numFmtId="0" fontId="18" fillId="0" borderId="0" xfId="0" applyFont="1" applyAlignment="1" applyProtection="1">
      <alignment horizontal="center" shrinkToFit="1"/>
      <protection/>
    </xf>
    <xf numFmtId="0" fontId="18" fillId="0" borderId="0" xfId="0" applyFont="1" applyAlignment="1" applyProtection="1">
      <alignment horizontal="left" shrinkToFit="1"/>
      <protection/>
    </xf>
    <xf numFmtId="0" fontId="132" fillId="0" borderId="98" xfId="0" applyFont="1" applyBorder="1" applyAlignment="1" applyProtection="1">
      <alignment vertical="center"/>
      <protection/>
    </xf>
    <xf numFmtId="0" fontId="173" fillId="0" borderId="99" xfId="0" applyFont="1" applyBorder="1" applyAlignment="1" applyProtection="1">
      <alignment horizontal="center" vertical="center"/>
      <protection/>
    </xf>
    <xf numFmtId="0" fontId="174" fillId="0" borderId="100" xfId="0" applyFont="1" applyBorder="1" applyAlignment="1" applyProtection="1">
      <alignment horizontal="center" vertical="center"/>
      <protection/>
    </xf>
    <xf numFmtId="176" fontId="175" fillId="0" borderId="101" xfId="0" applyNumberFormat="1" applyFont="1" applyBorder="1" applyAlignment="1" applyProtection="1">
      <alignment horizontal="center" vertical="center"/>
      <protection/>
    </xf>
    <xf numFmtId="0" fontId="176" fillId="0" borderId="102" xfId="0" applyFont="1" applyBorder="1" applyAlignment="1" applyProtection="1">
      <alignment vertical="center"/>
      <protection/>
    </xf>
    <xf numFmtId="0" fontId="176" fillId="0" borderId="103" xfId="0" applyFont="1" applyBorder="1" applyAlignment="1" applyProtection="1">
      <alignment vertical="center"/>
      <protection/>
    </xf>
    <xf numFmtId="0" fontId="21" fillId="0" borderId="104" xfId="0" applyFont="1" applyBorder="1" applyAlignment="1" applyProtection="1">
      <alignment horizontal="center" vertical="center"/>
      <protection/>
    </xf>
    <xf numFmtId="176" fontId="29" fillId="0" borderId="0" xfId="0" applyNumberFormat="1" applyFont="1" applyAlignment="1" applyProtection="1">
      <alignment horizontal="left" vertical="center" wrapText="1"/>
      <protection/>
    </xf>
    <xf numFmtId="0" fontId="18" fillId="0" borderId="0" xfId="0" applyFont="1" applyAlignment="1" applyProtection="1">
      <alignment horizontal="center" vertical="center" shrinkToFit="1"/>
      <protection/>
    </xf>
    <xf numFmtId="0" fontId="127" fillId="0" borderId="0" xfId="0" applyFont="1" applyBorder="1" applyAlignment="1" applyProtection="1">
      <alignment vertical="center"/>
      <protection/>
    </xf>
    <xf numFmtId="176" fontId="7" fillId="0" borderId="0" xfId="0" applyNumberFormat="1" applyFont="1" applyAlignment="1" applyProtection="1">
      <alignment wrapText="1" shrinkToFit="1"/>
      <protection/>
    </xf>
    <xf numFmtId="176" fontId="7" fillId="0" borderId="0" xfId="0" applyNumberFormat="1" applyFont="1" applyAlignment="1" applyProtection="1">
      <alignment shrinkToFit="1"/>
      <protection/>
    </xf>
    <xf numFmtId="0" fontId="15" fillId="0" borderId="0" xfId="0" applyFont="1" applyAlignment="1" applyProtection="1">
      <alignment horizontal="center" shrinkToFit="1"/>
      <protection/>
    </xf>
    <xf numFmtId="0" fontId="7" fillId="0" borderId="0" xfId="0" applyFont="1" applyAlignment="1" applyProtection="1">
      <alignment horizontal="left" shrinkToFit="1"/>
      <protection/>
    </xf>
    <xf numFmtId="38" fontId="7" fillId="0" borderId="0" xfId="0" applyNumberFormat="1" applyFont="1" applyFill="1" applyBorder="1" applyAlignment="1" applyProtection="1">
      <alignment shrinkToFit="1"/>
      <protection/>
    </xf>
    <xf numFmtId="0" fontId="177" fillId="0" borderId="0" xfId="0" applyFont="1" applyAlignment="1" applyProtection="1">
      <alignment horizontal="right" vertical="center"/>
      <protection/>
    </xf>
    <xf numFmtId="0" fontId="132" fillId="0" borderId="0" xfId="0" applyFont="1" applyBorder="1" applyAlignment="1" applyProtection="1">
      <alignment vertical="center"/>
      <protection/>
    </xf>
    <xf numFmtId="0" fontId="18" fillId="0" borderId="0" xfId="0" applyFont="1" applyAlignment="1" applyProtection="1">
      <alignment horizontal="center"/>
      <protection/>
    </xf>
    <xf numFmtId="0" fontId="7" fillId="0" borderId="0" xfId="0" applyFont="1" applyAlignment="1" applyProtection="1">
      <alignment horizontal="left"/>
      <protection/>
    </xf>
    <xf numFmtId="0" fontId="178" fillId="0" borderId="0" xfId="0" applyFont="1" applyAlignment="1" applyProtection="1">
      <alignment horizontal="right" vertical="center"/>
      <protection/>
    </xf>
    <xf numFmtId="0" fontId="150" fillId="0" borderId="0" xfId="0" applyFont="1" applyBorder="1" applyAlignment="1" applyProtection="1">
      <alignment horizontal="left" vertical="center"/>
      <protection/>
    </xf>
    <xf numFmtId="0" fontId="179" fillId="0" borderId="0" xfId="0" applyFont="1" applyAlignment="1" applyProtection="1">
      <alignment horizontal="right" vertical="center"/>
      <protection/>
    </xf>
    <xf numFmtId="0" fontId="180" fillId="0" borderId="0" xfId="0" applyFont="1" applyAlignment="1" applyProtection="1">
      <alignment horizontal="right" vertical="center"/>
      <protection/>
    </xf>
    <xf numFmtId="0" fontId="123" fillId="0" borderId="46" xfId="0" applyFont="1" applyBorder="1" applyAlignment="1" applyProtection="1" quotePrefix="1">
      <alignment horizontal="center" vertical="center" wrapText="1"/>
      <protection/>
    </xf>
    <xf numFmtId="0" fontId="0" fillId="0" borderId="105"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vertical="center"/>
      <protection/>
    </xf>
    <xf numFmtId="0" fontId="123" fillId="33" borderId="46" xfId="0" applyFont="1" applyFill="1" applyBorder="1" applyAlignment="1" applyProtection="1" quotePrefix="1">
      <alignment horizontal="center" vertical="center" wrapText="1"/>
      <protection/>
    </xf>
    <xf numFmtId="0" fontId="0" fillId="33" borderId="0" xfId="0" applyFont="1" applyFill="1" applyAlignment="1" applyProtection="1">
      <alignment horizontal="center" vertical="center"/>
      <protection/>
    </xf>
    <xf numFmtId="0" fontId="123" fillId="0" borderId="21" xfId="0" applyFont="1" applyBorder="1" applyAlignment="1" applyProtection="1" quotePrefix="1">
      <alignment horizontal="center" vertical="center" wrapText="1"/>
      <protection/>
    </xf>
    <xf numFmtId="0" fontId="0" fillId="0" borderId="19" xfId="0" applyFont="1" applyFill="1" applyBorder="1" applyAlignment="1" applyProtection="1">
      <alignment horizontal="center" vertical="center"/>
      <protection/>
    </xf>
    <xf numFmtId="178" fontId="125" fillId="33" borderId="0" xfId="0" applyNumberFormat="1" applyFont="1" applyFill="1" applyBorder="1" applyAlignment="1" applyProtection="1">
      <alignment horizontal="center" vertical="center" wrapText="1"/>
      <protection/>
    </xf>
    <xf numFmtId="0" fontId="0" fillId="0" borderId="0" xfId="0" applyFont="1" applyAlignment="1" applyProtection="1">
      <alignment horizontal="right" vertical="center"/>
      <protection/>
    </xf>
    <xf numFmtId="0" fontId="123" fillId="0" borderId="0" xfId="0" applyFont="1" applyAlignment="1" applyProtection="1">
      <alignment horizontal="center" vertical="center"/>
      <protection/>
    </xf>
    <xf numFmtId="0" fontId="0" fillId="0" borderId="0" xfId="0" applyFont="1" applyFill="1" applyAlignment="1" applyProtection="1">
      <alignment horizontal="left" vertical="center"/>
      <protection/>
    </xf>
    <xf numFmtId="38" fontId="0" fillId="0" borderId="0" xfId="50" applyFont="1" applyAlignment="1" applyProtection="1">
      <alignment vertical="center"/>
      <protection/>
    </xf>
    <xf numFmtId="0" fontId="121" fillId="0" borderId="0" xfId="0" applyFont="1" applyAlignment="1" applyProtection="1">
      <alignment horizontal="right" vertical="center"/>
      <protection/>
    </xf>
    <xf numFmtId="2" fontId="0" fillId="0" borderId="0" xfId="0" applyNumberFormat="1" applyFont="1" applyAlignment="1" applyProtection="1">
      <alignment horizontal="center" vertical="center"/>
      <protection/>
    </xf>
    <xf numFmtId="0" fontId="123" fillId="0" borderId="12" xfId="0" applyFont="1" applyBorder="1" applyAlignment="1" applyProtection="1">
      <alignment horizontal="center" vertical="center" wrapText="1"/>
      <protection/>
    </xf>
    <xf numFmtId="0" fontId="0" fillId="0" borderId="106" xfId="0" applyFont="1" applyFill="1" applyBorder="1" applyAlignment="1" applyProtection="1">
      <alignment horizontal="center" vertical="center"/>
      <protection/>
    </xf>
    <xf numFmtId="0" fontId="123" fillId="0" borderId="13" xfId="0" applyFont="1" applyBorder="1" applyAlignment="1" applyProtection="1">
      <alignment horizontal="center" vertical="center" wrapText="1"/>
      <protection/>
    </xf>
    <xf numFmtId="0" fontId="123" fillId="33" borderId="13" xfId="0" applyFont="1" applyFill="1" applyBorder="1" applyAlignment="1" applyProtection="1">
      <alignment horizontal="center" vertical="center" wrapText="1"/>
      <protection/>
    </xf>
    <xf numFmtId="0" fontId="123" fillId="33" borderId="12" xfId="0" applyFont="1" applyFill="1" applyBorder="1" applyAlignment="1" applyProtection="1">
      <alignment horizontal="center" vertical="center" wrapText="1"/>
      <protection/>
    </xf>
    <xf numFmtId="0" fontId="123" fillId="0" borderId="18" xfId="0" applyFont="1" applyBorder="1" applyAlignment="1" applyProtection="1">
      <alignment horizontal="center" vertical="center" wrapText="1"/>
      <protection/>
    </xf>
    <xf numFmtId="0" fontId="0" fillId="0" borderId="22" xfId="0" applyFont="1" applyFill="1" applyBorder="1" applyAlignment="1" applyProtection="1">
      <alignment horizontal="center" vertical="center"/>
      <protection/>
    </xf>
    <xf numFmtId="0" fontId="123" fillId="0" borderId="46" xfId="0" applyFont="1" applyBorder="1" applyAlignment="1" applyProtection="1">
      <alignment horizontal="center" vertical="center" wrapText="1"/>
      <protection/>
    </xf>
    <xf numFmtId="0" fontId="123" fillId="0" borderId="61" xfId="0" applyFont="1" applyBorder="1" applyAlignment="1" applyProtection="1">
      <alignment horizontal="center" vertical="center" wrapText="1"/>
      <protection/>
    </xf>
    <xf numFmtId="0" fontId="123" fillId="0" borderId="62" xfId="0" applyFont="1" applyBorder="1" applyAlignment="1" applyProtection="1">
      <alignment horizontal="center" vertical="center" wrapText="1"/>
      <protection/>
    </xf>
    <xf numFmtId="0" fontId="121" fillId="0" borderId="0" xfId="0" applyFont="1" applyBorder="1" applyAlignment="1" applyProtection="1">
      <alignment horizontal="right" vertical="center"/>
      <protection/>
    </xf>
    <xf numFmtId="0" fontId="123" fillId="0" borderId="10" xfId="0" applyFont="1" applyBorder="1" applyAlignment="1" applyProtection="1">
      <alignment horizontal="center" vertical="top" wrapText="1"/>
      <protection/>
    </xf>
    <xf numFmtId="0" fontId="123" fillId="0" borderId="17" xfId="0" applyFont="1" applyBorder="1" applyAlignment="1" applyProtection="1">
      <alignment horizontal="center" vertical="center" wrapText="1"/>
      <protection/>
    </xf>
    <xf numFmtId="0" fontId="123" fillId="0" borderId="11" xfId="0" applyFont="1" applyBorder="1" applyAlignment="1" applyProtection="1">
      <alignment horizontal="center" vertical="center" wrapText="1"/>
      <protection/>
    </xf>
    <xf numFmtId="0" fontId="130" fillId="7" borderId="23" xfId="0" applyFont="1" applyFill="1" applyBorder="1" applyAlignment="1" applyProtection="1">
      <alignment vertical="center"/>
      <protection locked="0"/>
    </xf>
    <xf numFmtId="0" fontId="130" fillId="7" borderId="107" xfId="0" applyFont="1" applyFill="1" applyBorder="1" applyAlignment="1" applyProtection="1">
      <alignment vertical="center"/>
      <protection locked="0"/>
    </xf>
    <xf numFmtId="0" fontId="130" fillId="7" borderId="61" xfId="0" applyFont="1" applyFill="1" applyBorder="1" applyAlignment="1" applyProtection="1">
      <alignment vertical="center"/>
      <protection locked="0"/>
    </xf>
    <xf numFmtId="196" fontId="6" fillId="7" borderId="23" xfId="0" applyNumberFormat="1" applyFont="1" applyFill="1" applyBorder="1" applyAlignment="1" applyProtection="1">
      <alignment vertical="center" shrinkToFit="1"/>
      <protection locked="0"/>
    </xf>
    <xf numFmtId="196" fontId="6" fillId="7" borderId="107" xfId="0" applyNumberFormat="1" applyFont="1" applyFill="1" applyBorder="1" applyAlignment="1" applyProtection="1">
      <alignment vertical="center" shrinkToFit="1"/>
      <protection locked="0"/>
    </xf>
    <xf numFmtId="196" fontId="6" fillId="7" borderId="61" xfId="0" applyNumberFormat="1" applyFont="1" applyFill="1" applyBorder="1" applyAlignment="1" applyProtection="1">
      <alignment vertical="center" shrinkToFit="1"/>
      <protection locked="0"/>
    </xf>
    <xf numFmtId="0" fontId="130" fillId="7" borderId="23" xfId="0" applyFont="1" applyFill="1" applyBorder="1" applyAlignment="1" applyProtection="1">
      <alignment vertical="center" shrinkToFit="1"/>
      <protection locked="0"/>
    </xf>
    <xf numFmtId="0" fontId="130" fillId="7" borderId="107" xfId="0" applyFont="1" applyFill="1" applyBorder="1" applyAlignment="1" applyProtection="1">
      <alignment vertical="center" shrinkToFit="1"/>
      <protection locked="0"/>
    </xf>
    <xf numFmtId="0" fontId="130" fillId="7" borderId="61" xfId="0" applyFont="1" applyFill="1" applyBorder="1" applyAlignment="1" applyProtection="1">
      <alignment vertical="center" shrinkToFit="1"/>
      <protection locked="0"/>
    </xf>
    <xf numFmtId="176" fontId="15" fillId="0" borderId="108" xfId="0" applyNumberFormat="1" applyFont="1" applyBorder="1" applyAlignment="1" applyProtection="1">
      <alignment horizontal="right" vertical="center"/>
      <protection/>
    </xf>
    <xf numFmtId="176" fontId="15" fillId="0" borderId="109" xfId="0" applyNumberFormat="1" applyFont="1" applyBorder="1" applyAlignment="1" applyProtection="1">
      <alignment horizontal="right" vertical="center"/>
      <protection/>
    </xf>
    <xf numFmtId="176" fontId="15" fillId="0" borderId="110" xfId="0" applyNumberFormat="1" applyFont="1" applyBorder="1" applyAlignment="1" applyProtection="1">
      <alignment horizontal="right" vertical="center"/>
      <protection/>
    </xf>
    <xf numFmtId="176" fontId="15" fillId="0" borderId="110" xfId="0" applyNumberFormat="1" applyFont="1" applyFill="1" applyBorder="1" applyAlignment="1" applyProtection="1">
      <alignment horizontal="right" vertical="center"/>
      <protection/>
    </xf>
    <xf numFmtId="176" fontId="15" fillId="0" borderId="48" xfId="0" applyNumberFormat="1" applyFont="1" applyFill="1" applyBorder="1" applyAlignment="1" applyProtection="1">
      <alignment horizontal="right" vertical="center"/>
      <protection/>
    </xf>
    <xf numFmtId="0" fontId="16" fillId="0" borderId="111" xfId="0" applyFont="1" applyFill="1" applyBorder="1" applyAlignment="1" applyProtection="1">
      <alignment horizontal="center" vertical="center" wrapText="1"/>
      <protection/>
    </xf>
    <xf numFmtId="0" fontId="16" fillId="0" borderId="112" xfId="0" applyFont="1" applyFill="1" applyBorder="1" applyAlignment="1" applyProtection="1">
      <alignment horizontal="center" vertical="center" wrapText="1"/>
      <protection/>
    </xf>
    <xf numFmtId="0" fontId="16" fillId="0" borderId="113" xfId="0" applyFont="1" applyFill="1" applyBorder="1" applyAlignment="1" applyProtection="1">
      <alignment horizontal="center" vertical="center" wrapText="1"/>
      <protection/>
    </xf>
    <xf numFmtId="0" fontId="16" fillId="0" borderId="114" xfId="0" applyFont="1" applyFill="1" applyBorder="1" applyAlignment="1" applyProtection="1">
      <alignment horizontal="center" vertical="center" wrapText="1"/>
      <protection/>
    </xf>
    <xf numFmtId="176" fontId="15" fillId="0" borderId="115" xfId="0" applyNumberFormat="1" applyFont="1" applyBorder="1" applyAlignment="1" applyProtection="1">
      <alignment horizontal="center" vertical="center"/>
      <protection/>
    </xf>
    <xf numFmtId="176" fontId="15" fillId="0" borderId="116" xfId="0" applyNumberFormat="1" applyFont="1" applyBorder="1" applyAlignment="1" applyProtection="1">
      <alignment horizontal="center" vertical="center"/>
      <protection/>
    </xf>
    <xf numFmtId="176" fontId="15" fillId="0" borderId="117" xfId="0" applyNumberFormat="1" applyFont="1" applyBorder="1" applyAlignment="1" applyProtection="1">
      <alignment horizontal="center" vertical="center"/>
      <protection/>
    </xf>
    <xf numFmtId="176" fontId="15" fillId="0" borderId="118" xfId="0" applyNumberFormat="1" applyFont="1" applyBorder="1" applyAlignment="1" applyProtection="1">
      <alignment horizontal="center" vertical="center"/>
      <protection/>
    </xf>
    <xf numFmtId="176" fontId="15" fillId="7" borderId="37" xfId="0" applyNumberFormat="1" applyFont="1" applyFill="1" applyBorder="1" applyAlignment="1" applyProtection="1">
      <alignment horizontal="right" vertical="center"/>
      <protection locked="0"/>
    </xf>
    <xf numFmtId="176" fontId="15" fillId="7" borderId="119" xfId="0" applyNumberFormat="1" applyFont="1" applyFill="1" applyBorder="1" applyAlignment="1" applyProtection="1">
      <alignment horizontal="right" vertical="center"/>
      <protection locked="0"/>
    </xf>
    <xf numFmtId="176" fontId="15" fillId="7" borderId="120" xfId="0" applyNumberFormat="1" applyFont="1" applyFill="1" applyBorder="1" applyAlignment="1" applyProtection="1">
      <alignment horizontal="right" vertical="center"/>
      <protection locked="0"/>
    </xf>
    <xf numFmtId="176" fontId="15" fillId="7" borderId="47" xfId="0" applyNumberFormat="1" applyFont="1" applyFill="1" applyBorder="1" applyAlignment="1" applyProtection="1">
      <alignment horizontal="right" vertical="center"/>
      <protection locked="0"/>
    </xf>
    <xf numFmtId="176" fontId="15" fillId="0" borderId="121" xfId="0" applyNumberFormat="1" applyFont="1" applyBorder="1" applyAlignment="1" applyProtection="1">
      <alignment horizontal="right" vertical="center"/>
      <protection/>
    </xf>
    <xf numFmtId="176" fontId="15" fillId="0" borderId="122" xfId="0" applyNumberFormat="1" applyFont="1" applyBorder="1" applyAlignment="1" applyProtection="1">
      <alignment horizontal="right" vertical="center"/>
      <protection/>
    </xf>
    <xf numFmtId="176" fontId="15" fillId="0" borderId="123" xfId="0" applyNumberFormat="1" applyFont="1" applyBorder="1" applyAlignment="1" applyProtection="1">
      <alignment horizontal="right" vertical="center"/>
      <protection/>
    </xf>
    <xf numFmtId="176" fontId="15" fillId="0" borderId="124" xfId="0" applyNumberFormat="1" applyFont="1" applyBorder="1" applyAlignment="1" applyProtection="1">
      <alignment horizontal="right" vertical="center"/>
      <protection/>
    </xf>
    <xf numFmtId="176" fontId="15" fillId="0" borderId="125" xfId="0" applyNumberFormat="1" applyFont="1" applyBorder="1" applyAlignment="1" applyProtection="1">
      <alignment horizontal="right" vertical="center"/>
      <protection/>
    </xf>
    <xf numFmtId="176" fontId="15" fillId="0" borderId="126" xfId="0" applyNumberFormat="1" applyFont="1" applyBorder="1" applyAlignment="1" applyProtection="1">
      <alignment horizontal="right" vertical="center"/>
      <protection/>
    </xf>
    <xf numFmtId="176" fontId="15" fillId="0" borderId="127" xfId="0" applyNumberFormat="1" applyFont="1" applyBorder="1" applyAlignment="1" applyProtection="1">
      <alignment horizontal="right" vertical="center"/>
      <protection/>
    </xf>
    <xf numFmtId="176" fontId="15" fillId="0" borderId="128" xfId="0" applyNumberFormat="1" applyFont="1" applyBorder="1" applyAlignment="1" applyProtection="1">
      <alignment horizontal="right" vertical="center"/>
      <protection/>
    </xf>
    <xf numFmtId="38" fontId="15" fillId="0" borderId="26" xfId="50" applyFont="1" applyFill="1" applyBorder="1" applyAlignment="1" applyProtection="1">
      <alignment horizontal="right" vertical="center"/>
      <protection/>
    </xf>
    <xf numFmtId="38" fontId="15" fillId="0" borderId="63" xfId="50" applyFont="1" applyFill="1" applyBorder="1" applyAlignment="1" applyProtection="1">
      <alignment horizontal="right" vertical="center"/>
      <protection/>
    </xf>
    <xf numFmtId="38" fontId="15" fillId="0" borderId="129" xfId="50" applyFont="1" applyFill="1" applyBorder="1" applyAlignment="1" applyProtection="1">
      <alignment horizontal="right" vertical="center"/>
      <protection/>
    </xf>
    <xf numFmtId="38" fontId="15" fillId="0" borderId="12" xfId="50" applyFont="1" applyFill="1" applyBorder="1" applyAlignment="1" applyProtection="1">
      <alignment horizontal="right" vertical="center"/>
      <protection/>
    </xf>
    <xf numFmtId="176" fontId="15" fillId="0" borderId="26" xfId="0" applyNumberFormat="1" applyFont="1" applyBorder="1" applyAlignment="1" applyProtection="1">
      <alignment horizontal="center" vertical="center"/>
      <protection/>
    </xf>
    <xf numFmtId="176" fontId="15" fillId="0" borderId="63" xfId="0" applyNumberFormat="1" applyFont="1" applyBorder="1" applyAlignment="1" applyProtection="1">
      <alignment horizontal="center" vertical="center"/>
      <protection/>
    </xf>
    <xf numFmtId="176" fontId="15" fillId="0" borderId="129" xfId="0" applyNumberFormat="1" applyFont="1" applyBorder="1" applyAlignment="1" applyProtection="1">
      <alignment horizontal="center" vertical="center"/>
      <protection/>
    </xf>
    <xf numFmtId="176" fontId="15" fillId="0" borderId="129" xfId="0" applyNumberFormat="1" applyFont="1" applyFill="1" applyBorder="1" applyAlignment="1" applyProtection="1">
      <alignment horizontal="center" vertical="center"/>
      <protection/>
    </xf>
    <xf numFmtId="176" fontId="15" fillId="0" borderId="12" xfId="0" applyNumberFormat="1" applyFont="1" applyFill="1" applyBorder="1" applyAlignment="1" applyProtection="1">
      <alignment horizontal="center" vertical="center"/>
      <protection/>
    </xf>
    <xf numFmtId="38" fontId="15" fillId="0" borderId="130" xfId="50" applyFont="1" applyFill="1" applyBorder="1" applyAlignment="1" applyProtection="1">
      <alignment horizontal="right" vertical="center"/>
      <protection/>
    </xf>
    <xf numFmtId="38" fontId="15" fillId="0" borderId="131" xfId="50" applyFont="1" applyFill="1" applyBorder="1" applyAlignment="1" applyProtection="1">
      <alignment horizontal="right" vertical="center"/>
      <protection/>
    </xf>
    <xf numFmtId="38" fontId="15" fillId="0" borderId="45" xfId="50" applyFont="1" applyFill="1" applyBorder="1" applyAlignment="1" applyProtection="1">
      <alignment horizontal="right" vertical="center"/>
      <protection/>
    </xf>
    <xf numFmtId="38" fontId="15" fillId="0" borderId="54" xfId="50" applyFont="1" applyFill="1" applyBorder="1" applyAlignment="1" applyProtection="1">
      <alignment horizontal="right" vertical="center"/>
      <protection/>
    </xf>
    <xf numFmtId="38" fontId="15" fillId="0" borderId="132" xfId="50" applyFont="1" applyFill="1" applyBorder="1" applyAlignment="1" applyProtection="1">
      <alignment horizontal="right" vertical="center"/>
      <protection/>
    </xf>
    <xf numFmtId="38" fontId="15" fillId="0" borderId="133" xfId="50" applyFont="1" applyFill="1" applyBorder="1" applyAlignment="1" applyProtection="1">
      <alignment horizontal="right" vertical="center"/>
      <protection/>
    </xf>
    <xf numFmtId="38" fontId="15" fillId="0" borderId="134" xfId="50" applyFont="1" applyFill="1" applyBorder="1" applyAlignment="1" applyProtection="1">
      <alignment horizontal="right" vertical="center"/>
      <protection/>
    </xf>
    <xf numFmtId="176" fontId="15" fillId="0" borderId="135" xfId="0" applyNumberFormat="1" applyFont="1" applyBorder="1" applyAlignment="1" applyProtection="1">
      <alignment horizontal="right" vertical="center"/>
      <protection/>
    </xf>
    <xf numFmtId="176" fontId="15" fillId="0" borderId="136" xfId="0" applyNumberFormat="1" applyFont="1" applyBorder="1" applyAlignment="1" applyProtection="1">
      <alignment horizontal="right" vertical="center"/>
      <protection/>
    </xf>
    <xf numFmtId="176" fontId="15" fillId="0" borderId="37" xfId="0" applyNumberFormat="1" applyFont="1" applyBorder="1" applyAlignment="1" applyProtection="1">
      <alignment horizontal="right" vertical="center"/>
      <protection/>
    </xf>
    <xf numFmtId="176" fontId="15" fillId="0" borderId="47" xfId="0" applyNumberFormat="1" applyFont="1" applyBorder="1" applyAlignment="1" applyProtection="1">
      <alignment horizontal="right" vertical="center"/>
      <protection/>
    </xf>
    <xf numFmtId="176" fontId="15" fillId="0" borderId="137" xfId="0" applyNumberFormat="1" applyFont="1" applyBorder="1" applyAlignment="1" applyProtection="1">
      <alignment horizontal="right" vertical="center"/>
      <protection/>
    </xf>
    <xf numFmtId="176" fontId="15" fillId="0" borderId="138" xfId="0" applyNumberFormat="1" applyFont="1" applyFill="1" applyBorder="1" applyAlignment="1" applyProtection="1">
      <alignment horizontal="right" vertical="center" wrapText="1"/>
      <protection/>
    </xf>
    <xf numFmtId="176" fontId="15" fillId="0" borderId="139" xfId="0" applyNumberFormat="1" applyFont="1" applyFill="1" applyBorder="1" applyAlignment="1" applyProtection="1">
      <alignment horizontal="right" vertical="center" wrapText="1"/>
      <protection/>
    </xf>
    <xf numFmtId="176" fontId="15" fillId="0" borderId="140" xfId="0" applyNumberFormat="1" applyFont="1" applyFill="1" applyBorder="1" applyAlignment="1" applyProtection="1">
      <alignment horizontal="right" vertical="center" wrapText="1"/>
      <protection/>
    </xf>
    <xf numFmtId="176" fontId="15" fillId="0" borderId="141" xfId="0" applyNumberFormat="1" applyFont="1" applyFill="1" applyBorder="1" applyAlignment="1" applyProtection="1">
      <alignment horizontal="right" vertical="center" wrapText="1"/>
      <protection/>
    </xf>
    <xf numFmtId="38" fontId="15" fillId="0" borderId="142" xfId="50" applyFont="1" applyFill="1" applyBorder="1" applyAlignment="1" applyProtection="1">
      <alignment horizontal="right" vertical="center"/>
      <protection/>
    </xf>
    <xf numFmtId="176" fontId="15" fillId="0" borderId="142" xfId="0" applyNumberFormat="1" applyFont="1" applyFill="1" applyBorder="1" applyAlignment="1" applyProtection="1">
      <alignment horizontal="right" vertical="center" wrapText="1"/>
      <protection/>
    </xf>
    <xf numFmtId="176" fontId="15" fillId="0" borderId="143" xfId="0" applyNumberFormat="1" applyFont="1" applyFill="1" applyBorder="1" applyAlignment="1" applyProtection="1">
      <alignment horizontal="right" vertical="center" wrapText="1"/>
      <protection/>
    </xf>
    <xf numFmtId="176" fontId="15" fillId="0" borderId="54" xfId="0" applyNumberFormat="1" applyFont="1" applyFill="1" applyBorder="1" applyAlignment="1" applyProtection="1">
      <alignment horizontal="right" vertical="center" wrapText="1"/>
      <protection/>
    </xf>
    <xf numFmtId="176" fontId="15" fillId="0" borderId="134" xfId="0" applyNumberFormat="1" applyFont="1" applyFill="1" applyBorder="1" applyAlignment="1" applyProtection="1">
      <alignment horizontal="right" vertical="center" wrapText="1"/>
      <protection/>
    </xf>
    <xf numFmtId="38" fontId="15" fillId="0" borderId="144" xfId="50" applyFont="1" applyFill="1" applyBorder="1" applyAlignment="1" applyProtection="1">
      <alignment horizontal="right" vertical="center"/>
      <protection/>
    </xf>
    <xf numFmtId="38" fontId="15" fillId="0" borderId="95" xfId="50" applyFont="1" applyFill="1" applyBorder="1" applyAlignment="1" applyProtection="1">
      <alignment horizontal="right" vertical="center"/>
      <protection/>
    </xf>
    <xf numFmtId="176" fontId="15" fillId="0" borderId="144" xfId="0" applyNumberFormat="1" applyFont="1" applyFill="1" applyBorder="1" applyAlignment="1" applyProtection="1">
      <alignment horizontal="right" vertical="center"/>
      <protection/>
    </xf>
    <xf numFmtId="176" fontId="15" fillId="0" borderId="95" xfId="0" applyNumberFormat="1" applyFont="1" applyFill="1" applyBorder="1" applyAlignment="1" applyProtection="1">
      <alignment horizontal="right" vertical="center"/>
      <protection/>
    </xf>
    <xf numFmtId="176" fontId="15" fillId="0" borderId="145" xfId="0" applyNumberFormat="1" applyFont="1" applyBorder="1" applyAlignment="1" applyProtection="1">
      <alignment horizontal="right" vertical="center"/>
      <protection/>
    </xf>
    <xf numFmtId="176" fontId="15" fillId="0" borderId="146" xfId="0" applyNumberFormat="1" applyFont="1" applyBorder="1" applyAlignment="1" applyProtection="1">
      <alignment horizontal="right" vertical="center"/>
      <protection/>
    </xf>
    <xf numFmtId="176" fontId="15" fillId="36" borderId="26" xfId="0" applyNumberFormat="1" applyFont="1" applyFill="1" applyBorder="1" applyAlignment="1" applyProtection="1">
      <alignment horizontal="right" vertical="center" wrapText="1"/>
      <protection/>
    </xf>
    <xf numFmtId="176" fontId="15" fillId="36" borderId="63" xfId="0" applyNumberFormat="1" applyFont="1" applyFill="1" applyBorder="1" applyAlignment="1" applyProtection="1">
      <alignment horizontal="right" vertical="center" wrapText="1"/>
      <protection/>
    </xf>
    <xf numFmtId="176" fontId="15" fillId="36" borderId="129" xfId="0" applyNumberFormat="1" applyFont="1" applyFill="1" applyBorder="1" applyAlignment="1" applyProtection="1">
      <alignment horizontal="right" vertical="center" wrapText="1"/>
      <protection/>
    </xf>
    <xf numFmtId="176" fontId="15" fillId="0" borderId="129" xfId="0" applyNumberFormat="1" applyFont="1" applyFill="1" applyBorder="1" applyAlignment="1" applyProtection="1">
      <alignment horizontal="right" vertical="center" wrapText="1"/>
      <protection/>
    </xf>
    <xf numFmtId="176" fontId="15" fillId="0" borderId="63" xfId="0" applyNumberFormat="1" applyFont="1" applyFill="1" applyBorder="1" applyAlignment="1" applyProtection="1">
      <alignment horizontal="right" vertical="center" wrapText="1"/>
      <protection/>
    </xf>
    <xf numFmtId="176" fontId="15" fillId="0" borderId="25" xfId="0" applyNumberFormat="1" applyFont="1" applyFill="1" applyBorder="1" applyAlignment="1" applyProtection="1">
      <alignment horizontal="right" vertical="center" wrapText="1"/>
      <protection/>
    </xf>
    <xf numFmtId="176" fontId="15" fillId="0" borderId="26" xfId="0" applyNumberFormat="1" applyFont="1" applyFill="1" applyBorder="1" applyAlignment="1" applyProtection="1">
      <alignment horizontal="right" vertical="center" wrapText="1"/>
      <protection/>
    </xf>
    <xf numFmtId="176" fontId="15" fillId="0" borderId="12" xfId="0" applyNumberFormat="1" applyFont="1" applyFill="1" applyBorder="1" applyAlignment="1" applyProtection="1">
      <alignment horizontal="right" vertical="center" wrapText="1"/>
      <protection/>
    </xf>
    <xf numFmtId="0" fontId="132" fillId="0" borderId="0" xfId="0" applyFont="1" applyBorder="1" applyAlignment="1" applyProtection="1">
      <alignment horizontal="center" vertical="top" textRotation="255" wrapText="1" shrinkToFit="1"/>
      <protection locked="0"/>
    </xf>
    <xf numFmtId="0" fontId="6" fillId="0" borderId="26" xfId="0" applyFont="1" applyFill="1" applyBorder="1" applyAlignment="1" applyProtection="1">
      <alignment horizontal="center" vertical="center" wrapText="1"/>
      <protection locked="0"/>
    </xf>
    <xf numFmtId="0" fontId="6" fillId="0" borderId="147" xfId="0" applyFont="1" applyFill="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21" fillId="0" borderId="61" xfId="0" applyFont="1" applyBorder="1" applyAlignment="1" applyProtection="1">
      <alignment horizontal="center" vertical="center"/>
      <protection locked="0"/>
    </xf>
    <xf numFmtId="0" fontId="121" fillId="0" borderId="13" xfId="0" applyFont="1" applyBorder="1" applyAlignment="1" applyProtection="1">
      <alignment horizontal="center" vertical="center"/>
      <protection locked="0"/>
    </xf>
    <xf numFmtId="0" fontId="6" fillId="0" borderId="148" xfId="0" applyFont="1" applyBorder="1" applyAlignment="1" applyProtection="1">
      <alignment horizontal="center" vertical="center" wrapText="1"/>
      <protection locked="0"/>
    </xf>
    <xf numFmtId="0" fontId="6" fillId="0" borderId="149" xfId="0" applyFont="1" applyBorder="1" applyAlignment="1" applyProtection="1">
      <alignment horizontal="center" vertical="center" wrapText="1"/>
      <protection locked="0"/>
    </xf>
    <xf numFmtId="0" fontId="6" fillId="0" borderId="150" xfId="0"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38" fontId="25" fillId="0" borderId="0" xfId="50" applyNumberFormat="1" applyFont="1" applyBorder="1" applyAlignment="1" applyProtection="1">
      <alignment horizontal="left" vertical="center"/>
      <protection locked="0"/>
    </xf>
    <xf numFmtId="0" fontId="6" fillId="6" borderId="26" xfId="0" applyFont="1" applyFill="1" applyBorder="1" applyAlignment="1" applyProtection="1">
      <alignment horizontal="center" vertical="center" wrapText="1"/>
      <protection locked="0"/>
    </xf>
    <xf numFmtId="0" fontId="6" fillId="6" borderId="25"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0" fontId="129" fillId="6" borderId="55" xfId="0" applyFont="1" applyFill="1" applyBorder="1" applyAlignment="1" applyProtection="1">
      <alignment horizontal="center" vertical="center"/>
      <protection locked="0"/>
    </xf>
    <xf numFmtId="0" fontId="129" fillId="6" borderId="39" xfId="0" applyFont="1" applyFill="1" applyBorder="1" applyAlignment="1" applyProtection="1">
      <alignment horizontal="center" vertical="center"/>
      <protection locked="0"/>
    </xf>
    <xf numFmtId="0" fontId="129" fillId="6" borderId="26" xfId="0" applyFont="1" applyFill="1" applyBorder="1" applyAlignment="1" applyProtection="1">
      <alignment horizontal="center" vertical="center"/>
      <protection locked="0"/>
    </xf>
    <xf numFmtId="0" fontId="129" fillId="6" borderId="25" xfId="0" applyFont="1" applyFill="1" applyBorder="1" applyAlignment="1" applyProtection="1">
      <alignment horizontal="center" vertical="center"/>
      <protection locked="0"/>
    </xf>
    <xf numFmtId="0" fontId="181" fillId="0" borderId="151" xfId="0" applyFont="1" applyBorder="1" applyAlignment="1" applyProtection="1">
      <alignment horizontal="right" vertical="center"/>
      <protection/>
    </xf>
    <xf numFmtId="0" fontId="138" fillId="0" borderId="152" xfId="0" applyFont="1" applyFill="1" applyBorder="1" applyAlignment="1">
      <alignment horizontal="center" vertical="center"/>
    </xf>
    <xf numFmtId="0" fontId="138" fillId="0" borderId="153" xfId="0" applyFont="1" applyFill="1" applyBorder="1" applyAlignment="1">
      <alignment horizontal="center" vertical="center"/>
    </xf>
    <xf numFmtId="0" fontId="138" fillId="0" borderId="154" xfId="0" applyFont="1" applyFill="1" applyBorder="1" applyAlignment="1">
      <alignment horizontal="center" vertical="center"/>
    </xf>
    <xf numFmtId="0" fontId="182" fillId="0" borderId="50" xfId="0" applyFont="1" applyBorder="1" applyAlignment="1">
      <alignment vertical="center" wrapText="1" shrinkToFit="1"/>
    </xf>
    <xf numFmtId="0" fontId="182" fillId="0" borderId="155" xfId="0" applyFont="1" applyBorder="1" applyAlignment="1">
      <alignment vertical="center" wrapText="1" shrinkToFit="1"/>
    </xf>
    <xf numFmtId="0" fontId="182" fillId="0" borderId="156" xfId="0" applyFont="1" applyBorder="1" applyAlignment="1">
      <alignment vertical="center" wrapText="1" shrinkToFit="1"/>
    </xf>
    <xf numFmtId="0" fontId="182" fillId="0" borderId="157" xfId="0" applyFont="1" applyBorder="1" applyAlignment="1">
      <alignment vertical="center" wrapText="1" shrinkToFit="1"/>
    </xf>
    <xf numFmtId="0" fontId="150" fillId="0" borderId="158" xfId="0" applyFont="1" applyBorder="1" applyAlignment="1" applyProtection="1">
      <alignment vertical="center" wrapText="1"/>
      <protection/>
    </xf>
    <xf numFmtId="0" fontId="150" fillId="0" borderId="159" xfId="0" applyFont="1" applyBorder="1" applyAlignment="1" applyProtection="1">
      <alignment vertical="center" wrapText="1"/>
      <protection/>
    </xf>
    <xf numFmtId="0" fontId="150" fillId="0" borderId="160" xfId="0" applyFont="1" applyBorder="1" applyAlignment="1" applyProtection="1">
      <alignment vertical="center" wrapText="1"/>
      <protection/>
    </xf>
    <xf numFmtId="0" fontId="150" fillId="0" borderId="161" xfId="0" applyFont="1" applyBorder="1" applyAlignment="1" applyProtection="1">
      <alignment vertical="center" wrapText="1"/>
      <protection/>
    </xf>
    <xf numFmtId="0" fontId="150" fillId="0" borderId="0" xfId="0" applyFont="1" applyBorder="1" applyAlignment="1" applyProtection="1">
      <alignment vertical="center" wrapText="1"/>
      <protection/>
    </xf>
    <xf numFmtId="0" fontId="150" fillId="0" borderId="162" xfId="0" applyFont="1" applyBorder="1" applyAlignment="1" applyProtection="1">
      <alignment vertical="center" wrapText="1"/>
      <protection/>
    </xf>
    <xf numFmtId="0" fontId="150" fillId="0" borderId="163" xfId="0" applyFont="1" applyBorder="1" applyAlignment="1" applyProtection="1">
      <alignment vertical="center" wrapText="1"/>
      <protection/>
    </xf>
    <xf numFmtId="0" fontId="150" fillId="0" borderId="164" xfId="0" applyFont="1" applyBorder="1" applyAlignment="1" applyProtection="1">
      <alignment vertical="center" wrapText="1"/>
      <protection/>
    </xf>
    <xf numFmtId="0" fontId="150" fillId="0" borderId="165" xfId="0" applyFont="1" applyBorder="1" applyAlignment="1" applyProtection="1">
      <alignment vertical="center" wrapText="1"/>
      <protection/>
    </xf>
    <xf numFmtId="213" fontId="17" fillId="0" borderId="166" xfId="0" applyNumberFormat="1" applyFont="1" applyFill="1" applyBorder="1" applyAlignment="1" applyProtection="1">
      <alignment horizontal="center" vertical="center"/>
      <protection/>
    </xf>
    <xf numFmtId="0" fontId="17" fillId="0" borderId="167" xfId="0" applyFont="1" applyFill="1" applyBorder="1" applyAlignment="1" applyProtection="1">
      <alignment horizontal="center" vertical="center"/>
      <protection/>
    </xf>
    <xf numFmtId="213" fontId="6" fillId="0" borderId="168" xfId="50" applyNumberFormat="1" applyFont="1" applyFill="1" applyBorder="1" applyAlignment="1" applyProtection="1">
      <alignment horizontal="left" vertical="top" wrapText="1"/>
      <protection/>
    </xf>
    <xf numFmtId="213" fontId="6" fillId="0" borderId="169" xfId="50" applyNumberFormat="1" applyFont="1" applyFill="1" applyBorder="1" applyAlignment="1" applyProtection="1">
      <alignment horizontal="left" vertical="top" wrapText="1"/>
      <protection/>
    </xf>
    <xf numFmtId="213" fontId="20" fillId="0" borderId="170" xfId="50" applyNumberFormat="1" applyFont="1" applyFill="1" applyBorder="1" applyAlignment="1" applyProtection="1">
      <alignment horizontal="right" vertical="center" wrapText="1"/>
      <protection/>
    </xf>
    <xf numFmtId="213" fontId="20" fillId="0" borderId="171" xfId="50" applyNumberFormat="1" applyFont="1" applyFill="1" applyBorder="1" applyAlignment="1" applyProtection="1">
      <alignment horizontal="right" vertical="center" wrapText="1"/>
      <protection/>
    </xf>
    <xf numFmtId="0" fontId="6" fillId="6" borderId="107" xfId="0" applyFont="1" applyFill="1" applyBorder="1" applyAlignment="1" applyProtection="1">
      <alignment vertical="center" wrapText="1"/>
      <protection locked="0"/>
    </xf>
    <xf numFmtId="0" fontId="6" fillId="6" borderId="107" xfId="0" applyFont="1" applyFill="1" applyBorder="1" applyAlignment="1" applyProtection="1">
      <alignment vertical="center"/>
      <protection locked="0"/>
    </xf>
    <xf numFmtId="0" fontId="6" fillId="6" borderId="61" xfId="0" applyFont="1" applyFill="1" applyBorder="1" applyAlignment="1" applyProtection="1">
      <alignment vertical="center"/>
      <protection locked="0"/>
    </xf>
    <xf numFmtId="0" fontId="136" fillId="0" borderId="0" xfId="0" applyFont="1" applyFill="1" applyBorder="1" applyAlignment="1" applyProtection="1">
      <alignment horizontal="center" vertical="center"/>
      <protection locked="0"/>
    </xf>
    <xf numFmtId="176" fontId="15" fillId="0" borderId="172" xfId="0" applyNumberFormat="1" applyFont="1" applyBorder="1" applyAlignment="1" applyProtection="1">
      <alignment horizontal="right" vertical="center"/>
      <protection/>
    </xf>
    <xf numFmtId="0" fontId="148" fillId="0" borderId="173" xfId="0" applyFont="1" applyBorder="1" applyAlignment="1">
      <alignment vertical="center" wrapText="1"/>
    </xf>
    <xf numFmtId="0" fontId="148" fillId="0" borderId="104" xfId="0" applyFont="1" applyBorder="1" applyAlignment="1">
      <alignment vertical="center" wrapText="1"/>
    </xf>
    <xf numFmtId="0" fontId="148" fillId="0" borderId="50" xfId="0" applyFont="1" applyBorder="1" applyAlignment="1">
      <alignment vertical="center" wrapText="1"/>
    </xf>
    <xf numFmtId="0" fontId="148" fillId="0" borderId="155" xfId="0" applyFont="1" applyBorder="1" applyAlignment="1">
      <alignment vertical="center" wrapText="1"/>
    </xf>
    <xf numFmtId="0" fontId="148" fillId="0" borderId="50" xfId="0" applyFont="1" applyBorder="1" applyAlignment="1">
      <alignment vertical="center" wrapText="1" shrinkToFit="1"/>
    </xf>
    <xf numFmtId="0" fontId="148" fillId="0" borderId="155" xfId="0" applyFont="1" applyBorder="1" applyAlignment="1">
      <alignment vertical="center" wrapText="1" shrinkToFit="1"/>
    </xf>
    <xf numFmtId="0" fontId="15" fillId="0" borderId="55"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15" fillId="0" borderId="34" xfId="0" applyFont="1" applyBorder="1" applyAlignment="1" applyProtection="1">
      <alignment vertical="center" wrapText="1"/>
      <protection/>
    </xf>
    <xf numFmtId="0" fontId="15" fillId="0" borderId="39" xfId="0" applyFont="1" applyBorder="1" applyAlignment="1" applyProtection="1">
      <alignment vertical="center" wrapText="1"/>
      <protection/>
    </xf>
    <xf numFmtId="0" fontId="15" fillId="0" borderId="0" xfId="0" applyFont="1" applyBorder="1" applyAlignment="1" applyProtection="1">
      <alignment vertical="center" wrapText="1"/>
      <protection/>
    </xf>
    <xf numFmtId="0" fontId="15" fillId="0" borderId="41" xfId="0" applyFont="1" applyBorder="1" applyAlignment="1" applyProtection="1">
      <alignment vertical="center" wrapText="1"/>
      <protection/>
    </xf>
    <xf numFmtId="0" fontId="11" fillId="0" borderId="174" xfId="0" applyFont="1" applyBorder="1" applyAlignment="1" applyProtection="1">
      <alignment horizontal="center" vertical="center" wrapText="1"/>
      <protection locked="0"/>
    </xf>
    <xf numFmtId="0" fontId="158" fillId="0" borderId="0" xfId="0" applyFont="1" applyAlignment="1" applyProtection="1">
      <alignment vertical="center"/>
      <protection/>
    </xf>
    <xf numFmtId="0" fontId="138" fillId="0" borderId="0" xfId="0" applyFont="1" applyFill="1" applyBorder="1" applyAlignment="1">
      <alignment horizontal="center" vertical="center"/>
    </xf>
    <xf numFmtId="0" fontId="148" fillId="0" borderId="0" xfId="0" applyFont="1" applyFill="1" applyBorder="1" applyAlignment="1">
      <alignment vertical="center" wrapText="1"/>
    </xf>
    <xf numFmtId="0" fontId="11" fillId="0" borderId="175" xfId="0" applyFont="1" applyBorder="1" applyAlignment="1" applyProtection="1">
      <alignment horizontal="center" vertical="center" wrapText="1"/>
      <protection locked="0"/>
    </xf>
    <xf numFmtId="0" fontId="11" fillId="0" borderId="176" xfId="0" applyFont="1" applyBorder="1" applyAlignment="1" applyProtection="1">
      <alignment horizontal="center" vertical="center" wrapText="1"/>
      <protection locked="0"/>
    </xf>
    <xf numFmtId="0" fontId="11" fillId="0" borderId="177" xfId="0" applyFont="1" applyBorder="1" applyAlignment="1" applyProtection="1">
      <alignment horizontal="center" vertical="center" wrapText="1"/>
      <protection locked="0"/>
    </xf>
    <xf numFmtId="0" fontId="136" fillId="0" borderId="178" xfId="0" applyFont="1" applyFill="1" applyBorder="1" applyAlignment="1" applyProtection="1">
      <alignment horizontal="center" vertical="center"/>
      <protection/>
    </xf>
    <xf numFmtId="0" fontId="136" fillId="0" borderId="179" xfId="0" applyFont="1" applyFill="1" applyBorder="1" applyAlignment="1" applyProtection="1">
      <alignment horizontal="center" vertical="center"/>
      <protection/>
    </xf>
    <xf numFmtId="0" fontId="121" fillId="6" borderId="41" xfId="0" applyFont="1" applyFill="1" applyBorder="1" applyAlignment="1" applyProtection="1">
      <alignment horizontal="center" vertical="top" wrapText="1"/>
      <protection locked="0"/>
    </xf>
    <xf numFmtId="0" fontId="121" fillId="6" borderId="25" xfId="0" applyFont="1" applyFill="1" applyBorder="1" applyAlignment="1" applyProtection="1">
      <alignment horizontal="center" vertical="top" wrapText="1"/>
      <protection locked="0"/>
    </xf>
    <xf numFmtId="213" fontId="6" fillId="0" borderId="0" xfId="50" applyNumberFormat="1" applyFont="1" applyFill="1" applyBorder="1" applyAlignment="1" applyProtection="1">
      <alignment horizontal="left" vertical="center" wrapText="1"/>
      <protection/>
    </xf>
    <xf numFmtId="176" fontId="21" fillId="0" borderId="0" xfId="0" applyNumberFormat="1" applyFont="1" applyFill="1" applyBorder="1" applyAlignment="1" applyProtection="1">
      <alignment horizontal="right" vertical="center" wrapText="1"/>
      <protection/>
    </xf>
    <xf numFmtId="0" fontId="0" fillId="0" borderId="0" xfId="0" applyBorder="1" applyAlignment="1" applyProtection="1">
      <alignment horizontal="right" vertical="center"/>
      <protection/>
    </xf>
    <xf numFmtId="0" fontId="0" fillId="0" borderId="41" xfId="0" applyBorder="1" applyAlignment="1" applyProtection="1">
      <alignment horizontal="right" vertical="center" wrapText="1"/>
      <protection/>
    </xf>
    <xf numFmtId="213" fontId="20" fillId="0" borderId="0" xfId="50" applyNumberFormat="1" applyFont="1" applyFill="1" applyBorder="1" applyAlignment="1" applyProtection="1">
      <alignment horizontal="right" vertical="center" wrapText="1"/>
      <protection/>
    </xf>
    <xf numFmtId="213" fontId="6" fillId="0" borderId="0" xfId="50" applyNumberFormat="1" applyFont="1" applyFill="1" applyBorder="1" applyAlignment="1" applyProtection="1">
      <alignment vertical="center" wrapText="1"/>
      <protection/>
    </xf>
    <xf numFmtId="213" fontId="17" fillId="0" borderId="0" xfId="50" applyNumberFormat="1" applyFont="1" applyFill="1" applyBorder="1" applyAlignment="1" applyProtection="1">
      <alignment horizontal="center" vertical="center"/>
      <protection/>
    </xf>
    <xf numFmtId="0" fontId="121" fillId="0" borderId="0" xfId="0" applyFont="1" applyFill="1" applyBorder="1" applyAlignment="1" applyProtection="1">
      <alignment horizontal="center" vertical="top" wrapText="1"/>
      <protection locked="0"/>
    </xf>
    <xf numFmtId="0" fontId="121" fillId="0" borderId="180" xfId="0" applyFont="1" applyBorder="1" applyAlignment="1" applyProtection="1">
      <alignment horizontal="center" vertical="center"/>
      <protection locked="0"/>
    </xf>
    <xf numFmtId="0" fontId="181" fillId="0" borderId="0" xfId="0" applyFont="1" applyFill="1" applyBorder="1" applyAlignment="1" applyProtection="1">
      <alignment horizontal="right" vertical="center"/>
      <protection/>
    </xf>
    <xf numFmtId="0" fontId="0" fillId="0" borderId="41" xfId="0" applyBorder="1" applyAlignment="1" applyProtection="1">
      <alignment horizontal="right" vertical="center"/>
      <protection/>
    </xf>
    <xf numFmtId="222" fontId="124" fillId="0" borderId="0" xfId="0" applyNumberFormat="1" applyFont="1" applyFill="1" applyBorder="1" applyAlignment="1" applyProtection="1">
      <alignment horizontal="right" vertical="center"/>
      <protection/>
    </xf>
    <xf numFmtId="0" fontId="121" fillId="6" borderId="26" xfId="0" applyFont="1" applyFill="1" applyBorder="1" applyAlignment="1" applyProtection="1">
      <alignment horizontal="center" vertical="center" wrapText="1"/>
      <protection locked="0"/>
    </xf>
    <xf numFmtId="0" fontId="121" fillId="6" borderId="25" xfId="0" applyFont="1" applyFill="1" applyBorder="1" applyAlignment="1" applyProtection="1">
      <alignment horizontal="center" vertical="center" wrapText="1"/>
      <protection locked="0"/>
    </xf>
    <xf numFmtId="0" fontId="121" fillId="6" borderId="12" xfId="0" applyFont="1" applyFill="1" applyBorder="1" applyAlignment="1" applyProtection="1">
      <alignment horizontal="center" vertical="center" wrapText="1"/>
      <protection locked="0"/>
    </xf>
    <xf numFmtId="0" fontId="129" fillId="0" borderId="0" xfId="0" applyFont="1" applyBorder="1" applyAlignment="1" applyProtection="1">
      <alignment horizontal="right" vertical="center" wrapText="1"/>
      <protection/>
    </xf>
    <xf numFmtId="0" fontId="103" fillId="0" borderId="41" xfId="0" applyFont="1" applyFill="1" applyBorder="1" applyAlignment="1" applyProtection="1">
      <alignment horizontal="center" vertical="center" textRotation="255"/>
      <protection locked="0"/>
    </xf>
    <xf numFmtId="176" fontId="135" fillId="0" borderId="181" xfId="0" applyNumberFormat="1" applyFont="1" applyFill="1" applyBorder="1" applyAlignment="1" applyProtection="1">
      <alignment vertical="center" wrapText="1"/>
      <protection/>
    </xf>
    <xf numFmtId="176" fontId="135" fillId="0" borderId="182" xfId="0" applyNumberFormat="1" applyFont="1" applyFill="1" applyBorder="1" applyAlignment="1" applyProtection="1">
      <alignment vertical="center" wrapText="1"/>
      <protection/>
    </xf>
    <xf numFmtId="176" fontId="173" fillId="0" borderId="0" xfId="0" applyNumberFormat="1" applyFont="1" applyBorder="1" applyAlignment="1" applyProtection="1">
      <alignment horizontal="center" vertical="center"/>
      <protection/>
    </xf>
    <xf numFmtId="0" fontId="128" fillId="0" borderId="0" xfId="0" applyFont="1" applyAlignment="1" applyProtection="1">
      <alignment horizontal="right" vertical="center" wrapText="1"/>
      <protection/>
    </xf>
    <xf numFmtId="0" fontId="128" fillId="0" borderId="41" xfId="0" applyFont="1" applyBorder="1" applyAlignment="1" applyProtection="1">
      <alignment horizontal="right" vertical="center" wrapText="1"/>
      <protection/>
    </xf>
    <xf numFmtId="0" fontId="128" fillId="0" borderId="0" xfId="0" applyFont="1" applyAlignment="1" applyProtection="1">
      <alignment horizontal="right" vertical="center"/>
      <protection/>
    </xf>
    <xf numFmtId="0" fontId="128" fillId="0" borderId="41" xfId="0" applyFont="1" applyBorder="1" applyAlignment="1" applyProtection="1">
      <alignment horizontal="right" vertical="center"/>
      <protection/>
    </xf>
    <xf numFmtId="0" fontId="183" fillId="6" borderId="183" xfId="0" applyFont="1" applyFill="1" applyBorder="1" applyAlignment="1" applyProtection="1">
      <alignment horizontal="center" vertical="center" textRotation="255"/>
      <protection locked="0"/>
    </xf>
    <xf numFmtId="0" fontId="183" fillId="6" borderId="184" xfId="0" applyFont="1" applyFill="1" applyBorder="1" applyAlignment="1" applyProtection="1">
      <alignment horizontal="center" vertical="center" textRotation="255"/>
      <protection locked="0"/>
    </xf>
    <xf numFmtId="0" fontId="183" fillId="6" borderId="185" xfId="0" applyFont="1" applyFill="1" applyBorder="1" applyAlignment="1" applyProtection="1">
      <alignment horizontal="center" vertical="center" textRotation="255"/>
      <protection locked="0"/>
    </xf>
    <xf numFmtId="0" fontId="144" fillId="0" borderId="26" xfId="0" applyFont="1" applyBorder="1" applyAlignment="1" applyProtection="1">
      <alignment horizontal="center" vertical="center" wrapText="1"/>
      <protection locked="0"/>
    </xf>
    <xf numFmtId="0" fontId="0" fillId="0" borderId="12" xfId="0" applyBorder="1" applyAlignment="1">
      <alignment vertical="center"/>
    </xf>
    <xf numFmtId="0" fontId="143" fillId="0" borderId="23" xfId="0" applyFont="1" applyBorder="1" applyAlignment="1" applyProtection="1">
      <alignment horizontal="center" vertical="center" wrapText="1"/>
      <protection locked="0"/>
    </xf>
    <xf numFmtId="0" fontId="0" fillId="0" borderId="61" xfId="0" applyFont="1" applyBorder="1" applyAlignment="1">
      <alignment vertical="center"/>
    </xf>
    <xf numFmtId="0" fontId="4" fillId="40" borderId="25" xfId="0" applyFont="1" applyFill="1" applyBorder="1" applyAlignment="1" applyProtection="1">
      <alignment horizontal="center" vertical="top" wrapText="1"/>
      <protection locked="0"/>
    </xf>
    <xf numFmtId="0" fontId="124" fillId="40" borderId="12" xfId="0" applyFont="1" applyFill="1" applyBorder="1" applyAlignment="1" applyProtection="1">
      <alignment horizontal="center" vertical="top"/>
      <protection locked="0"/>
    </xf>
    <xf numFmtId="0" fontId="184" fillId="0" borderId="29" xfId="0" applyFont="1" applyBorder="1" applyAlignment="1" applyProtection="1">
      <alignment horizontal="left" vertical="center"/>
      <protection locked="0"/>
    </xf>
    <xf numFmtId="0" fontId="184" fillId="0" borderId="29" xfId="0" applyFont="1" applyBorder="1" applyAlignment="1" applyProtection="1">
      <alignment horizontal="left" vertical="center" wrapText="1"/>
      <protection locked="0"/>
    </xf>
    <xf numFmtId="0" fontId="143" fillId="34" borderId="23" xfId="0" applyFont="1" applyFill="1" applyBorder="1" applyAlignment="1" applyProtection="1">
      <alignment horizontal="center" vertical="center" wrapText="1"/>
      <protection locked="0"/>
    </xf>
    <xf numFmtId="0" fontId="6" fillId="6" borderId="186" xfId="0" applyFont="1" applyFill="1" applyBorder="1" applyAlignment="1" applyProtection="1">
      <alignment horizontal="center" vertical="top" wrapText="1"/>
      <protection locked="0"/>
    </xf>
    <xf numFmtId="0" fontId="6" fillId="6" borderId="134" xfId="0" applyFont="1" applyFill="1" applyBorder="1" applyAlignment="1" applyProtection="1">
      <alignment horizontal="center" vertical="top" wrapText="1"/>
      <protection locked="0"/>
    </xf>
    <xf numFmtId="0" fontId="121" fillId="0" borderId="187" xfId="0" applyFont="1" applyBorder="1" applyAlignment="1" applyProtection="1">
      <alignment horizontal="center" vertical="center"/>
      <protection/>
    </xf>
    <xf numFmtId="0" fontId="121" fillId="0" borderId="188" xfId="0" applyFont="1" applyBorder="1" applyAlignment="1" applyProtection="1">
      <alignment horizontal="center" vertical="center"/>
      <protection/>
    </xf>
    <xf numFmtId="176" fontId="185" fillId="0" borderId="162" xfId="0" applyNumberFormat="1" applyFont="1" applyFill="1" applyBorder="1" applyAlignment="1" applyProtection="1">
      <alignment horizontal="center" vertical="center"/>
      <protection/>
    </xf>
    <xf numFmtId="0" fontId="144" fillId="0" borderId="12" xfId="0" applyFont="1" applyBorder="1" applyAlignment="1" applyProtection="1">
      <alignment horizontal="center" vertical="center" wrapText="1"/>
      <protection locked="0"/>
    </xf>
    <xf numFmtId="0" fontId="144" fillId="0" borderId="55" xfId="0" applyFont="1" applyBorder="1" applyAlignment="1" applyProtection="1">
      <alignment horizontal="center" vertical="center" wrapText="1"/>
      <protection locked="0"/>
    </xf>
    <xf numFmtId="0" fontId="0" fillId="0" borderId="34"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121" fillId="0" borderId="189" xfId="0" applyFont="1" applyBorder="1" applyAlignment="1" applyProtection="1">
      <alignment horizontal="center" vertical="center"/>
      <protection/>
    </xf>
    <xf numFmtId="0" fontId="121" fillId="0" borderId="190" xfId="0" applyFont="1" applyBorder="1" applyAlignment="1" applyProtection="1">
      <alignment horizontal="center" vertical="center"/>
      <protection/>
    </xf>
    <xf numFmtId="0" fontId="186" fillId="0" borderId="35" xfId="0" applyFont="1" applyBorder="1" applyAlignment="1" applyProtection="1">
      <alignment horizontal="center" vertical="center"/>
      <protection/>
    </xf>
    <xf numFmtId="0" fontId="186" fillId="0" borderId="0" xfId="0" applyFont="1" applyBorder="1" applyAlignment="1" applyProtection="1">
      <alignment horizontal="center" vertical="center"/>
      <protection/>
    </xf>
    <xf numFmtId="0" fontId="21" fillId="0" borderId="191" xfId="0" applyNumberFormat="1" applyFont="1" applyFill="1" applyBorder="1" applyAlignment="1" applyProtection="1">
      <alignment horizontal="center" vertical="center"/>
      <protection/>
    </xf>
    <xf numFmtId="0" fontId="21" fillId="0" borderId="192" xfId="0" applyNumberFormat="1" applyFont="1" applyFill="1" applyBorder="1" applyAlignment="1" applyProtection="1">
      <alignment horizontal="center" vertical="center"/>
      <protection/>
    </xf>
    <xf numFmtId="0" fontId="21" fillId="0" borderId="84" xfId="0" applyNumberFormat="1" applyFont="1" applyFill="1" applyBorder="1" applyAlignment="1" applyProtection="1">
      <alignment horizontal="center" vertical="center"/>
      <protection/>
    </xf>
    <xf numFmtId="3" fontId="21" fillId="0" borderId="193" xfId="0" applyNumberFormat="1" applyFont="1" applyFill="1" applyBorder="1" applyAlignment="1" applyProtection="1">
      <alignment vertical="center"/>
      <protection/>
    </xf>
    <xf numFmtId="3" fontId="21" fillId="0" borderId="194" xfId="0" applyNumberFormat="1" applyFont="1" applyFill="1" applyBorder="1" applyAlignment="1" applyProtection="1">
      <alignment vertical="center"/>
      <protection/>
    </xf>
    <xf numFmtId="0" fontId="129" fillId="6" borderId="12" xfId="0" applyFont="1" applyFill="1" applyBorder="1" applyAlignment="1" applyProtection="1">
      <alignment horizontal="center" vertical="center"/>
      <protection locked="0"/>
    </xf>
    <xf numFmtId="0" fontId="129" fillId="6" borderId="25" xfId="0" applyFont="1" applyFill="1" applyBorder="1" applyAlignment="1" applyProtection="1">
      <alignment horizontal="center" vertical="top" wrapText="1"/>
      <protection locked="0"/>
    </xf>
    <xf numFmtId="0" fontId="129" fillId="6" borderId="12" xfId="0" applyFont="1" applyFill="1" applyBorder="1" applyAlignment="1" applyProtection="1">
      <alignment horizontal="center" vertical="top" wrapText="1"/>
      <protection locked="0"/>
    </xf>
    <xf numFmtId="0" fontId="129" fillId="6" borderId="195" xfId="0" applyFont="1" applyFill="1" applyBorder="1" applyAlignment="1" applyProtection="1">
      <alignment horizontal="center" vertical="top" wrapText="1"/>
      <protection locked="0"/>
    </xf>
    <xf numFmtId="0" fontId="0" fillId="0" borderId="128" xfId="0" applyBorder="1" applyAlignment="1">
      <alignment horizontal="center" vertical="top"/>
    </xf>
    <xf numFmtId="0" fontId="186" fillId="0" borderId="196" xfId="0" applyFont="1" applyBorder="1" applyAlignment="1" applyProtection="1">
      <alignment horizontal="center" vertical="center"/>
      <protection/>
    </xf>
    <xf numFmtId="176" fontId="173" fillId="0" borderId="196" xfId="0" applyNumberFormat="1" applyFont="1" applyBorder="1" applyAlignment="1" applyProtection="1">
      <alignment horizontal="center" vertical="center"/>
      <protection/>
    </xf>
    <xf numFmtId="0" fontId="159" fillId="0" borderId="197" xfId="0" applyFont="1" applyBorder="1" applyAlignment="1" applyProtection="1">
      <alignment horizontal="center" vertical="center"/>
      <protection/>
    </xf>
    <xf numFmtId="0" fontId="159" fillId="0" borderId="198" xfId="0" applyFont="1" applyBorder="1" applyAlignment="1" applyProtection="1">
      <alignment horizontal="center" vertical="center"/>
      <protection/>
    </xf>
    <xf numFmtId="0" fontId="159" fillId="0" borderId="199" xfId="0" applyFont="1" applyBorder="1" applyAlignment="1" applyProtection="1">
      <alignment horizontal="center" vertical="center"/>
      <protection/>
    </xf>
    <xf numFmtId="0" fontId="121" fillId="40" borderId="25" xfId="0" applyFont="1" applyFill="1" applyBorder="1" applyAlignment="1" applyProtection="1">
      <alignment horizontal="center" vertical="top" wrapText="1"/>
      <protection locked="0"/>
    </xf>
    <xf numFmtId="0" fontId="29" fillId="0" borderId="0" xfId="0" applyFont="1" applyFill="1" applyBorder="1" applyAlignment="1" applyProtection="1">
      <alignment horizontal="center" vertical="center"/>
      <protection/>
    </xf>
    <xf numFmtId="9" fontId="136" fillId="0" borderId="28" xfId="0" applyNumberFormat="1" applyFont="1" applyFill="1" applyBorder="1" applyAlignment="1" applyProtection="1">
      <alignment horizontal="center" vertical="center"/>
      <protection/>
    </xf>
    <xf numFmtId="9" fontId="136" fillId="0" borderId="200" xfId="0" applyNumberFormat="1" applyFont="1" applyFill="1" applyBorder="1" applyAlignment="1" applyProtection="1">
      <alignment horizontal="center" vertical="center"/>
      <protection/>
    </xf>
    <xf numFmtId="0" fontId="121" fillId="0" borderId="201" xfId="0" applyFont="1" applyBorder="1" applyAlignment="1" applyProtection="1">
      <alignment horizontal="center" vertical="center"/>
      <protection/>
    </xf>
    <xf numFmtId="0" fontId="121" fillId="0" borderId="202" xfId="0" applyFont="1" applyBorder="1" applyAlignment="1" applyProtection="1">
      <alignment horizontal="center" vertical="center"/>
      <protection/>
    </xf>
    <xf numFmtId="176" fontId="18" fillId="0" borderId="203" xfId="0" applyNumberFormat="1" applyFont="1" applyFill="1" applyBorder="1" applyAlignment="1" applyProtection="1">
      <alignment horizontal="center" vertical="center" wrapText="1"/>
      <protection/>
    </xf>
    <xf numFmtId="176" fontId="18" fillId="0" borderId="204" xfId="0" applyNumberFormat="1" applyFont="1" applyFill="1" applyBorder="1" applyAlignment="1" applyProtection="1">
      <alignment horizontal="center" vertical="center" wrapText="1"/>
      <protection/>
    </xf>
    <xf numFmtId="0" fontId="121" fillId="0" borderId="205" xfId="0" applyFont="1" applyBorder="1" applyAlignment="1" applyProtection="1">
      <alignment horizontal="center" vertical="center"/>
      <protection/>
    </xf>
    <xf numFmtId="0" fontId="121" fillId="0" borderId="206" xfId="0" applyFont="1" applyBorder="1" applyAlignment="1" applyProtection="1">
      <alignment horizontal="center" vertical="center"/>
      <protection/>
    </xf>
    <xf numFmtId="3" fontId="21" fillId="0" borderId="191" xfId="0" applyNumberFormat="1" applyFont="1" applyFill="1" applyBorder="1" applyAlignment="1" applyProtection="1">
      <alignment vertical="center"/>
      <protection/>
    </xf>
    <xf numFmtId="3" fontId="21" fillId="0" borderId="192" xfId="0" applyNumberFormat="1" applyFont="1" applyFill="1" applyBorder="1" applyAlignment="1" applyProtection="1">
      <alignment vertical="center"/>
      <protection/>
    </xf>
    <xf numFmtId="0" fontId="21" fillId="0" borderId="207" xfId="0" applyFont="1" applyFill="1" applyBorder="1" applyAlignment="1" applyProtection="1">
      <alignment horizontal="left" vertical="center"/>
      <protection/>
    </xf>
    <xf numFmtId="0" fontId="21" fillId="0" borderId="182" xfId="0" applyFont="1" applyFill="1" applyBorder="1" applyAlignment="1" applyProtection="1">
      <alignment horizontal="left" vertical="center"/>
      <protection/>
    </xf>
    <xf numFmtId="0" fontId="21" fillId="0" borderId="208" xfId="0" applyFont="1" applyFill="1" applyBorder="1" applyAlignment="1" applyProtection="1">
      <alignment horizontal="center" vertical="center" wrapText="1"/>
      <protection/>
    </xf>
    <xf numFmtId="0" fontId="21" fillId="0" borderId="209" xfId="0" applyFont="1" applyFill="1" applyBorder="1" applyAlignment="1" applyProtection="1">
      <alignment horizontal="center" vertical="center" wrapText="1"/>
      <protection/>
    </xf>
    <xf numFmtId="0" fontId="21" fillId="0" borderId="210" xfId="0" applyFont="1" applyFill="1" applyBorder="1" applyAlignment="1" applyProtection="1">
      <alignment horizontal="center" vertical="center" wrapText="1"/>
      <protection/>
    </xf>
    <xf numFmtId="0" fontId="21" fillId="0" borderId="107" xfId="0" applyFont="1" applyFill="1" applyBorder="1" applyAlignment="1" applyProtection="1">
      <alignment horizontal="center" vertical="center" wrapText="1"/>
      <protection/>
    </xf>
    <xf numFmtId="0" fontId="21" fillId="0" borderId="61" xfId="0" applyFont="1" applyFill="1" applyBorder="1" applyAlignment="1" applyProtection="1">
      <alignment horizontal="center" vertical="center" wrapText="1"/>
      <protection/>
    </xf>
    <xf numFmtId="0" fontId="21" fillId="0" borderId="23" xfId="0" applyFont="1" applyFill="1" applyBorder="1" applyAlignment="1" applyProtection="1">
      <alignment horizontal="center" vertical="center" wrapText="1"/>
      <protection/>
    </xf>
    <xf numFmtId="0" fontId="21" fillId="0" borderId="210" xfId="0" applyFont="1" applyFill="1" applyBorder="1" applyAlignment="1" applyProtection="1">
      <alignment horizontal="center" vertical="center"/>
      <protection/>
    </xf>
    <xf numFmtId="0" fontId="21" fillId="0" borderId="107" xfId="0" applyFont="1" applyFill="1" applyBorder="1" applyAlignment="1" applyProtection="1">
      <alignment horizontal="center" vertical="center"/>
      <protection/>
    </xf>
    <xf numFmtId="0" fontId="21" fillId="0" borderId="61" xfId="0"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6" fillId="0" borderId="211" xfId="0" applyFont="1" applyFill="1" applyBorder="1" applyAlignment="1" applyProtection="1">
      <alignment horizontal="left" vertical="center" wrapText="1"/>
      <protection locked="0"/>
    </xf>
    <xf numFmtId="0" fontId="6" fillId="0" borderId="212" xfId="0" applyFont="1" applyFill="1" applyBorder="1" applyAlignment="1" applyProtection="1">
      <alignment horizontal="left" vertical="center" wrapText="1"/>
      <protection locked="0"/>
    </xf>
    <xf numFmtId="38" fontId="135" fillId="7" borderId="35" xfId="50" applyFont="1" applyFill="1" applyBorder="1" applyAlignment="1" applyProtection="1">
      <alignment vertical="center"/>
      <protection locked="0"/>
    </xf>
    <xf numFmtId="38" fontId="135" fillId="7" borderId="213" xfId="50" applyFont="1" applyFill="1" applyBorder="1" applyAlignment="1" applyProtection="1">
      <alignment vertical="center"/>
      <protection locked="0"/>
    </xf>
    <xf numFmtId="176" fontId="135" fillId="7" borderId="26" xfId="0" applyNumberFormat="1" applyFont="1" applyFill="1" applyBorder="1" applyAlignment="1" applyProtection="1">
      <alignment vertical="center" wrapText="1"/>
      <protection locked="0"/>
    </xf>
    <xf numFmtId="176" fontId="135" fillId="7" borderId="63" xfId="0" applyNumberFormat="1" applyFont="1" applyFill="1" applyBorder="1" applyAlignment="1" applyProtection="1">
      <alignment vertical="center" wrapText="1"/>
      <protection locked="0"/>
    </xf>
    <xf numFmtId="176" fontId="135" fillId="7" borderId="85" xfId="0" applyNumberFormat="1" applyFont="1" applyFill="1" applyBorder="1" applyAlignment="1" applyProtection="1">
      <alignment vertical="center" wrapText="1"/>
      <protection locked="0"/>
    </xf>
    <xf numFmtId="176" fontId="135" fillId="7" borderId="214" xfId="0" applyNumberFormat="1" applyFont="1" applyFill="1" applyBorder="1" applyAlignment="1" applyProtection="1">
      <alignment vertical="center" wrapText="1"/>
      <protection locked="0"/>
    </xf>
    <xf numFmtId="0" fontId="6" fillId="0" borderId="215" xfId="0" applyFont="1" applyFill="1" applyBorder="1" applyAlignment="1" applyProtection="1">
      <alignment horizontal="left" vertical="center" wrapText="1"/>
      <protection locked="0"/>
    </xf>
    <xf numFmtId="176" fontId="135" fillId="7" borderId="129" xfId="0" applyNumberFormat="1" applyFont="1" applyFill="1" applyBorder="1" applyAlignment="1" applyProtection="1">
      <alignment vertical="center" wrapText="1"/>
      <protection locked="0"/>
    </xf>
    <xf numFmtId="0" fontId="6" fillId="0" borderId="149" xfId="0" applyFont="1" applyFill="1" applyBorder="1" applyAlignment="1" applyProtection="1">
      <alignment horizontal="left" vertical="center" wrapText="1"/>
      <protection locked="0"/>
    </xf>
    <xf numFmtId="0" fontId="6" fillId="0" borderId="211" xfId="0" applyFont="1" applyFill="1" applyBorder="1" applyAlignment="1" applyProtection="1">
      <alignment horizontal="center" vertical="center" wrapText="1"/>
      <protection locked="0"/>
    </xf>
    <xf numFmtId="0" fontId="6" fillId="0" borderId="216" xfId="0" applyFont="1" applyFill="1" applyBorder="1" applyAlignment="1" applyProtection="1">
      <alignment horizontal="center" vertical="center" wrapText="1"/>
      <protection locked="0"/>
    </xf>
    <xf numFmtId="176" fontId="135" fillId="0" borderId="174" xfId="0" applyNumberFormat="1" applyFont="1" applyFill="1" applyBorder="1" applyAlignment="1" applyProtection="1">
      <alignment vertical="center" wrapText="1"/>
      <protection/>
    </xf>
    <xf numFmtId="176" fontId="135" fillId="0" borderId="217" xfId="0" applyNumberFormat="1" applyFont="1" applyFill="1" applyBorder="1" applyAlignment="1" applyProtection="1">
      <alignment vertical="center" wrapText="1"/>
      <protection/>
    </xf>
    <xf numFmtId="176" fontId="135" fillId="0" borderId="26" xfId="0" applyNumberFormat="1" applyFont="1" applyFill="1" applyBorder="1" applyAlignment="1" applyProtection="1">
      <alignment vertical="center" wrapText="1"/>
      <protection/>
    </xf>
    <xf numFmtId="176" fontId="135" fillId="0" borderId="12" xfId="0" applyNumberFormat="1" applyFont="1" applyFill="1" applyBorder="1" applyAlignment="1" applyProtection="1">
      <alignment vertical="center" wrapText="1"/>
      <protection/>
    </xf>
    <xf numFmtId="176" fontId="135" fillId="0" borderId="218" xfId="0" applyNumberFormat="1" applyFont="1" applyFill="1" applyBorder="1" applyAlignment="1" applyProtection="1">
      <alignment vertical="center" wrapText="1"/>
      <protection/>
    </xf>
    <xf numFmtId="176" fontId="135" fillId="0" borderId="219" xfId="0" applyNumberFormat="1" applyFont="1" applyFill="1" applyBorder="1" applyAlignment="1" applyProtection="1">
      <alignment vertical="center" wrapText="1"/>
      <protection/>
    </xf>
    <xf numFmtId="38" fontId="135" fillId="7" borderId="220" xfId="50" applyFont="1" applyFill="1" applyBorder="1" applyAlignment="1" applyProtection="1">
      <alignment vertical="center"/>
      <protection locked="0"/>
    </xf>
    <xf numFmtId="38" fontId="135" fillId="7" borderId="221" xfId="50" applyFont="1" applyFill="1" applyBorder="1" applyAlignment="1" applyProtection="1">
      <alignment vertical="center"/>
      <protection locked="0"/>
    </xf>
    <xf numFmtId="38" fontId="135" fillId="7" borderId="217" xfId="50" applyFont="1" applyFill="1" applyBorder="1" applyAlignment="1" applyProtection="1">
      <alignment vertical="center"/>
      <protection locked="0"/>
    </xf>
    <xf numFmtId="176" fontId="135" fillId="7" borderId="12" xfId="0" applyNumberFormat="1" applyFont="1" applyFill="1" applyBorder="1" applyAlignment="1" applyProtection="1">
      <alignment vertical="center" wrapText="1"/>
      <protection locked="0"/>
    </xf>
    <xf numFmtId="176" fontId="135" fillId="7" borderId="222" xfId="0" applyNumberFormat="1" applyFont="1" applyFill="1" applyBorder="1" applyAlignment="1" applyProtection="1">
      <alignment vertical="center" wrapText="1"/>
      <protection locked="0"/>
    </xf>
    <xf numFmtId="176" fontId="135" fillId="7" borderId="223" xfId="0" applyNumberFormat="1" applyFont="1" applyFill="1" applyBorder="1" applyAlignment="1" applyProtection="1">
      <alignment vertical="center" wrapText="1"/>
      <protection locked="0"/>
    </xf>
    <xf numFmtId="176" fontId="135" fillId="0" borderId="207" xfId="0" applyNumberFormat="1" applyFont="1" applyFill="1" applyBorder="1" applyAlignment="1" applyProtection="1">
      <alignment vertical="center" wrapText="1"/>
      <protection/>
    </xf>
    <xf numFmtId="176" fontId="135" fillId="0" borderId="224" xfId="0" applyNumberFormat="1" applyFont="1" applyFill="1" applyBorder="1" applyAlignment="1" applyProtection="1">
      <alignment vertical="center" wrapText="1"/>
      <protection/>
    </xf>
    <xf numFmtId="176" fontId="135" fillId="0" borderId="225" xfId="0" applyNumberFormat="1" applyFont="1" applyFill="1" applyBorder="1" applyAlignment="1" applyProtection="1">
      <alignment vertical="center" wrapText="1"/>
      <protection/>
    </xf>
    <xf numFmtId="176" fontId="135" fillId="0" borderId="147" xfId="0" applyNumberFormat="1" applyFont="1" applyFill="1" applyBorder="1" applyAlignment="1" applyProtection="1">
      <alignment vertical="center" wrapText="1"/>
      <protection/>
    </xf>
    <xf numFmtId="176" fontId="135" fillId="0" borderId="129" xfId="0" applyNumberFormat="1" applyFont="1" applyFill="1" applyBorder="1" applyAlignment="1" applyProtection="1">
      <alignment vertical="center" wrapText="1"/>
      <protection/>
    </xf>
    <xf numFmtId="176" fontId="135" fillId="0" borderId="63" xfId="0" applyNumberFormat="1" applyFont="1" applyFill="1" applyBorder="1" applyAlignment="1" applyProtection="1">
      <alignment vertical="center" wrapText="1"/>
      <protection/>
    </xf>
    <xf numFmtId="176" fontId="135" fillId="0" borderId="55" xfId="0" applyNumberFormat="1" applyFont="1" applyFill="1" applyBorder="1" applyAlignment="1" applyProtection="1">
      <alignment vertical="center" wrapText="1"/>
      <protection/>
    </xf>
    <xf numFmtId="176" fontId="135" fillId="0" borderId="226" xfId="0" applyNumberFormat="1" applyFont="1" applyFill="1" applyBorder="1" applyAlignment="1" applyProtection="1">
      <alignment vertical="center" wrapText="1"/>
      <protection/>
    </xf>
    <xf numFmtId="176" fontId="15" fillId="0" borderId="85" xfId="0" applyNumberFormat="1" applyFont="1" applyBorder="1" applyAlignment="1" applyProtection="1">
      <alignment vertical="center"/>
      <protection/>
    </xf>
    <xf numFmtId="176" fontId="15" fillId="0" borderId="227" xfId="0" applyNumberFormat="1" applyFont="1" applyBorder="1" applyAlignment="1" applyProtection="1">
      <alignment vertical="center"/>
      <protection/>
    </xf>
    <xf numFmtId="176" fontId="135" fillId="0" borderId="25" xfId="0" applyNumberFormat="1" applyFont="1" applyFill="1" applyBorder="1" applyAlignment="1" applyProtection="1">
      <alignment vertical="center" wrapText="1"/>
      <protection/>
    </xf>
    <xf numFmtId="176" fontId="135" fillId="0" borderId="39" xfId="0" applyNumberFormat="1" applyFont="1" applyFill="1" applyBorder="1" applyAlignment="1" applyProtection="1">
      <alignment vertical="center" wrapText="1"/>
      <protection/>
    </xf>
    <xf numFmtId="176" fontId="15" fillId="0" borderId="222" xfId="0" applyNumberFormat="1" applyFont="1" applyFill="1" applyBorder="1" applyAlignment="1" applyProtection="1">
      <alignment vertical="center"/>
      <protection/>
    </xf>
    <xf numFmtId="176" fontId="15" fillId="0" borderId="223" xfId="0" applyNumberFormat="1" applyFont="1" applyFill="1" applyBorder="1" applyAlignment="1" applyProtection="1">
      <alignment vertical="center"/>
      <protection/>
    </xf>
    <xf numFmtId="176" fontId="135" fillId="0" borderId="228" xfId="0" applyNumberFormat="1" applyFont="1" applyFill="1" applyBorder="1" applyAlignment="1" applyProtection="1">
      <alignment vertical="center" wrapText="1"/>
      <protection/>
    </xf>
    <xf numFmtId="176" fontId="135" fillId="0" borderId="229" xfId="0" applyNumberFormat="1" applyFont="1" applyFill="1" applyBorder="1" applyAlignment="1" applyProtection="1">
      <alignment vertical="center" wrapText="1"/>
      <protection/>
    </xf>
    <xf numFmtId="176" fontId="15" fillId="0" borderId="222" xfId="0" applyNumberFormat="1" applyFont="1" applyBorder="1" applyAlignment="1" applyProtection="1">
      <alignment vertical="center"/>
      <protection/>
    </xf>
    <xf numFmtId="176" fontId="15" fillId="0" borderId="214" xfId="0" applyNumberFormat="1" applyFont="1" applyBorder="1" applyAlignment="1" applyProtection="1">
      <alignment vertical="center"/>
      <protection/>
    </xf>
    <xf numFmtId="38" fontId="125" fillId="0" borderId="230" xfId="50" applyFont="1" applyBorder="1" applyAlignment="1" applyProtection="1">
      <alignment horizontal="right" vertical="center"/>
      <protection/>
    </xf>
    <xf numFmtId="38" fontId="125" fillId="0" borderId="78" xfId="50" applyFont="1" applyBorder="1" applyAlignment="1" applyProtection="1">
      <alignment horizontal="right" vertical="center"/>
      <protection/>
    </xf>
    <xf numFmtId="38" fontId="125" fillId="0" borderId="230" xfId="50" applyFont="1" applyBorder="1" applyAlignment="1" applyProtection="1">
      <alignment vertical="center"/>
      <protection/>
    </xf>
    <xf numFmtId="38" fontId="125" fillId="0" borderId="78" xfId="50" applyFont="1" applyBorder="1" applyAlignment="1" applyProtection="1">
      <alignment vertical="center"/>
      <protection/>
    </xf>
    <xf numFmtId="0" fontId="155" fillId="33" borderId="230" xfId="0" applyFont="1" applyFill="1" applyBorder="1" applyAlignment="1" applyProtection="1">
      <alignment horizontal="center" vertical="center" wrapText="1"/>
      <protection locked="0"/>
    </xf>
    <xf numFmtId="0" fontId="155" fillId="33" borderId="231" xfId="0" applyFont="1" applyFill="1" applyBorder="1" applyAlignment="1" applyProtection="1">
      <alignment horizontal="center" vertical="center" wrapText="1"/>
      <protection locked="0"/>
    </xf>
    <xf numFmtId="14" fontId="125" fillId="7" borderId="12" xfId="0" applyNumberFormat="1" applyFont="1" applyFill="1" applyBorder="1" applyAlignment="1" applyProtection="1">
      <alignment horizontal="center" vertical="center" wrapText="1"/>
      <protection locked="0"/>
    </xf>
    <xf numFmtId="0" fontId="125" fillId="7" borderId="12" xfId="0" applyFont="1" applyFill="1" applyBorder="1" applyAlignment="1" applyProtection="1">
      <alignment horizontal="center" vertical="center" wrapText="1"/>
      <protection locked="0"/>
    </xf>
    <xf numFmtId="14" fontId="125" fillId="7" borderId="17" xfId="0" applyNumberFormat="1" applyFont="1" applyFill="1" applyBorder="1" applyAlignment="1" applyProtection="1">
      <alignment horizontal="center" vertical="center" wrapText="1"/>
      <protection locked="0"/>
    </xf>
    <xf numFmtId="0" fontId="125" fillId="7" borderId="17" xfId="0" applyFont="1" applyFill="1" applyBorder="1" applyAlignment="1" applyProtection="1">
      <alignment horizontal="center" vertical="center" wrapText="1"/>
      <protection locked="0"/>
    </xf>
    <xf numFmtId="0" fontId="123" fillId="0" borderId="0" xfId="0" applyFont="1" applyAlignment="1" applyProtection="1">
      <alignment horizontal="left" vertical="center"/>
      <protection locked="0"/>
    </xf>
    <xf numFmtId="0" fontId="123" fillId="0" borderId="232" xfId="0" applyFont="1" applyBorder="1" applyAlignment="1" applyProtection="1">
      <alignment horizontal="center" vertical="center" wrapText="1"/>
      <protection locked="0"/>
    </xf>
    <xf numFmtId="0" fontId="123" fillId="0" borderId="233" xfId="0" applyFont="1" applyBorder="1" applyAlignment="1" applyProtection="1">
      <alignment horizontal="center" vertical="center" wrapText="1"/>
      <protection locked="0"/>
    </xf>
    <xf numFmtId="0" fontId="123" fillId="0" borderId="234" xfId="0" applyFont="1" applyBorder="1" applyAlignment="1" applyProtection="1">
      <alignment horizontal="center" vertical="top" wrapText="1"/>
      <protection locked="0"/>
    </xf>
    <xf numFmtId="0" fontId="123" fillId="0" borderId="235" xfId="0" applyFont="1" applyBorder="1" applyAlignment="1" applyProtection="1">
      <alignment horizontal="center" vertical="top" wrapText="1"/>
      <protection locked="0"/>
    </xf>
    <xf numFmtId="0" fontId="123" fillId="33" borderId="236" xfId="0" applyFont="1" applyFill="1" applyBorder="1" applyAlignment="1" applyProtection="1">
      <alignment horizontal="center" vertical="center" wrapText="1"/>
      <protection locked="0"/>
    </xf>
    <xf numFmtId="0" fontId="123" fillId="33" borderId="237" xfId="0" applyFont="1" applyFill="1" applyBorder="1" applyAlignment="1" applyProtection="1">
      <alignment horizontal="center" vertical="center" wrapText="1"/>
      <protection locked="0"/>
    </xf>
    <xf numFmtId="38" fontId="125" fillId="33" borderId="230" xfId="50" applyFont="1" applyFill="1" applyBorder="1" applyAlignment="1" applyProtection="1">
      <alignment vertical="center"/>
      <protection/>
    </xf>
    <xf numFmtId="38" fontId="125" fillId="33" borderId="78" xfId="50" applyFont="1" applyFill="1" applyBorder="1" applyAlignment="1" applyProtection="1">
      <alignment vertical="center"/>
      <protection/>
    </xf>
    <xf numFmtId="0" fontId="123" fillId="0" borderId="10" xfId="0" applyFont="1" applyBorder="1" applyAlignment="1" applyProtection="1">
      <alignment horizontal="center" vertical="center" wrapText="1"/>
      <protection locked="0"/>
    </xf>
    <xf numFmtId="0" fontId="123" fillId="0" borderId="17" xfId="0" applyFont="1" applyBorder="1" applyAlignment="1" applyProtection="1">
      <alignment horizontal="center" vertical="center" wrapText="1"/>
      <protection locked="0"/>
    </xf>
    <xf numFmtId="0" fontId="123" fillId="0" borderId="238" xfId="0" applyFont="1" applyBorder="1" applyAlignment="1" applyProtection="1">
      <alignment horizontal="center" vertical="center" wrapText="1"/>
      <protection locked="0"/>
    </xf>
    <xf numFmtId="0" fontId="123" fillId="0" borderId="22" xfId="0" applyFont="1" applyBorder="1" applyAlignment="1" applyProtection="1">
      <alignment horizontal="center" vertical="center" wrapText="1"/>
      <protection locked="0"/>
    </xf>
    <xf numFmtId="14" fontId="125" fillId="7" borderId="56" xfId="0" applyNumberFormat="1" applyFont="1" applyFill="1" applyBorder="1" applyAlignment="1" applyProtection="1">
      <alignment horizontal="center" vertical="center" wrapText="1"/>
      <protection locked="0"/>
    </xf>
    <xf numFmtId="0" fontId="125" fillId="7" borderId="56" xfId="0" applyFont="1" applyFill="1" applyBorder="1" applyAlignment="1" applyProtection="1">
      <alignment horizontal="center" vertical="center" wrapText="1"/>
      <protection locked="0"/>
    </xf>
    <xf numFmtId="14" fontId="125" fillId="7" borderId="13" xfId="0" applyNumberFormat="1" applyFont="1" applyFill="1" applyBorder="1" applyAlignment="1" applyProtection="1">
      <alignment horizontal="center" vertical="center" wrapText="1"/>
      <protection locked="0"/>
    </xf>
    <xf numFmtId="0" fontId="125" fillId="7" borderId="13" xfId="0" applyFont="1" applyFill="1" applyBorder="1" applyAlignment="1" applyProtection="1">
      <alignment horizontal="center" vertical="center" wrapText="1"/>
      <protection locked="0"/>
    </xf>
    <xf numFmtId="0" fontId="123" fillId="0" borderId="58" xfId="0" applyFont="1" applyBorder="1" applyAlignment="1" applyProtection="1">
      <alignment horizontal="center" vertical="top" wrapText="1"/>
      <protection locked="0"/>
    </xf>
    <xf numFmtId="0" fontId="155" fillId="33" borderId="239" xfId="0" applyFont="1" applyFill="1" applyBorder="1" applyAlignment="1" applyProtection="1">
      <alignment horizontal="center" vertical="center" wrapText="1"/>
      <protection locked="0"/>
    </xf>
    <xf numFmtId="0" fontId="155" fillId="33" borderId="57" xfId="0" applyFont="1" applyFill="1" applyBorder="1" applyAlignment="1" applyProtection="1">
      <alignment horizontal="center" vertical="center" wrapText="1"/>
      <protection locked="0"/>
    </xf>
    <xf numFmtId="0" fontId="123" fillId="0" borderId="58" xfId="0" applyFont="1" applyBorder="1" applyAlignment="1" applyProtection="1">
      <alignment horizontal="center" vertical="top" wrapText="1"/>
      <protection/>
    </xf>
    <xf numFmtId="0" fontId="123" fillId="0" borderId="235" xfId="0" applyFont="1" applyBorder="1" applyAlignment="1" applyProtection="1">
      <alignment horizontal="center" vertical="top" wrapText="1"/>
      <protection/>
    </xf>
    <xf numFmtId="0" fontId="123" fillId="0" borderId="10" xfId="0" applyFont="1" applyBorder="1" applyAlignment="1" applyProtection="1">
      <alignment horizontal="center" vertical="center" wrapText="1"/>
      <protection/>
    </xf>
    <xf numFmtId="0" fontId="123" fillId="0" borderId="17" xfId="0" applyFont="1" applyBorder="1" applyAlignment="1" applyProtection="1">
      <alignment horizontal="center" vertical="center" wrapText="1"/>
      <protection/>
    </xf>
    <xf numFmtId="0" fontId="123" fillId="0" borderId="238" xfId="0" applyFont="1" applyBorder="1" applyAlignment="1" applyProtection="1">
      <alignment horizontal="center" vertical="center" wrapText="1"/>
      <protection/>
    </xf>
    <xf numFmtId="0" fontId="123" fillId="0" borderId="22" xfId="0" applyFont="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9">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border/>
    </dxf>
    <dxf>
      <font>
        <color theme="0"/>
      </font>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38100</xdr:rowOff>
    </xdr:from>
    <xdr:ext cx="666750" cy="238125"/>
    <xdr:sp>
      <xdr:nvSpPr>
        <xdr:cNvPr id="1" name="テキスト ボックス 26"/>
        <xdr:cNvSpPr txBox="1">
          <a:spLocks noChangeArrowheads="1"/>
        </xdr:cNvSpPr>
      </xdr:nvSpPr>
      <xdr:spPr>
        <a:xfrm>
          <a:off x="457200" y="3533775"/>
          <a:ext cx="666750" cy="238125"/>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76200</xdr:rowOff>
    </xdr:from>
    <xdr:ext cx="742950" cy="238125"/>
    <xdr:sp>
      <xdr:nvSpPr>
        <xdr:cNvPr id="2" name="テキスト ボックス 28"/>
        <xdr:cNvSpPr txBox="1">
          <a:spLocks noChangeArrowheads="1"/>
        </xdr:cNvSpPr>
      </xdr:nvSpPr>
      <xdr:spPr>
        <a:xfrm>
          <a:off x="457200" y="2619375"/>
          <a:ext cx="742950" cy="238125"/>
        </a:xfrm>
        <a:prstGeom prst="rect">
          <a:avLst/>
        </a:prstGeom>
        <a:solidFill>
          <a:srgbClr val="FDEADA"/>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42</xdr:row>
      <xdr:rowOff>38100</xdr:rowOff>
    </xdr:from>
    <xdr:to>
      <xdr:col>5</xdr:col>
      <xdr:colOff>609600</xdr:colOff>
      <xdr:row>45</xdr:row>
      <xdr:rowOff>76200</xdr:rowOff>
    </xdr:to>
    <xdr:sp>
      <xdr:nvSpPr>
        <xdr:cNvPr id="1" name="左中かっこ 1"/>
        <xdr:cNvSpPr>
          <a:spLocks/>
        </xdr:cNvSpPr>
      </xdr:nvSpPr>
      <xdr:spPr>
        <a:xfrm>
          <a:off x="5210175" y="15049500"/>
          <a:ext cx="361950" cy="1181100"/>
        </a:xfrm>
        <a:prstGeom prst="leftBrace">
          <a:avLst>
            <a:gd name="adj1" fmla="val -47106"/>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66675</xdr:colOff>
      <xdr:row>25</xdr:row>
      <xdr:rowOff>66675</xdr:rowOff>
    </xdr:from>
    <xdr:to>
      <xdr:col>21</xdr:col>
      <xdr:colOff>9525</xdr:colOff>
      <xdr:row>25</xdr:row>
      <xdr:rowOff>66675</xdr:rowOff>
    </xdr:to>
    <xdr:sp>
      <xdr:nvSpPr>
        <xdr:cNvPr id="2" name="直線コネクタ 2"/>
        <xdr:cNvSpPr>
          <a:spLocks/>
        </xdr:cNvSpPr>
      </xdr:nvSpPr>
      <xdr:spPr>
        <a:xfrm>
          <a:off x="12315825" y="8515350"/>
          <a:ext cx="1146810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18</xdr:col>
      <xdr:colOff>0</xdr:colOff>
      <xdr:row>18</xdr:row>
      <xdr:rowOff>0</xdr:rowOff>
    </xdr:from>
    <xdr:to>
      <xdr:col>18</xdr:col>
      <xdr:colOff>9525</xdr:colOff>
      <xdr:row>18</xdr:row>
      <xdr:rowOff>9525</xdr:rowOff>
    </xdr:to>
    <xdr:pic>
      <xdr:nvPicPr>
        <xdr:cNvPr id="3"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107275" y="5781675"/>
          <a:ext cx="9525" cy="9525"/>
        </a:xfrm>
        <a:prstGeom prst="rect">
          <a:avLst/>
        </a:prstGeom>
        <a:noFill/>
        <a:ln w="9525" cmpd="sng">
          <a:noFill/>
        </a:ln>
      </xdr:spPr>
    </xdr:pic>
    <xdr:clientData/>
  </xdr:twoCellAnchor>
  <xdr:twoCellAnchor editAs="oneCell">
    <xdr:from>
      <xdr:col>18</xdr:col>
      <xdr:colOff>19050</xdr:colOff>
      <xdr:row>18</xdr:row>
      <xdr:rowOff>0</xdr:rowOff>
    </xdr:from>
    <xdr:to>
      <xdr:col>18</xdr:col>
      <xdr:colOff>28575</xdr:colOff>
      <xdr:row>18</xdr:row>
      <xdr:rowOff>9525</xdr:rowOff>
    </xdr:to>
    <xdr:pic>
      <xdr:nvPicPr>
        <xdr:cNvPr id="4"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126325" y="5781675"/>
          <a:ext cx="9525" cy="9525"/>
        </a:xfrm>
        <a:prstGeom prst="rect">
          <a:avLst/>
        </a:prstGeom>
        <a:noFill/>
        <a:ln w="9525" cmpd="sng">
          <a:noFill/>
        </a:ln>
      </xdr:spPr>
    </xdr:pic>
    <xdr:clientData/>
  </xdr:twoCellAnchor>
  <xdr:twoCellAnchor editAs="oneCell">
    <xdr:from>
      <xdr:col>18</xdr:col>
      <xdr:colOff>28575</xdr:colOff>
      <xdr:row>18</xdr:row>
      <xdr:rowOff>0</xdr:rowOff>
    </xdr:from>
    <xdr:to>
      <xdr:col>18</xdr:col>
      <xdr:colOff>38100</xdr:colOff>
      <xdr:row>18</xdr:row>
      <xdr:rowOff>9525</xdr:rowOff>
    </xdr:to>
    <xdr:pic>
      <xdr:nvPicPr>
        <xdr:cNvPr id="5"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135850" y="5781675"/>
          <a:ext cx="9525" cy="9525"/>
        </a:xfrm>
        <a:prstGeom prst="rect">
          <a:avLst/>
        </a:prstGeom>
        <a:noFill/>
        <a:ln w="9525" cmpd="sng">
          <a:noFill/>
        </a:ln>
      </xdr:spPr>
    </xdr:pic>
    <xdr:clientData/>
  </xdr:twoCellAnchor>
  <xdr:twoCellAnchor editAs="oneCell">
    <xdr:from>
      <xdr:col>17</xdr:col>
      <xdr:colOff>0</xdr:colOff>
      <xdr:row>18</xdr:row>
      <xdr:rowOff>0</xdr:rowOff>
    </xdr:from>
    <xdr:to>
      <xdr:col>17</xdr:col>
      <xdr:colOff>9525</xdr:colOff>
      <xdr:row>18</xdr:row>
      <xdr:rowOff>9525</xdr:rowOff>
    </xdr:to>
    <xdr:pic>
      <xdr:nvPicPr>
        <xdr:cNvPr id="6"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7945100" y="5781675"/>
          <a:ext cx="9525" cy="9525"/>
        </a:xfrm>
        <a:prstGeom prst="rect">
          <a:avLst/>
        </a:prstGeom>
        <a:noFill/>
        <a:ln w="9525" cmpd="sng">
          <a:noFill/>
        </a:ln>
      </xdr:spPr>
    </xdr:pic>
    <xdr:clientData/>
  </xdr:twoCellAnchor>
  <xdr:twoCellAnchor editAs="oneCell">
    <xdr:from>
      <xdr:col>17</xdr:col>
      <xdr:colOff>19050</xdr:colOff>
      <xdr:row>18</xdr:row>
      <xdr:rowOff>0</xdr:rowOff>
    </xdr:from>
    <xdr:to>
      <xdr:col>17</xdr:col>
      <xdr:colOff>28575</xdr:colOff>
      <xdr:row>18</xdr:row>
      <xdr:rowOff>9525</xdr:rowOff>
    </xdr:to>
    <xdr:pic>
      <xdr:nvPicPr>
        <xdr:cNvPr id="7"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7964150" y="5781675"/>
          <a:ext cx="9525" cy="9525"/>
        </a:xfrm>
        <a:prstGeom prst="rect">
          <a:avLst/>
        </a:prstGeom>
        <a:noFill/>
        <a:ln w="9525" cmpd="sng">
          <a:noFill/>
        </a:ln>
      </xdr:spPr>
    </xdr:pic>
    <xdr:clientData/>
  </xdr:twoCellAnchor>
  <xdr:twoCellAnchor editAs="oneCell">
    <xdr:from>
      <xdr:col>17</xdr:col>
      <xdr:colOff>38100</xdr:colOff>
      <xdr:row>18</xdr:row>
      <xdr:rowOff>0</xdr:rowOff>
    </xdr:from>
    <xdr:to>
      <xdr:col>17</xdr:col>
      <xdr:colOff>57150</xdr:colOff>
      <xdr:row>18</xdr:row>
      <xdr:rowOff>9525</xdr:rowOff>
    </xdr:to>
    <xdr:pic>
      <xdr:nvPicPr>
        <xdr:cNvPr id="8"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7983200" y="5781675"/>
          <a:ext cx="9525" cy="9525"/>
        </a:xfrm>
        <a:prstGeom prst="rect">
          <a:avLst/>
        </a:prstGeom>
        <a:noFill/>
        <a:ln w="9525" cmpd="sng">
          <a:noFill/>
        </a:ln>
      </xdr:spPr>
    </xdr:pic>
    <xdr:clientData/>
  </xdr:twoCellAnchor>
  <xdr:twoCellAnchor>
    <xdr:from>
      <xdr:col>21</xdr:col>
      <xdr:colOff>0</xdr:colOff>
      <xdr:row>2</xdr:row>
      <xdr:rowOff>0</xdr:rowOff>
    </xdr:from>
    <xdr:to>
      <xdr:col>21</xdr:col>
      <xdr:colOff>9525</xdr:colOff>
      <xdr:row>25</xdr:row>
      <xdr:rowOff>66675</xdr:rowOff>
    </xdr:to>
    <xdr:sp>
      <xdr:nvSpPr>
        <xdr:cNvPr id="9" name="直線コネクタ 9"/>
        <xdr:cNvSpPr>
          <a:spLocks/>
        </xdr:cNvSpPr>
      </xdr:nvSpPr>
      <xdr:spPr>
        <a:xfrm>
          <a:off x="23774400" y="342900"/>
          <a:ext cx="9525" cy="817245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7-2&#27425;&#12288;&#32032;&#26696;\H27-2&#27425;&#12288;&#32032;&#26696;\0817H27-2&#27425;&#12288;&#20132;&#20184;&#30003;&#35531;&#32032;&#26696;(&#20013;&#22830;&#20250;&#25351;&#25688;&#20998;&#20462;&#27491;&#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基本情報入力（使い方）"/>
      <sheetName val="設定"/>
      <sheetName val="経費明細表"/>
      <sheetName val="日本標準産業分類"/>
      <sheetName val="機械装置費（50万円以上）"/>
      <sheetName val="機械装置費（50万円未満）"/>
      <sheetName val="技術導入費"/>
      <sheetName val="運搬費"/>
      <sheetName val="専門家経費"/>
    </sheetNames>
    <sheetDataSet>
      <sheetData sheetId="1">
        <row r="21">
          <cell r="C2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2"/>
  <dimension ref="B1:E13"/>
  <sheetViews>
    <sheetView tabSelected="1" zoomScalePageLayoutView="0" workbookViewId="0" topLeftCell="A1">
      <selection activeCell="A1" sqref="A1"/>
    </sheetView>
  </sheetViews>
  <sheetFormatPr defaultColWidth="9.140625" defaultRowHeight="19.5" customHeight="1"/>
  <cols>
    <col min="1" max="1" width="2.57421875" style="0" customWidth="1"/>
    <col min="2" max="2" width="3.421875" style="0" bestFit="1" customWidth="1"/>
    <col min="3" max="3" width="43.7109375" style="0" customWidth="1"/>
  </cols>
  <sheetData>
    <row r="1" spans="2:5" ht="19.5" customHeight="1">
      <c r="B1" s="220" t="s">
        <v>687</v>
      </c>
      <c r="D1" s="199"/>
      <c r="E1" s="199"/>
    </row>
    <row r="2" spans="2:4" ht="19.5" customHeight="1">
      <c r="B2" s="330"/>
      <c r="C2" s="199"/>
      <c r="D2" s="199"/>
    </row>
    <row r="3" spans="2:4" ht="19.5" customHeight="1">
      <c r="B3" t="s">
        <v>686</v>
      </c>
      <c r="C3" s="199"/>
      <c r="D3" s="199"/>
    </row>
    <row r="4" spans="2:3" ht="19.5" customHeight="1" thickBot="1">
      <c r="B4" s="227" t="s">
        <v>624</v>
      </c>
      <c r="C4" s="227" t="s">
        <v>622</v>
      </c>
    </row>
    <row r="5" spans="2:3" ht="19.5" customHeight="1" thickTop="1">
      <c r="B5" s="228">
        <v>1</v>
      </c>
      <c r="C5" s="226" t="s">
        <v>623</v>
      </c>
    </row>
    <row r="6" spans="2:3" ht="19.5" customHeight="1">
      <c r="B6" s="229">
        <v>2</v>
      </c>
      <c r="C6" s="221" t="s">
        <v>683</v>
      </c>
    </row>
    <row r="7" spans="2:3" ht="19.5" customHeight="1">
      <c r="B7" s="229">
        <v>3</v>
      </c>
      <c r="C7" s="221" t="s">
        <v>684</v>
      </c>
    </row>
    <row r="8" spans="2:3" ht="19.5" customHeight="1">
      <c r="B8" s="229">
        <v>4</v>
      </c>
      <c r="C8" s="221" t="s">
        <v>685</v>
      </c>
    </row>
    <row r="9" spans="2:3" ht="19.5" customHeight="1">
      <c r="B9" s="229">
        <v>5</v>
      </c>
      <c r="C9" s="221" t="s">
        <v>671</v>
      </c>
    </row>
    <row r="10" spans="2:3" ht="19.5" customHeight="1">
      <c r="B10" s="229">
        <v>6</v>
      </c>
      <c r="C10" s="221" t="s">
        <v>626</v>
      </c>
    </row>
    <row r="11" spans="2:3" ht="19.5" customHeight="1">
      <c r="B11" s="229">
        <v>7</v>
      </c>
      <c r="C11" s="221" t="s">
        <v>31</v>
      </c>
    </row>
    <row r="12" spans="2:3" ht="19.5" customHeight="1">
      <c r="B12" s="229">
        <v>8</v>
      </c>
      <c r="C12" s="221" t="s">
        <v>32</v>
      </c>
    </row>
    <row r="13" spans="2:3" ht="19.5" customHeight="1">
      <c r="B13" s="229">
        <v>9</v>
      </c>
      <c r="C13" s="221" t="s">
        <v>631</v>
      </c>
    </row>
  </sheetData>
  <sheetProtection sheet="1"/>
  <hyperlinks>
    <hyperlink ref="C6" location="'基本情報入力（使い方）'!A1" display="基本情報入力（使い方）"/>
    <hyperlink ref="C7" location="経費明細表!A1" display="経費明細"/>
    <hyperlink ref="C8" location="日本標準産業分類!A1" display="日本標準産業分類"/>
    <hyperlink ref="C9" location="'機械装置費（50万円以上）'!A1" display="機械装置費（50万円以上）"/>
    <hyperlink ref="C10" location="'機械装置費（50万円未満）'!A1" display="機械装置費（50万円未満）"/>
    <hyperlink ref="C11" location="技術導入費!A1" display="技術導入費"/>
    <hyperlink ref="C12" location="運搬費!A1" display="運搬費"/>
    <hyperlink ref="C13" location="専門家経費!A1" display="専門家経費"/>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3" sqref="A13"/>
      <selection pane="bottomLeft" activeCell="A1" sqref="A1"/>
    </sheetView>
  </sheetViews>
  <sheetFormatPr defaultColWidth="9.140625" defaultRowHeight="15"/>
  <cols>
    <col min="1" max="4" width="3.7109375" style="3" customWidth="1"/>
    <col min="5" max="5" width="16.421875" style="222" customWidth="1"/>
    <col min="6" max="6" width="16.140625" style="222"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235"/>
      <c r="H1" s="8"/>
      <c r="P1" s="8"/>
      <c r="Q1" s="236"/>
      <c r="R1" s="236"/>
    </row>
    <row r="2" spans="1:18" ht="13.5">
      <c r="A2" s="8"/>
      <c r="B2" s="271" t="s">
        <v>656</v>
      </c>
      <c r="E2" s="235"/>
      <c r="H2" s="8"/>
      <c r="P2" s="8"/>
      <c r="Q2" s="236"/>
      <c r="R2" s="236"/>
    </row>
    <row r="3" spans="1:18" ht="13.5">
      <c r="A3" s="8"/>
      <c r="E3" s="235"/>
      <c r="H3" s="8"/>
      <c r="P3" s="8"/>
      <c r="Q3" s="236"/>
      <c r="R3" s="236"/>
    </row>
    <row r="4" spans="1:6" ht="13.5" customHeight="1">
      <c r="A4" s="852" t="s">
        <v>18</v>
      </c>
      <c r="B4" s="852"/>
      <c r="C4" s="852"/>
      <c r="D4" s="852"/>
      <c r="E4" s="852"/>
      <c r="F4" s="8"/>
    </row>
    <row r="5" spans="1:14" ht="13.5" customHeight="1">
      <c r="A5" s="17"/>
      <c r="B5" s="17"/>
      <c r="C5" s="17"/>
      <c r="D5" s="17"/>
      <c r="E5" s="237"/>
      <c r="F5" s="8"/>
      <c r="N5" s="17"/>
    </row>
    <row r="6" spans="1:14" ht="13.5" customHeight="1">
      <c r="A6" s="17"/>
      <c r="B6" s="17"/>
      <c r="C6" s="237" t="s">
        <v>764</v>
      </c>
      <c r="D6" s="17"/>
      <c r="E6" s="237"/>
      <c r="F6" s="238" t="s">
        <v>17</v>
      </c>
      <c r="N6" s="17"/>
    </row>
    <row r="7" spans="1:14" ht="13.5" customHeight="1">
      <c r="A7" s="17"/>
      <c r="B7" s="17"/>
      <c r="C7" s="17"/>
      <c r="D7" s="17"/>
      <c r="E7" s="237"/>
      <c r="F7" s="270" t="s">
        <v>631</v>
      </c>
      <c r="N7" s="17"/>
    </row>
    <row r="8" spans="1:15" ht="13.5" customHeight="1">
      <c r="A8" s="17"/>
      <c r="B8" s="17"/>
      <c r="C8" s="17"/>
      <c r="D8" s="17"/>
      <c r="E8" s="237"/>
      <c r="F8" s="8"/>
      <c r="M8" s="3" t="s">
        <v>20</v>
      </c>
      <c r="N8" s="17"/>
      <c r="O8" s="239"/>
    </row>
    <row r="9" spans="1:15" ht="13.5" customHeight="1">
      <c r="A9" s="240"/>
      <c r="F9" s="8"/>
      <c r="K9" s="542" t="s">
        <v>34</v>
      </c>
      <c r="L9" s="12" t="str">
        <f>IF(OR('基本情報入力（使い方）'!C12="",'基本情報入力（使い方）'!C12=0),"",'基本情報入力（使い方）'!C12)</f>
        <v>Ｂ金属株式会社</v>
      </c>
      <c r="M9" s="558"/>
      <c r="N9" s="543"/>
      <c r="O9" s="535"/>
    </row>
    <row r="10" spans="1:15" ht="13.5" customHeight="1" thickBot="1">
      <c r="A10" s="240"/>
      <c r="F10" s="8"/>
      <c r="K10" s="534"/>
      <c r="L10" s="534"/>
      <c r="M10" s="534"/>
      <c r="N10" s="543"/>
      <c r="O10" s="535"/>
    </row>
    <row r="11" spans="1:15" ht="27" customHeight="1">
      <c r="A11" s="853" t="s">
        <v>2</v>
      </c>
      <c r="B11" s="855" t="s">
        <v>3</v>
      </c>
      <c r="C11" s="855"/>
      <c r="D11" s="856"/>
      <c r="E11" s="5" t="s">
        <v>4</v>
      </c>
      <c r="F11" s="5" t="s">
        <v>5</v>
      </c>
      <c r="G11" s="5" t="s">
        <v>6</v>
      </c>
      <c r="H11" s="5" t="s">
        <v>7</v>
      </c>
      <c r="I11" s="5" t="s">
        <v>0</v>
      </c>
      <c r="J11" s="5" t="s">
        <v>0</v>
      </c>
      <c r="K11" s="872" t="s">
        <v>8</v>
      </c>
      <c r="L11" s="873"/>
      <c r="M11" s="559" t="s">
        <v>9</v>
      </c>
      <c r="N11" s="874" t="s">
        <v>2</v>
      </c>
      <c r="O11" s="876" t="s">
        <v>37</v>
      </c>
    </row>
    <row r="12" spans="1:15" ht="42" customHeight="1" thickBot="1">
      <c r="A12" s="854"/>
      <c r="B12" s="242" t="s">
        <v>10</v>
      </c>
      <c r="C12" s="242" t="s">
        <v>11</v>
      </c>
      <c r="D12" s="243" t="s">
        <v>12</v>
      </c>
      <c r="E12" s="244"/>
      <c r="F12" s="245"/>
      <c r="G12" s="223"/>
      <c r="H12" s="223"/>
      <c r="I12" s="223" t="s">
        <v>13</v>
      </c>
      <c r="J12" s="223" t="s">
        <v>24</v>
      </c>
      <c r="K12" s="560" t="s">
        <v>14</v>
      </c>
      <c r="L12" s="561" t="s">
        <v>23</v>
      </c>
      <c r="M12" s="560" t="s">
        <v>15</v>
      </c>
      <c r="N12" s="875"/>
      <c r="O12" s="877"/>
    </row>
    <row r="13" spans="1:15" ht="30.75" customHeight="1">
      <c r="A13" s="20">
        <v>1</v>
      </c>
      <c r="B13" s="865">
        <v>42729</v>
      </c>
      <c r="C13" s="866"/>
      <c r="D13" s="866"/>
      <c r="E13" s="246" t="s">
        <v>654</v>
      </c>
      <c r="F13" s="211" t="s">
        <v>759</v>
      </c>
      <c r="G13" s="303">
        <v>22</v>
      </c>
      <c r="H13" s="294" t="s">
        <v>655</v>
      </c>
      <c r="I13" s="14">
        <f>IF(J13="","",ROUNDDOWN(J13*(1+O13/100),0))</f>
        <v>54000</v>
      </c>
      <c r="J13" s="299">
        <v>50000</v>
      </c>
      <c r="K13" s="14">
        <f>IF(L13="","",ROUNDDOWN(L13*(1+O13/100),0))</f>
        <v>1188000</v>
      </c>
      <c r="L13" s="14">
        <f>IF(OR(J13="",G13=""),"",ROUNDDOWN(J13*G13,0))</f>
        <v>1100000</v>
      </c>
      <c r="M13" s="15">
        <f aca="true" t="shared" si="0" ref="M13:M32">L13</f>
        <v>1100000</v>
      </c>
      <c r="N13" s="555">
        <v>1</v>
      </c>
      <c r="O13" s="533">
        <v>8</v>
      </c>
    </row>
    <row r="14" spans="1:15" ht="30.75" customHeight="1">
      <c r="A14" s="21">
        <v>2</v>
      </c>
      <c r="B14" s="848"/>
      <c r="C14" s="849"/>
      <c r="D14" s="849"/>
      <c r="E14" s="247"/>
      <c r="F14" s="213"/>
      <c r="G14" s="269"/>
      <c r="H14" s="295"/>
      <c r="I14" s="14">
        <f aca="true" t="shared" si="1" ref="I14:I32">IF(J14="","",ROUNDDOWN(J14*(1+O14/100),0))</f>
      </c>
      <c r="J14" s="216"/>
      <c r="K14" s="14">
        <f aca="true" t="shared" si="2" ref="K14:K32">IF(L14="","",ROUNDDOWN(L14*(1+O14/100),0))</f>
      </c>
      <c r="L14" s="14">
        <f aca="true" t="shared" si="3" ref="L14:L32">IF(OR(J14="",G14=""),"",ROUNDDOWN(J14*G14,0))</f>
      </c>
      <c r="M14" s="15">
        <f t="shared" si="0"/>
      </c>
      <c r="N14" s="556">
        <v>2</v>
      </c>
      <c r="O14" s="533">
        <v>8</v>
      </c>
    </row>
    <row r="15" spans="1:15" ht="30.75" customHeight="1">
      <c r="A15" s="21">
        <v>3</v>
      </c>
      <c r="B15" s="848"/>
      <c r="C15" s="849"/>
      <c r="D15" s="849"/>
      <c r="E15" s="247"/>
      <c r="F15" s="213"/>
      <c r="G15" s="269"/>
      <c r="H15" s="295"/>
      <c r="I15" s="14">
        <f t="shared" si="1"/>
      </c>
      <c r="J15" s="216"/>
      <c r="K15" s="14">
        <f t="shared" si="2"/>
      </c>
      <c r="L15" s="14">
        <f t="shared" si="3"/>
      </c>
      <c r="M15" s="15">
        <f t="shared" si="0"/>
      </c>
      <c r="N15" s="555">
        <v>3</v>
      </c>
      <c r="O15" s="533">
        <v>8</v>
      </c>
    </row>
    <row r="16" spans="1:15" ht="30.75" customHeight="1">
      <c r="A16" s="21">
        <v>4</v>
      </c>
      <c r="B16" s="848"/>
      <c r="C16" s="849"/>
      <c r="D16" s="849"/>
      <c r="E16" s="247"/>
      <c r="F16" s="213"/>
      <c r="G16" s="269"/>
      <c r="H16" s="295"/>
      <c r="I16" s="14">
        <f t="shared" si="1"/>
      </c>
      <c r="J16" s="216"/>
      <c r="K16" s="14">
        <f t="shared" si="2"/>
      </c>
      <c r="L16" s="14">
        <f t="shared" si="3"/>
      </c>
      <c r="M16" s="15">
        <f t="shared" si="0"/>
      </c>
      <c r="N16" s="556">
        <v>4</v>
      </c>
      <c r="O16" s="533">
        <v>8</v>
      </c>
    </row>
    <row r="17" spans="1:15" ht="30.75" customHeight="1">
      <c r="A17" s="21">
        <v>5</v>
      </c>
      <c r="B17" s="848"/>
      <c r="C17" s="849"/>
      <c r="D17" s="849"/>
      <c r="E17" s="247"/>
      <c r="F17" s="213"/>
      <c r="G17" s="269"/>
      <c r="H17" s="295"/>
      <c r="I17" s="14">
        <f t="shared" si="1"/>
      </c>
      <c r="J17" s="216"/>
      <c r="K17" s="14">
        <f t="shared" si="2"/>
      </c>
      <c r="L17" s="14">
        <f t="shared" si="3"/>
      </c>
      <c r="M17" s="15">
        <f t="shared" si="0"/>
      </c>
      <c r="N17" s="555">
        <v>5</v>
      </c>
      <c r="O17" s="533">
        <v>8</v>
      </c>
    </row>
    <row r="18" spans="1:15" ht="30.75" customHeight="1">
      <c r="A18" s="21">
        <v>6</v>
      </c>
      <c r="B18" s="848"/>
      <c r="C18" s="849"/>
      <c r="D18" s="849"/>
      <c r="E18" s="247"/>
      <c r="F18" s="213"/>
      <c r="G18" s="269"/>
      <c r="H18" s="295"/>
      <c r="I18" s="14">
        <f t="shared" si="1"/>
      </c>
      <c r="J18" s="216"/>
      <c r="K18" s="14">
        <f t="shared" si="2"/>
      </c>
      <c r="L18" s="14">
        <f t="shared" si="3"/>
      </c>
      <c r="M18" s="15">
        <f t="shared" si="0"/>
      </c>
      <c r="N18" s="556">
        <v>6</v>
      </c>
      <c r="O18" s="533">
        <v>8</v>
      </c>
    </row>
    <row r="19" spans="1:15" ht="30.75" customHeight="1">
      <c r="A19" s="21">
        <v>7</v>
      </c>
      <c r="B19" s="848"/>
      <c r="C19" s="849"/>
      <c r="D19" s="849"/>
      <c r="E19" s="247"/>
      <c r="F19" s="248"/>
      <c r="G19" s="269"/>
      <c r="H19" s="295"/>
      <c r="I19" s="14">
        <f t="shared" si="1"/>
      </c>
      <c r="J19" s="216"/>
      <c r="K19" s="14">
        <f t="shared" si="2"/>
      </c>
      <c r="L19" s="14">
        <f t="shared" si="3"/>
      </c>
      <c r="M19" s="15">
        <f t="shared" si="0"/>
      </c>
      <c r="N19" s="555">
        <v>7</v>
      </c>
      <c r="O19" s="533">
        <v>8</v>
      </c>
    </row>
    <row r="20" spans="1:15" ht="30.75" customHeight="1">
      <c r="A20" s="21">
        <v>8</v>
      </c>
      <c r="B20" s="848"/>
      <c r="C20" s="849"/>
      <c r="D20" s="849"/>
      <c r="E20" s="247"/>
      <c r="F20" s="213"/>
      <c r="G20" s="269"/>
      <c r="H20" s="295"/>
      <c r="I20" s="14">
        <f t="shared" si="1"/>
      </c>
      <c r="J20" s="216"/>
      <c r="K20" s="14">
        <f t="shared" si="2"/>
      </c>
      <c r="L20" s="14">
        <f t="shared" si="3"/>
      </c>
      <c r="M20" s="15">
        <f t="shared" si="0"/>
      </c>
      <c r="N20" s="556">
        <v>8</v>
      </c>
      <c r="O20" s="533">
        <v>8</v>
      </c>
    </row>
    <row r="21" spans="1:15" ht="30.75" customHeight="1">
      <c r="A21" s="21">
        <v>9</v>
      </c>
      <c r="B21" s="848"/>
      <c r="C21" s="849"/>
      <c r="D21" s="849"/>
      <c r="E21" s="247"/>
      <c r="F21" s="213"/>
      <c r="G21" s="269"/>
      <c r="H21" s="295"/>
      <c r="I21" s="14">
        <f t="shared" si="1"/>
      </c>
      <c r="J21" s="216"/>
      <c r="K21" s="14">
        <f t="shared" si="2"/>
      </c>
      <c r="L21" s="14">
        <f t="shared" si="3"/>
      </c>
      <c r="M21" s="15">
        <f t="shared" si="0"/>
      </c>
      <c r="N21" s="555">
        <v>9</v>
      </c>
      <c r="O21" s="533">
        <v>8</v>
      </c>
    </row>
    <row r="22" spans="1:15" ht="30.75" customHeight="1">
      <c r="A22" s="21">
        <v>10</v>
      </c>
      <c r="B22" s="848"/>
      <c r="C22" s="849"/>
      <c r="D22" s="849"/>
      <c r="E22" s="247"/>
      <c r="F22" s="213"/>
      <c r="G22" s="269"/>
      <c r="H22" s="295"/>
      <c r="I22" s="14">
        <f t="shared" si="1"/>
      </c>
      <c r="J22" s="216"/>
      <c r="K22" s="14">
        <f t="shared" si="2"/>
      </c>
      <c r="L22" s="14">
        <f t="shared" si="3"/>
      </c>
      <c r="M22" s="15">
        <f t="shared" si="0"/>
      </c>
      <c r="N22" s="556">
        <v>10</v>
      </c>
      <c r="O22" s="533">
        <v>8</v>
      </c>
    </row>
    <row r="23" spans="1:15" ht="30.75" customHeight="1">
      <c r="A23" s="21">
        <v>11</v>
      </c>
      <c r="B23" s="848"/>
      <c r="C23" s="849"/>
      <c r="D23" s="849"/>
      <c r="E23" s="247"/>
      <c r="F23" s="213"/>
      <c r="G23" s="269"/>
      <c r="H23" s="295"/>
      <c r="I23" s="14">
        <f t="shared" si="1"/>
      </c>
      <c r="J23" s="216"/>
      <c r="K23" s="14">
        <f t="shared" si="2"/>
      </c>
      <c r="L23" s="14">
        <f t="shared" si="3"/>
      </c>
      <c r="M23" s="15">
        <f t="shared" si="0"/>
      </c>
      <c r="N23" s="555">
        <v>11</v>
      </c>
      <c r="O23" s="533">
        <v>8</v>
      </c>
    </row>
    <row r="24" spans="1:15" ht="30.75" customHeight="1">
      <c r="A24" s="21">
        <v>12</v>
      </c>
      <c r="B24" s="848"/>
      <c r="C24" s="849"/>
      <c r="D24" s="849"/>
      <c r="E24" s="247"/>
      <c r="F24" s="213"/>
      <c r="G24" s="269"/>
      <c r="H24" s="295"/>
      <c r="I24" s="14">
        <f t="shared" si="1"/>
      </c>
      <c r="J24" s="216"/>
      <c r="K24" s="14">
        <f t="shared" si="2"/>
      </c>
      <c r="L24" s="14">
        <f t="shared" si="3"/>
      </c>
      <c r="M24" s="15">
        <f t="shared" si="0"/>
      </c>
      <c r="N24" s="556">
        <v>12</v>
      </c>
      <c r="O24" s="533">
        <v>8</v>
      </c>
    </row>
    <row r="25" spans="1:15" ht="30.75" customHeight="1">
      <c r="A25" s="21">
        <v>13</v>
      </c>
      <c r="B25" s="848"/>
      <c r="C25" s="849"/>
      <c r="D25" s="849"/>
      <c r="E25" s="247"/>
      <c r="F25" s="213"/>
      <c r="G25" s="269"/>
      <c r="H25" s="295"/>
      <c r="I25" s="14">
        <f t="shared" si="1"/>
      </c>
      <c r="J25" s="216"/>
      <c r="K25" s="14">
        <f t="shared" si="2"/>
      </c>
      <c r="L25" s="14">
        <f t="shared" si="3"/>
      </c>
      <c r="M25" s="15">
        <f t="shared" si="0"/>
      </c>
      <c r="N25" s="555">
        <v>13</v>
      </c>
      <c r="O25" s="533">
        <v>8</v>
      </c>
    </row>
    <row r="26" spans="1:15" ht="30.75" customHeight="1">
      <c r="A26" s="21">
        <v>14</v>
      </c>
      <c r="B26" s="848"/>
      <c r="C26" s="849"/>
      <c r="D26" s="849"/>
      <c r="E26" s="249"/>
      <c r="F26" s="213"/>
      <c r="G26" s="269"/>
      <c r="H26" s="295"/>
      <c r="I26" s="14">
        <f t="shared" si="1"/>
      </c>
      <c r="J26" s="216"/>
      <c r="K26" s="14">
        <f t="shared" si="2"/>
      </c>
      <c r="L26" s="14">
        <f t="shared" si="3"/>
      </c>
      <c r="M26" s="15">
        <f t="shared" si="0"/>
      </c>
      <c r="N26" s="556">
        <v>14</v>
      </c>
      <c r="O26" s="533">
        <v>8</v>
      </c>
    </row>
    <row r="27" spans="1:15" ht="30.75" customHeight="1">
      <c r="A27" s="21">
        <v>15</v>
      </c>
      <c r="B27" s="848"/>
      <c r="C27" s="849"/>
      <c r="D27" s="849"/>
      <c r="E27" s="249"/>
      <c r="F27" s="213"/>
      <c r="G27" s="269"/>
      <c r="H27" s="295"/>
      <c r="I27" s="14">
        <f t="shared" si="1"/>
      </c>
      <c r="J27" s="216"/>
      <c r="K27" s="14">
        <f t="shared" si="2"/>
      </c>
      <c r="L27" s="14">
        <f t="shared" si="3"/>
      </c>
      <c r="M27" s="15">
        <f t="shared" si="0"/>
      </c>
      <c r="N27" s="555">
        <v>15</v>
      </c>
      <c r="O27" s="533">
        <v>8</v>
      </c>
    </row>
    <row r="28" spans="1:15" ht="30.75" customHeight="1">
      <c r="A28" s="21">
        <v>16</v>
      </c>
      <c r="B28" s="848"/>
      <c r="C28" s="849"/>
      <c r="D28" s="849"/>
      <c r="E28" s="247"/>
      <c r="F28" s="213"/>
      <c r="G28" s="269"/>
      <c r="H28" s="295"/>
      <c r="I28" s="14">
        <f t="shared" si="1"/>
      </c>
      <c r="J28" s="216"/>
      <c r="K28" s="14">
        <f t="shared" si="2"/>
      </c>
      <c r="L28" s="14">
        <f t="shared" si="3"/>
      </c>
      <c r="M28" s="15">
        <f t="shared" si="0"/>
      </c>
      <c r="N28" s="556">
        <v>16</v>
      </c>
      <c r="O28" s="533">
        <v>8</v>
      </c>
    </row>
    <row r="29" spans="1:15" ht="30.75" customHeight="1">
      <c r="A29" s="21">
        <v>17</v>
      </c>
      <c r="B29" s="848"/>
      <c r="C29" s="849"/>
      <c r="D29" s="849"/>
      <c r="E29" s="247"/>
      <c r="F29" s="213"/>
      <c r="G29" s="269"/>
      <c r="H29" s="295"/>
      <c r="I29" s="14">
        <f t="shared" si="1"/>
      </c>
      <c r="J29" s="216"/>
      <c r="K29" s="14">
        <f t="shared" si="2"/>
      </c>
      <c r="L29" s="14">
        <f t="shared" si="3"/>
      </c>
      <c r="M29" s="15">
        <f t="shared" si="0"/>
      </c>
      <c r="N29" s="555">
        <v>17</v>
      </c>
      <c r="O29" s="533">
        <v>8</v>
      </c>
    </row>
    <row r="30" spans="1:15" ht="30.75" customHeight="1">
      <c r="A30" s="21">
        <v>18</v>
      </c>
      <c r="B30" s="848"/>
      <c r="C30" s="849"/>
      <c r="D30" s="849"/>
      <c r="E30" s="247"/>
      <c r="F30" s="213"/>
      <c r="G30" s="269"/>
      <c r="H30" s="295"/>
      <c r="I30" s="14">
        <f t="shared" si="1"/>
      </c>
      <c r="J30" s="216"/>
      <c r="K30" s="14">
        <f t="shared" si="2"/>
      </c>
      <c r="L30" s="14">
        <f t="shared" si="3"/>
      </c>
      <c r="M30" s="15">
        <f t="shared" si="0"/>
      </c>
      <c r="N30" s="556">
        <v>18</v>
      </c>
      <c r="O30" s="533">
        <v>8</v>
      </c>
    </row>
    <row r="31" spans="1:15" ht="30.75" customHeight="1">
      <c r="A31" s="21">
        <v>19</v>
      </c>
      <c r="B31" s="848"/>
      <c r="C31" s="849"/>
      <c r="D31" s="849"/>
      <c r="E31" s="249"/>
      <c r="F31" s="213"/>
      <c r="G31" s="269"/>
      <c r="H31" s="295"/>
      <c r="I31" s="14">
        <f t="shared" si="1"/>
      </c>
      <c r="J31" s="216"/>
      <c r="K31" s="14">
        <f t="shared" si="2"/>
      </c>
      <c r="L31" s="14">
        <f t="shared" si="3"/>
      </c>
      <c r="M31" s="15">
        <f t="shared" si="0"/>
      </c>
      <c r="N31" s="555">
        <v>19</v>
      </c>
      <c r="O31" s="533">
        <v>8</v>
      </c>
    </row>
    <row r="32" spans="1:15" ht="30.75" customHeight="1" thickBot="1">
      <c r="A32" s="30">
        <v>20</v>
      </c>
      <c r="B32" s="850"/>
      <c r="C32" s="851"/>
      <c r="D32" s="851"/>
      <c r="E32" s="250"/>
      <c r="F32" s="218"/>
      <c r="G32" s="305"/>
      <c r="H32" s="296"/>
      <c r="I32" s="32">
        <f t="shared" si="1"/>
      </c>
      <c r="J32" s="215"/>
      <c r="K32" s="32">
        <f t="shared" si="2"/>
      </c>
      <c r="L32" s="31">
        <f t="shared" si="3"/>
      </c>
      <c r="M32" s="32">
        <f t="shared" si="0"/>
      </c>
      <c r="N32" s="557">
        <v>20</v>
      </c>
      <c r="O32" s="540">
        <v>8</v>
      </c>
    </row>
    <row r="33" spans="1:15" ht="21" customHeight="1" thickBot="1">
      <c r="A33" s="870" t="s">
        <v>16</v>
      </c>
      <c r="B33" s="871"/>
      <c r="C33" s="871"/>
      <c r="D33" s="871"/>
      <c r="E33" s="871"/>
      <c r="F33" s="871"/>
      <c r="G33" s="871"/>
      <c r="H33" s="871"/>
      <c r="I33" s="871"/>
      <c r="J33" s="224"/>
      <c r="K33" s="33">
        <f>SUM(K13:K32)</f>
        <v>1188000</v>
      </c>
      <c r="L33" s="33">
        <f>SUM(L13:L32)</f>
        <v>1100000</v>
      </c>
      <c r="M33" s="34">
        <f>SUM(M13:M32)</f>
        <v>1100000</v>
      </c>
      <c r="N33" s="541"/>
      <c r="O33" s="535"/>
    </row>
    <row r="34" spans="1:14" ht="23.25" customHeight="1">
      <c r="A34" s="240"/>
      <c r="N34" s="17"/>
    </row>
    <row r="35" spans="1:14" ht="23.25" customHeight="1">
      <c r="A35" s="240"/>
      <c r="D35" s="240"/>
      <c r="E35" s="390"/>
      <c r="N35" s="17"/>
    </row>
    <row r="36" ht="23.25" customHeight="1">
      <c r="E36" s="234"/>
    </row>
    <row r="37" ht="23.25" customHeight="1">
      <c r="E37" s="234"/>
    </row>
    <row r="38" ht="23.25" customHeight="1">
      <c r="E38" s="234"/>
    </row>
  </sheetData>
  <sheetProtection sheet="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76"/>
  <sheetViews>
    <sheetView showGridLines="0" zoomScaleSheetLayoutView="100" zoomScalePageLayoutView="0" workbookViewId="0" topLeftCell="A1">
      <selection activeCell="A1" sqref="A1"/>
    </sheetView>
  </sheetViews>
  <sheetFormatPr defaultColWidth="9.140625" defaultRowHeight="15"/>
  <cols>
    <col min="1" max="2" width="3.421875" style="25" customWidth="1"/>
    <col min="3" max="8" width="13.421875" style="25" customWidth="1"/>
    <col min="9" max="9" width="14.421875" style="25" customWidth="1"/>
    <col min="10" max="10" width="13.7109375" style="25" customWidth="1"/>
    <col min="11" max="11" width="23.421875" style="25" customWidth="1"/>
    <col min="12" max="12" width="13.421875" style="25" customWidth="1"/>
    <col min="13" max="13" width="9.00390625" style="25" customWidth="1"/>
    <col min="14" max="14" width="17.8515625" style="25" customWidth="1"/>
    <col min="15" max="15" width="18.00390625" style="25" customWidth="1"/>
    <col min="16" max="16" width="5.8515625" style="25" customWidth="1"/>
    <col min="17" max="17" width="9.00390625" style="25" customWidth="1"/>
    <col min="18" max="18" width="10.421875" style="25" bestFit="1" customWidth="1"/>
    <col min="19" max="19" width="20.00390625" style="25" bestFit="1" customWidth="1"/>
    <col min="20" max="20" width="51.421875" style="25" bestFit="1" customWidth="1"/>
    <col min="21" max="21" width="117.7109375" style="25" bestFit="1" customWidth="1"/>
    <col min="22" max="16384" width="9.00390625" style="25" customWidth="1"/>
  </cols>
  <sheetData>
    <row r="1" spans="1:25" s="199" customFormat="1" ht="14.25">
      <c r="A1" s="199" t="s">
        <v>42</v>
      </c>
      <c r="L1" s="200"/>
      <c r="Q1" s="207"/>
      <c r="R1" s="207"/>
      <c r="S1" s="207"/>
      <c r="T1" s="207"/>
      <c r="U1" s="207"/>
      <c r="V1" s="207"/>
      <c r="W1" s="207"/>
      <c r="X1" s="207"/>
      <c r="Y1" s="207"/>
    </row>
    <row r="2" spans="12:25" s="199" customFormat="1" ht="14.25">
      <c r="L2" s="200"/>
      <c r="Q2" s="207"/>
      <c r="R2" s="207"/>
      <c r="S2" s="207"/>
      <c r="T2" s="207"/>
      <c r="U2" s="207"/>
      <c r="V2" s="207"/>
      <c r="W2" s="207"/>
      <c r="X2" s="207"/>
      <c r="Y2" s="207"/>
    </row>
    <row r="3" spans="1:17" s="199" customFormat="1" ht="14.25">
      <c r="A3" s="201" t="s">
        <v>620</v>
      </c>
      <c r="N3" s="207"/>
      <c r="O3" s="207"/>
      <c r="P3" s="207"/>
      <c r="Q3" s="207"/>
    </row>
    <row r="4" spans="1:17" s="199" customFormat="1" ht="8.25" customHeight="1">
      <c r="A4" s="201"/>
      <c r="N4" s="207"/>
      <c r="O4" s="207"/>
      <c r="P4" s="207"/>
      <c r="Q4" s="207"/>
    </row>
    <row r="5" spans="3:17" s="199" customFormat="1" ht="15" customHeight="1">
      <c r="C5" s="199" t="s">
        <v>734</v>
      </c>
      <c r="K5" s="208"/>
      <c r="N5" s="207"/>
      <c r="O5" s="207"/>
      <c r="P5" s="207"/>
      <c r="Q5" s="207"/>
    </row>
    <row r="6" spans="3:17" s="199" customFormat="1" ht="15" customHeight="1">
      <c r="C6" s="199" t="s">
        <v>733</v>
      </c>
      <c r="K6" s="208"/>
      <c r="N6" s="207"/>
      <c r="O6" s="207"/>
      <c r="P6" s="207"/>
      <c r="Q6" s="207"/>
    </row>
    <row r="7" spans="3:17" s="199" customFormat="1" ht="15" customHeight="1">
      <c r="C7" s="380"/>
      <c r="D7" s="199" t="s">
        <v>700</v>
      </c>
      <c r="N7" s="207"/>
      <c r="O7" s="207"/>
      <c r="P7" s="207"/>
      <c r="Q7" s="207"/>
    </row>
    <row r="8" spans="14:17" s="199" customFormat="1" ht="15" customHeight="1">
      <c r="N8" s="207"/>
      <c r="O8" s="207"/>
      <c r="P8" s="207"/>
      <c r="Q8" s="207"/>
    </row>
    <row r="9" spans="1:17" s="204" customFormat="1" ht="15" customHeight="1">
      <c r="A9" s="206" t="s">
        <v>731</v>
      </c>
      <c r="C9" s="206"/>
      <c r="N9" s="381"/>
      <c r="O9" s="381"/>
      <c r="P9" s="381"/>
      <c r="Q9" s="381"/>
    </row>
    <row r="10" spans="1:17" s="199" customFormat="1" ht="8.25" customHeight="1">
      <c r="A10" s="201"/>
      <c r="C10" s="201"/>
      <c r="N10" s="207"/>
      <c r="O10" s="207"/>
      <c r="P10" s="207"/>
      <c r="Q10" s="207"/>
    </row>
    <row r="11" spans="1:17" s="199" customFormat="1" ht="15" customHeight="1">
      <c r="A11" s="199">
        <v>1</v>
      </c>
      <c r="B11" s="199" t="s">
        <v>701</v>
      </c>
      <c r="N11" s="207"/>
      <c r="O11" s="207"/>
      <c r="P11" s="207"/>
      <c r="Q11" s="207"/>
    </row>
    <row r="12" spans="3:17" s="199" customFormat="1" ht="21" customHeight="1">
      <c r="C12" s="565" t="s">
        <v>758</v>
      </c>
      <c r="D12" s="566"/>
      <c r="E12" s="566"/>
      <c r="F12" s="566"/>
      <c r="G12" s="566"/>
      <c r="H12" s="567"/>
      <c r="I12" s="9" t="s">
        <v>718</v>
      </c>
      <c r="J12" s="9"/>
      <c r="N12" s="207"/>
      <c r="O12" s="207"/>
      <c r="P12" s="207"/>
      <c r="Q12" s="207"/>
    </row>
    <row r="13" spans="6:17" s="199" customFormat="1" ht="15" customHeight="1">
      <c r="F13" s="202"/>
      <c r="G13" s="202"/>
      <c r="H13" s="202"/>
      <c r="I13" s="387"/>
      <c r="J13" s="204"/>
      <c r="N13" s="207"/>
      <c r="O13" s="207"/>
      <c r="P13" s="207"/>
      <c r="Q13" s="207"/>
    </row>
    <row r="14" spans="1:17" s="199" customFormat="1" ht="15" customHeight="1">
      <c r="A14" s="199">
        <v>2</v>
      </c>
      <c r="B14" s="26" t="s">
        <v>735</v>
      </c>
      <c r="D14" s="26"/>
      <c r="E14" s="26"/>
      <c r="F14" s="26"/>
      <c r="G14" s="26"/>
      <c r="H14" s="26"/>
      <c r="I14" s="26"/>
      <c r="K14" s="388"/>
      <c r="N14" s="207"/>
      <c r="O14" s="207"/>
      <c r="P14" s="207"/>
      <c r="Q14" s="207"/>
    </row>
    <row r="15" spans="3:14" s="199" customFormat="1" ht="15" customHeight="1">
      <c r="C15" s="207"/>
      <c r="D15" s="207"/>
      <c r="F15" s="207"/>
      <c r="G15" s="207"/>
      <c r="H15" s="207"/>
      <c r="I15" s="207"/>
      <c r="J15" s="26"/>
      <c r="N15" s="350"/>
    </row>
    <row r="16" spans="3:14" s="199" customFormat="1" ht="15" customHeight="1">
      <c r="C16" s="351">
        <v>2</v>
      </c>
      <c r="D16" s="352"/>
      <c r="E16" s="353"/>
      <c r="F16" s="353"/>
      <c r="G16" s="353"/>
      <c r="H16" s="354"/>
      <c r="I16" s="9" t="s">
        <v>737</v>
      </c>
      <c r="N16" s="350"/>
    </row>
    <row r="17" spans="3:9" s="199" customFormat="1" ht="15" customHeight="1">
      <c r="C17" s="355"/>
      <c r="D17" s="356"/>
      <c r="E17" s="357"/>
      <c r="F17" s="357"/>
      <c r="G17" s="357"/>
      <c r="H17" s="358"/>
      <c r="I17" s="207"/>
    </row>
    <row r="18" spans="3:9" s="199" customFormat="1" ht="15" customHeight="1">
      <c r="C18" s="359"/>
      <c r="D18" s="360"/>
      <c r="E18" s="360"/>
      <c r="F18" s="360"/>
      <c r="G18" s="360"/>
      <c r="H18" s="361"/>
      <c r="I18" s="207"/>
    </row>
    <row r="19" spans="2:8" s="199" customFormat="1" ht="15" customHeight="1">
      <c r="B19" s="203"/>
      <c r="C19" s="362"/>
      <c r="D19" s="207"/>
      <c r="F19" s="207"/>
      <c r="G19" s="207"/>
      <c r="H19" s="207"/>
    </row>
    <row r="20" spans="1:9" s="199" customFormat="1" ht="15" customHeight="1">
      <c r="A20" s="268"/>
      <c r="B20" s="268"/>
      <c r="C20" s="207"/>
      <c r="H20" s="204"/>
      <c r="I20" s="364"/>
    </row>
    <row r="21" spans="3:14" s="199" customFormat="1" ht="15" customHeight="1">
      <c r="C21" s="351">
        <v>1</v>
      </c>
      <c r="D21" s="352"/>
      <c r="E21" s="353"/>
      <c r="F21" s="353"/>
      <c r="G21" s="353"/>
      <c r="H21" s="354"/>
      <c r="I21" s="9" t="s">
        <v>736</v>
      </c>
      <c r="K21" s="388"/>
      <c r="N21" s="350"/>
    </row>
    <row r="22" spans="3:11" s="199" customFormat="1" ht="15" customHeight="1">
      <c r="C22" s="355"/>
      <c r="D22" s="356"/>
      <c r="E22" s="357"/>
      <c r="F22" s="357"/>
      <c r="G22" s="357"/>
      <c r="H22" s="358"/>
      <c r="I22" s="207"/>
      <c r="J22" s="207"/>
      <c r="K22" s="388"/>
    </row>
    <row r="23" spans="3:10" s="199" customFormat="1" ht="15" customHeight="1">
      <c r="C23" s="359"/>
      <c r="D23" s="360"/>
      <c r="E23" s="360"/>
      <c r="F23" s="360"/>
      <c r="G23" s="360"/>
      <c r="H23" s="361"/>
      <c r="J23" s="207"/>
    </row>
    <row r="24" spans="3:10" s="350" customFormat="1" ht="15" customHeight="1">
      <c r="C24" s="363"/>
      <c r="D24" s="363"/>
      <c r="E24" s="363"/>
      <c r="F24" s="363"/>
      <c r="G24" s="363"/>
      <c r="H24" s="363"/>
      <c r="J24" s="364"/>
    </row>
    <row r="25" spans="1:16" s="199" customFormat="1" ht="14.25">
      <c r="A25" s="199">
        <v>3</v>
      </c>
      <c r="B25" s="378" t="s">
        <v>712</v>
      </c>
      <c r="D25" s="28"/>
      <c r="E25" s="28"/>
      <c r="P25" s="205"/>
    </row>
    <row r="26" spans="2:16" s="199" customFormat="1" ht="14.25">
      <c r="B26" s="28"/>
      <c r="D26" s="28"/>
      <c r="E26" s="28"/>
      <c r="P26" s="205"/>
    </row>
    <row r="27" spans="3:10" s="199" customFormat="1" ht="21" customHeight="1">
      <c r="C27" s="568" t="s">
        <v>738</v>
      </c>
      <c r="D27" s="569"/>
      <c r="E27" s="569"/>
      <c r="F27" s="569"/>
      <c r="G27" s="569"/>
      <c r="H27" s="570"/>
      <c r="I27" s="9" t="s">
        <v>739</v>
      </c>
      <c r="J27" s="9"/>
    </row>
    <row r="28" spans="3:10" s="199" customFormat="1" ht="14.25">
      <c r="C28" s="28"/>
      <c r="D28" s="28"/>
      <c r="E28" s="28"/>
      <c r="F28" s="28"/>
      <c r="G28" s="28"/>
      <c r="H28" s="202"/>
      <c r="I28" s="202"/>
      <c r="J28" s="204"/>
    </row>
    <row r="29" spans="1:7" s="199" customFormat="1" ht="14.25">
      <c r="A29" s="199">
        <v>4</v>
      </c>
      <c r="B29" s="378" t="s">
        <v>713</v>
      </c>
      <c r="D29" s="28"/>
      <c r="E29" s="28"/>
      <c r="F29" s="28"/>
      <c r="G29" s="28"/>
    </row>
    <row r="30" spans="2:7" s="199" customFormat="1" ht="14.25">
      <c r="B30" s="28"/>
      <c r="D30" s="28"/>
      <c r="E30" s="28"/>
      <c r="F30" s="28"/>
      <c r="G30" s="28"/>
    </row>
    <row r="31" spans="3:10" s="199" customFormat="1" ht="21" customHeight="1">
      <c r="C31" s="562" t="s">
        <v>639</v>
      </c>
      <c r="D31" s="563"/>
      <c r="E31" s="563"/>
      <c r="F31" s="563"/>
      <c r="G31" s="563"/>
      <c r="H31" s="564"/>
      <c r="I31" s="9" t="s">
        <v>719</v>
      </c>
      <c r="J31" s="9"/>
    </row>
    <row r="32" spans="3:10" s="199" customFormat="1" ht="21" customHeight="1">
      <c r="C32" s="562" t="s">
        <v>702</v>
      </c>
      <c r="D32" s="563"/>
      <c r="E32" s="563"/>
      <c r="F32" s="563"/>
      <c r="G32" s="563"/>
      <c r="H32" s="564"/>
      <c r="I32" s="9" t="s">
        <v>720</v>
      </c>
      <c r="J32" s="9"/>
    </row>
    <row r="33" spans="2:17" s="199" customFormat="1" ht="15" customHeight="1">
      <c r="B33" s="26"/>
      <c r="D33" s="26"/>
      <c r="E33" s="26"/>
      <c r="F33" s="26"/>
      <c r="G33" s="26"/>
      <c r="H33" s="26"/>
      <c r="I33" s="26"/>
      <c r="N33" s="207"/>
      <c r="O33" s="207"/>
      <c r="P33" s="207"/>
      <c r="Q33" s="207"/>
    </row>
    <row r="34" spans="1:14" s="204" customFormat="1" ht="15" customHeight="1">
      <c r="A34" s="204" t="s">
        <v>721</v>
      </c>
      <c r="C34" s="26"/>
      <c r="D34" s="381"/>
      <c r="F34" s="381"/>
      <c r="G34" s="381"/>
      <c r="H34" s="381"/>
      <c r="I34" s="381"/>
      <c r="N34" s="382"/>
    </row>
    <row r="35" spans="3:9" s="204" customFormat="1" ht="8.25" customHeight="1">
      <c r="C35" s="26"/>
      <c r="D35" s="26"/>
      <c r="E35" s="26"/>
      <c r="F35" s="26"/>
      <c r="G35" s="26"/>
      <c r="H35" s="383"/>
      <c r="I35" s="202"/>
    </row>
    <row r="36" spans="1:8" s="204" customFormat="1" ht="14.25">
      <c r="A36" s="75" t="s">
        <v>760</v>
      </c>
      <c r="C36" s="26"/>
      <c r="D36" s="26"/>
      <c r="E36" s="26"/>
      <c r="F36" s="26"/>
      <c r="G36" s="383"/>
      <c r="H36" s="202"/>
    </row>
    <row r="37" s="199" customFormat="1" ht="14.25">
      <c r="B37" s="199" t="s">
        <v>761</v>
      </c>
    </row>
    <row r="38" s="199" customFormat="1" ht="15" customHeight="1">
      <c r="B38" s="199" t="s">
        <v>765</v>
      </c>
    </row>
    <row r="39" s="199" customFormat="1" ht="14.25">
      <c r="B39" s="204" t="s">
        <v>621</v>
      </c>
    </row>
    <row r="40" spans="2:5" s="199" customFormat="1" ht="14.25">
      <c r="B40" s="209"/>
      <c r="C40" s="210" t="s">
        <v>632</v>
      </c>
      <c r="D40" s="209"/>
      <c r="E40" s="209"/>
    </row>
    <row r="41" spans="2:5" s="199" customFormat="1" ht="14.25">
      <c r="B41" s="209"/>
      <c r="C41" s="210" t="s">
        <v>688</v>
      </c>
      <c r="D41" s="209"/>
      <c r="E41" s="209"/>
    </row>
    <row r="42" spans="2:5" s="199" customFormat="1" ht="14.25">
      <c r="B42" s="209"/>
      <c r="C42" s="210" t="s">
        <v>689</v>
      </c>
      <c r="D42" s="209"/>
      <c r="E42" s="209"/>
    </row>
    <row r="43" spans="2:5" s="199" customFormat="1" ht="14.25">
      <c r="B43" s="209"/>
      <c r="C43" s="210" t="s">
        <v>690</v>
      </c>
      <c r="D43" s="210"/>
      <c r="E43" s="209"/>
    </row>
    <row r="44" spans="2:5" s="199" customFormat="1" ht="14.25">
      <c r="B44" s="209"/>
      <c r="C44" s="210" t="s">
        <v>691</v>
      </c>
      <c r="D44" s="210"/>
      <c r="E44" s="209"/>
    </row>
    <row r="45" s="199" customFormat="1" ht="8.25" customHeight="1"/>
    <row r="46" spans="2:7" s="204" customFormat="1" ht="14.25">
      <c r="B46" s="204" t="s">
        <v>722</v>
      </c>
      <c r="G46" s="206"/>
    </row>
    <row r="47" s="204" customFormat="1" ht="14.25">
      <c r="B47" s="204" t="s">
        <v>723</v>
      </c>
    </row>
    <row r="48" s="204" customFormat="1" ht="14.25">
      <c r="B48" s="204" t="s">
        <v>732</v>
      </c>
    </row>
    <row r="49" s="204" customFormat="1" ht="14.25">
      <c r="B49" s="204" t="s">
        <v>724</v>
      </c>
    </row>
    <row r="50" spans="2:12" s="27" customFormat="1" ht="14.25">
      <c r="B50" s="204" t="s">
        <v>725</v>
      </c>
      <c r="C50" s="204"/>
      <c r="L50" s="204"/>
    </row>
    <row r="51" s="204" customFormat="1" ht="14.25"/>
    <row r="52" spans="1:10" s="1" customFormat="1" ht="18" customHeight="1">
      <c r="A52" s="384" t="s">
        <v>726</v>
      </c>
      <c r="B52" s="384"/>
      <c r="D52" s="194"/>
      <c r="E52" s="54"/>
      <c r="F52" s="54"/>
      <c r="G52" s="194"/>
      <c r="H52" s="52"/>
      <c r="J52" s="55"/>
    </row>
    <row r="53" spans="2:10" s="23" customFormat="1" ht="18" customHeight="1">
      <c r="B53" s="199" t="s">
        <v>762</v>
      </c>
      <c r="D53" s="194"/>
      <c r="E53" s="54"/>
      <c r="F53" s="54"/>
      <c r="G53" s="194"/>
      <c r="H53" s="52"/>
      <c r="J53" s="55"/>
    </row>
    <row r="54" spans="2:11" s="199" customFormat="1" ht="15" customHeight="1">
      <c r="B54" s="262"/>
      <c r="C54" s="263" t="s">
        <v>716</v>
      </c>
      <c r="D54" s="262"/>
      <c r="E54" s="195"/>
      <c r="F54" s="3"/>
      <c r="K54" s="26"/>
    </row>
    <row r="55" spans="1:5" s="38" customFormat="1" ht="18" customHeight="1">
      <c r="A55" s="27">
        <v>1</v>
      </c>
      <c r="B55" s="27" t="s">
        <v>670</v>
      </c>
      <c r="C55" s="27"/>
      <c r="D55" s="27"/>
      <c r="E55" s="27"/>
    </row>
    <row r="56" s="27" customFormat="1" ht="14.25">
      <c r="B56" s="27" t="s">
        <v>727</v>
      </c>
    </row>
    <row r="57" s="27" customFormat="1" ht="14.25"/>
    <row r="58" spans="1:13" s="27" customFormat="1" ht="14.25">
      <c r="A58" s="27">
        <v>2</v>
      </c>
      <c r="B58" s="27" t="s">
        <v>527</v>
      </c>
      <c r="M58" s="379"/>
    </row>
    <row r="59" spans="2:15" s="27" customFormat="1" ht="14.25">
      <c r="B59" s="27" t="s">
        <v>763</v>
      </c>
      <c r="K59" s="117"/>
      <c r="L59" s="117"/>
      <c r="M59" s="204"/>
      <c r="N59" s="38"/>
      <c r="O59" s="38"/>
    </row>
    <row r="60" spans="2:12" s="27" customFormat="1" ht="14.25">
      <c r="B60" s="27" t="s">
        <v>755</v>
      </c>
      <c r="K60" s="117"/>
      <c r="L60" s="117"/>
    </row>
    <row r="61" spans="2:13" s="27" customFormat="1" ht="14.25">
      <c r="B61" s="27" t="s">
        <v>754</v>
      </c>
      <c r="K61" s="117"/>
      <c r="L61" s="117"/>
      <c r="M61" s="385"/>
    </row>
    <row r="62" spans="2:13" s="27" customFormat="1" ht="14.25">
      <c r="B62" s="27" t="s">
        <v>766</v>
      </c>
      <c r="K62" s="117"/>
      <c r="L62" s="117"/>
      <c r="M62" s="38"/>
    </row>
    <row r="63" s="27" customFormat="1" ht="14.25"/>
    <row r="64" spans="1:2" s="27" customFormat="1" ht="14.25">
      <c r="A64" s="27">
        <v>3</v>
      </c>
      <c r="B64" s="27" t="s">
        <v>728</v>
      </c>
    </row>
    <row r="65" s="27" customFormat="1" ht="14.25">
      <c r="B65" s="27" t="s">
        <v>729</v>
      </c>
    </row>
    <row r="66" s="27" customFormat="1" ht="14.25"/>
    <row r="67" spans="1:2" s="27" customFormat="1" ht="14.25">
      <c r="A67" s="27">
        <v>4</v>
      </c>
      <c r="B67" s="27" t="s">
        <v>730</v>
      </c>
    </row>
    <row r="68" spans="2:11" s="27" customFormat="1" ht="14.25">
      <c r="B68" s="27" t="s">
        <v>757</v>
      </c>
      <c r="K68" s="68"/>
    </row>
    <row r="69" s="27" customFormat="1" ht="14.25">
      <c r="B69" s="27" t="s">
        <v>756</v>
      </c>
    </row>
    <row r="70" s="27" customFormat="1" ht="14.25"/>
    <row r="71" s="27" customFormat="1" ht="14.25"/>
    <row r="72" s="27" customFormat="1" ht="14.25"/>
    <row r="75" ht="14.25">
      <c r="G75" s="389"/>
    </row>
    <row r="76" ht="14.25">
      <c r="G76" s="389"/>
    </row>
  </sheetData>
  <sheetProtection sheet="1"/>
  <mergeCells count="4">
    <mergeCell ref="C32:H32"/>
    <mergeCell ref="C12:H12"/>
    <mergeCell ref="C27:H27"/>
    <mergeCell ref="C31:H31"/>
  </mergeCells>
  <hyperlinks>
    <hyperlink ref="C42" location="技術導入費!A1" display="　　技術導入費"/>
    <hyperlink ref="C43" location="運搬費!A1" display="運搬費"/>
    <hyperlink ref="C44" location="専門家経費!A1" display="専門家経費"/>
    <hyperlink ref="C40" location="'機械装置費（50万円以上）'!A1" display="機械装置費（50万円以上）"/>
    <hyperlink ref="C41" location="'機械装置費（50万円未満）'!A1" display="機械装置費（50万円未満）"/>
    <hyperlink ref="C54" location="経費明細表!A1" display="経費明細表"/>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8" scale="88" r:id="rId3"/>
  <drawing r:id="rId2"/>
  <legacyDrawing r:id="rId1"/>
</worksheet>
</file>

<file path=xl/worksheets/sheet3.xml><?xml version="1.0" encoding="utf-8"?>
<worksheet xmlns="http://schemas.openxmlformats.org/spreadsheetml/2006/main" xmlns:r="http://schemas.openxmlformats.org/officeDocument/2006/relationships">
  <sheetPr codeName="Sheet2">
    <tabColor rgb="FFFF66FF"/>
  </sheetPr>
  <dimension ref="B2:H4"/>
  <sheetViews>
    <sheetView zoomScalePageLayoutView="0" workbookViewId="0" topLeftCell="A1">
      <selection activeCell="F20" sqref="F20"/>
    </sheetView>
  </sheetViews>
  <sheetFormatPr defaultColWidth="9.140625" defaultRowHeight="15"/>
  <cols>
    <col min="2" max="2" width="3.140625" style="57" bestFit="1" customWidth="1"/>
    <col min="3" max="3" width="25.140625" style="0" customWidth="1"/>
    <col min="5" max="5" width="3.140625" style="57" bestFit="1" customWidth="1"/>
    <col min="6" max="6" width="27.8515625" style="0" customWidth="1"/>
    <col min="7" max="8" width="12.421875" style="368" bestFit="1" customWidth="1"/>
  </cols>
  <sheetData>
    <row r="2" spans="2:8" ht="13.5">
      <c r="B2" s="229" t="s">
        <v>703</v>
      </c>
      <c r="C2" s="229" t="s">
        <v>704</v>
      </c>
      <c r="E2" s="229" t="s">
        <v>703</v>
      </c>
      <c r="F2" s="386" t="s">
        <v>704</v>
      </c>
      <c r="G2" s="365" t="s">
        <v>705</v>
      </c>
      <c r="H2" s="365" t="s">
        <v>699</v>
      </c>
    </row>
    <row r="3" spans="2:8" ht="13.5">
      <c r="B3" s="229">
        <v>1</v>
      </c>
      <c r="C3" s="366" t="s">
        <v>706</v>
      </c>
      <c r="E3" s="229">
        <v>1</v>
      </c>
      <c r="F3" s="366" t="s">
        <v>693</v>
      </c>
      <c r="G3" s="367">
        <v>10000000</v>
      </c>
      <c r="H3" s="367">
        <v>1000000</v>
      </c>
    </row>
    <row r="4" spans="2:8" ht="13.5">
      <c r="B4" s="229">
        <v>2</v>
      </c>
      <c r="C4" s="366" t="s">
        <v>707</v>
      </c>
      <c r="E4" s="229">
        <v>2</v>
      </c>
      <c r="F4" s="366" t="s">
        <v>694</v>
      </c>
      <c r="G4" s="367">
        <v>5000000</v>
      </c>
      <c r="H4" s="367">
        <v>1000000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7">
    <tabColor rgb="FFFFC000"/>
    <pageSetUpPr fitToPage="1"/>
  </sheetPr>
  <dimension ref="A1:AR96"/>
  <sheetViews>
    <sheetView showGridLines="0" zoomScale="70" zoomScaleNormal="70" zoomScaleSheetLayoutView="80" zoomScalePageLayoutView="0" workbookViewId="0" topLeftCell="A1">
      <selection activeCell="A1" sqref="A1"/>
    </sheetView>
  </sheetViews>
  <sheetFormatPr defaultColWidth="9.140625" defaultRowHeight="15"/>
  <cols>
    <col min="1" max="1" width="4.28125" style="54" customWidth="1"/>
    <col min="2" max="2" width="17.421875" style="54" customWidth="1"/>
    <col min="3" max="5" width="17.57421875" style="54" customWidth="1"/>
    <col min="6" max="6" width="20.140625" style="54" customWidth="1"/>
    <col min="7" max="9" width="17.57421875" style="54" customWidth="1"/>
    <col min="10" max="10" width="21.00390625" style="54" customWidth="1"/>
    <col min="11" max="12" width="7.7109375" style="54" customWidth="1"/>
    <col min="13" max="13" width="24.00390625" style="54" customWidth="1"/>
    <col min="14" max="14" width="7.28125" style="54" customWidth="1"/>
    <col min="15" max="16" width="18.57421875" style="54" customWidth="1"/>
    <col min="17" max="17" width="17.00390625" style="54" customWidth="1"/>
    <col min="18" max="18" width="32.421875" style="54" customWidth="1"/>
    <col min="19" max="19" width="19.57421875" style="54" customWidth="1"/>
    <col min="20" max="20" width="18.28125" style="54" customWidth="1"/>
    <col min="21" max="21" width="17.140625" style="61" customWidth="1"/>
    <col min="22" max="22" width="18.421875" style="61" customWidth="1"/>
    <col min="23" max="23" width="25.57421875" style="54" customWidth="1"/>
    <col min="24" max="24" width="16.140625" style="54" customWidth="1"/>
    <col min="25" max="25" width="16.8515625" style="54" customWidth="1"/>
    <col min="26" max="26" width="18.28125" style="54" customWidth="1"/>
    <col min="27" max="27" width="7.7109375" style="54" customWidth="1"/>
    <col min="28" max="28" width="8.140625" style="54" customWidth="1"/>
    <col min="29" max="29" width="10.421875" style="54" customWidth="1"/>
    <col min="30" max="30" width="16.8515625" style="61" customWidth="1"/>
    <col min="31" max="31" width="15.421875" style="61" customWidth="1"/>
    <col min="32" max="32" width="12.421875" style="54" customWidth="1"/>
    <col min="33" max="33" width="11.421875" style="54" customWidth="1"/>
    <col min="34" max="34" width="26.28125" style="344" customWidth="1"/>
    <col min="35" max="35" width="35.28125" style="344" customWidth="1"/>
    <col min="36" max="36" width="19.28125" style="344" customWidth="1"/>
    <col min="37" max="37" width="5.7109375" style="344" customWidth="1"/>
    <col min="38" max="38" width="35.28125" style="344" customWidth="1"/>
    <col min="39" max="39" width="19.28125" style="344" customWidth="1"/>
    <col min="40" max="40" width="5.7109375" style="344" customWidth="1"/>
    <col min="41" max="41" width="35.28125" style="344" customWidth="1"/>
    <col min="42" max="42" width="19.28125" style="344" customWidth="1"/>
    <col min="43" max="43" width="5.7109375" style="344" customWidth="1"/>
    <col min="44" max="16384" width="9.00390625" style="54" customWidth="1"/>
  </cols>
  <sheetData>
    <row r="1" spans="34:43" ht="13.5">
      <c r="AH1" s="343"/>
      <c r="AI1" s="343"/>
      <c r="AJ1" s="343"/>
      <c r="AK1" s="343"/>
      <c r="AL1" s="343"/>
      <c r="AM1" s="343"/>
      <c r="AN1" s="343"/>
      <c r="AO1" s="343"/>
      <c r="AP1" s="343"/>
      <c r="AQ1" s="343"/>
    </row>
    <row r="2" spans="34:43" ht="13.5">
      <c r="AH2" s="343"/>
      <c r="AI2" s="343"/>
      <c r="AJ2" s="343"/>
      <c r="AK2" s="343"/>
      <c r="AL2" s="343"/>
      <c r="AM2" s="343"/>
      <c r="AN2" s="343"/>
      <c r="AO2" s="343"/>
      <c r="AP2" s="343"/>
      <c r="AQ2" s="343"/>
    </row>
    <row r="3" spans="2:43" s="60" customFormat="1" ht="16.5" customHeight="1">
      <c r="B3" s="183" t="s">
        <v>664</v>
      </c>
      <c r="C3" s="59"/>
      <c r="D3" s="59"/>
      <c r="E3" s="59"/>
      <c r="F3" s="59"/>
      <c r="G3" s="59"/>
      <c r="H3" s="59"/>
      <c r="I3" s="59"/>
      <c r="J3" s="59"/>
      <c r="K3" s="59"/>
      <c r="L3" s="59"/>
      <c r="M3" s="59"/>
      <c r="N3" s="59"/>
      <c r="O3" s="59"/>
      <c r="P3" s="59"/>
      <c r="Q3" s="59"/>
      <c r="S3"/>
      <c r="T3"/>
      <c r="U3"/>
      <c r="V3"/>
      <c r="W3"/>
      <c r="X3"/>
      <c r="Y3"/>
      <c r="Z3"/>
      <c r="AA3"/>
      <c r="AB3"/>
      <c r="AC3"/>
      <c r="AD3"/>
      <c r="AE3" s="54"/>
      <c r="AF3" s="54"/>
      <c r="AG3" s="54"/>
      <c r="AH3" s="343"/>
      <c r="AI3" s="343"/>
      <c r="AJ3" s="343"/>
      <c r="AK3" s="343"/>
      <c r="AL3" s="343"/>
      <c r="AM3" s="343"/>
      <c r="AN3" s="343"/>
      <c r="AO3" s="343"/>
      <c r="AP3" s="343"/>
      <c r="AQ3" s="343"/>
    </row>
    <row r="4" spans="2:43" s="60" customFormat="1" ht="16.5" customHeight="1">
      <c r="B4" s="184" t="s">
        <v>520</v>
      </c>
      <c r="C4" s="62"/>
      <c r="D4" s="62"/>
      <c r="E4" s="62"/>
      <c r="F4" s="63"/>
      <c r="G4" s="185" t="s">
        <v>581</v>
      </c>
      <c r="H4" s="186" t="s">
        <v>582</v>
      </c>
      <c r="I4" s="290" t="s">
        <v>583</v>
      </c>
      <c r="J4" s="63"/>
      <c r="K4" s="63"/>
      <c r="L4" s="63"/>
      <c r="M4" s="651" t="s">
        <v>663</v>
      </c>
      <c r="N4" s="651"/>
      <c r="O4" s="651"/>
      <c r="P4" s="651"/>
      <c r="R4" s="4"/>
      <c r="S4" s="12"/>
      <c r="T4"/>
      <c r="U4"/>
      <c r="V4"/>
      <c r="W4"/>
      <c r="X4"/>
      <c r="Y4"/>
      <c r="Z4"/>
      <c r="AA4"/>
      <c r="AB4"/>
      <c r="AC4"/>
      <c r="AD4"/>
      <c r="AE4" s="54"/>
      <c r="AF4" s="54"/>
      <c r="AG4" s="54"/>
      <c r="AH4" s="344"/>
      <c r="AI4" s="344"/>
      <c r="AJ4" s="344"/>
      <c r="AK4" s="344"/>
      <c r="AL4" s="344"/>
      <c r="AM4" s="344"/>
      <c r="AN4" s="345"/>
      <c r="AO4" s="344"/>
      <c r="AP4" s="344"/>
      <c r="AQ4" s="344"/>
    </row>
    <row r="5" spans="13:31" ht="14.25" customHeight="1">
      <c r="M5" s="651"/>
      <c r="N5" s="651"/>
      <c r="O5" s="651"/>
      <c r="P5" s="651"/>
      <c r="AE5" s="54"/>
    </row>
    <row r="6" spans="13:33" ht="33" customHeight="1">
      <c r="M6" s="64"/>
      <c r="N6" s="27"/>
      <c r="O6" s="22" t="s">
        <v>586</v>
      </c>
      <c r="P6" s="69"/>
      <c r="Q6" s="69"/>
      <c r="R6" s="70"/>
      <c r="S6" s="71"/>
      <c r="T6" s="70"/>
      <c r="AC6" s="66"/>
      <c r="AE6" s="54"/>
      <c r="AG6" s="88"/>
    </row>
    <row r="7" spans="2:34" ht="24">
      <c r="B7" s="67" t="s">
        <v>661</v>
      </c>
      <c r="D7" s="27"/>
      <c r="E7" s="27"/>
      <c r="F7" s="27" t="s">
        <v>521</v>
      </c>
      <c r="J7" s="66"/>
      <c r="K7" s="66"/>
      <c r="L7" s="66"/>
      <c r="M7" s="64"/>
      <c r="N7"/>
      <c r="O7" s="188" t="s">
        <v>21</v>
      </c>
      <c r="P7" s="652" t="s">
        <v>35</v>
      </c>
      <c r="Q7" s="188" t="s">
        <v>21</v>
      </c>
      <c r="R7" s="188" t="s">
        <v>21</v>
      </c>
      <c r="S7" s="655" t="s">
        <v>523</v>
      </c>
      <c r="T7" s="657" t="s">
        <v>17</v>
      </c>
      <c r="U7" s="68"/>
      <c r="V7" s="68"/>
      <c r="AC7" s="27"/>
      <c r="AD7" s="27"/>
      <c r="AE7" s="54"/>
      <c r="AG7" s="88"/>
      <c r="AH7" s="436" t="s">
        <v>709</v>
      </c>
    </row>
    <row r="8" spans="2:43" ht="30" customHeight="1">
      <c r="B8" s="29"/>
      <c r="D8" s="7"/>
      <c r="J8" s="114"/>
      <c r="K8" s="114"/>
      <c r="L8" s="114"/>
      <c r="M8" s="64"/>
      <c r="N8"/>
      <c r="O8" s="77" t="s">
        <v>524</v>
      </c>
      <c r="P8" s="653"/>
      <c r="Q8" s="77" t="s">
        <v>525</v>
      </c>
      <c r="R8" s="77" t="s">
        <v>22</v>
      </c>
      <c r="S8" s="656"/>
      <c r="T8" s="658"/>
      <c r="U8" s="71"/>
      <c r="V8"/>
      <c r="W8"/>
      <c r="X8"/>
      <c r="Y8"/>
      <c r="Z8" s="65" t="str">
        <f>B11</f>
        <v>事業者名　：　Ｂ金属株式会社</v>
      </c>
      <c r="AA8"/>
      <c r="AC8" s="27"/>
      <c r="AD8" s="27"/>
      <c r="AE8" s="27"/>
      <c r="AG8" s="88"/>
      <c r="AH8" s="789" t="s">
        <v>692</v>
      </c>
      <c r="AI8" s="791" t="s">
        <v>693</v>
      </c>
      <c r="AJ8" s="792"/>
      <c r="AK8" s="793"/>
      <c r="AL8" s="794" t="s">
        <v>694</v>
      </c>
      <c r="AM8" s="792"/>
      <c r="AN8" s="792"/>
      <c r="AO8" s="795" t="s">
        <v>695</v>
      </c>
      <c r="AP8" s="796"/>
      <c r="AQ8" s="797"/>
    </row>
    <row r="9" spans="2:43" ht="28.5" customHeight="1" thickBot="1">
      <c r="B9" s="468" t="s">
        <v>590</v>
      </c>
      <c r="C9" s="73"/>
      <c r="D9" s="73"/>
      <c r="E9" s="73"/>
      <c r="F9" s="73"/>
      <c r="G9" s="73"/>
      <c r="H9" s="73"/>
      <c r="I9" s="73"/>
      <c r="J9" s="73"/>
      <c r="K9" s="73"/>
      <c r="L9" s="73"/>
      <c r="M9" s="64"/>
      <c r="N9"/>
      <c r="O9" s="189" t="s">
        <v>23</v>
      </c>
      <c r="P9" s="654"/>
      <c r="Q9" s="219" t="s">
        <v>23</v>
      </c>
      <c r="R9" s="219" t="s">
        <v>23</v>
      </c>
      <c r="S9" s="656"/>
      <c r="T9" s="658"/>
      <c r="U9"/>
      <c r="V9" s="27"/>
      <c r="W9" s="66"/>
      <c r="X9" s="27"/>
      <c r="Y9" s="27"/>
      <c r="Z9" s="27"/>
      <c r="AA9" s="27"/>
      <c r="AC9"/>
      <c r="AD9" s="27"/>
      <c r="AE9" s="27"/>
      <c r="AF9" s="27"/>
      <c r="AG9" s="280"/>
      <c r="AH9" s="790"/>
      <c r="AI9" s="407" t="s">
        <v>696</v>
      </c>
      <c r="AJ9" s="408" t="s">
        <v>697</v>
      </c>
      <c r="AK9" s="408" t="s">
        <v>698</v>
      </c>
      <c r="AL9" s="408" t="s">
        <v>696</v>
      </c>
      <c r="AM9" s="408" t="s">
        <v>697</v>
      </c>
      <c r="AN9" s="409" t="s">
        <v>698</v>
      </c>
      <c r="AO9" s="407" t="s">
        <v>696</v>
      </c>
      <c r="AP9" s="408" t="s">
        <v>697</v>
      </c>
      <c r="AQ9" s="408" t="s">
        <v>698</v>
      </c>
    </row>
    <row r="10" spans="3:43" ht="28.5" customHeight="1" thickBot="1" thickTop="1">
      <c r="C10" s="76"/>
      <c r="D10" s="76"/>
      <c r="E10" s="76"/>
      <c r="F10" s="76"/>
      <c r="M10" s="472"/>
      <c r="N10" s="472" t="s">
        <v>625</v>
      </c>
      <c r="O10" s="265">
        <f>IF(E19="",0,ROUNDDOWN(E19*2/3,0))</f>
        <v>7000000</v>
      </c>
      <c r="P10" s="272">
        <f>IF($Q$10&gt;0,1,"")</f>
        <v>1</v>
      </c>
      <c r="Q10" s="83">
        <f>MIN(O10,O17)</f>
        <v>7000000</v>
      </c>
      <c r="R10" s="83">
        <f>IF(Q10=0,0,MIN(Q10,O17))</f>
        <v>7000000</v>
      </c>
      <c r="S10" s="84">
        <f>F19-O10</f>
        <v>-1</v>
      </c>
      <c r="T10" s="473" t="s">
        <v>627</v>
      </c>
      <c r="U10" s="474"/>
      <c r="V10" s="27"/>
      <c r="W10" s="72" t="s">
        <v>522</v>
      </c>
      <c r="X10" s="27"/>
      <c r="Y10" s="27"/>
      <c r="Z10" s="27"/>
      <c r="AA10" s="27"/>
      <c r="AC10"/>
      <c r="AD10" s="79"/>
      <c r="AE10" s="78"/>
      <c r="AF10" s="80"/>
      <c r="AG10" s="79"/>
      <c r="AH10" s="410" t="s">
        <v>750</v>
      </c>
      <c r="AI10" s="411">
        <v>10000000</v>
      </c>
      <c r="AJ10" s="412">
        <f>F29</f>
        <v>10000000</v>
      </c>
      <c r="AK10" s="413" t="str">
        <f>IF(AI10-AJ10&gt;=0,"○","×")</f>
        <v>○</v>
      </c>
      <c r="AL10" s="412">
        <v>5000000</v>
      </c>
      <c r="AM10" s="412">
        <f>F29</f>
        <v>10000000</v>
      </c>
      <c r="AN10" s="414" t="str">
        <f>IF(AL10-AM10&gt;=0,"○","×")</f>
        <v>×</v>
      </c>
      <c r="AO10" s="415">
        <f>IF('基本情報入力（使い方）'!$C$21=1,AI10,IF('基本情報入力（使い方）'!$C$21=2,AL10))</f>
        <v>10000000</v>
      </c>
      <c r="AP10" s="416">
        <f>IF('基本情報入力（使い方）'!$C$21=1,AJ10,IF('基本情報入力（使い方）'!$C$21=2,AM10))</f>
        <v>10000000</v>
      </c>
      <c r="AQ10" s="417" t="str">
        <f>IF('基本情報入力（使い方）'!$C$21=1,AK10,IF('基本情報入力（使い方）'!$C$21=2,AN10))</f>
        <v>○</v>
      </c>
    </row>
    <row r="11" spans="2:43" ht="28.5" customHeight="1">
      <c r="B11" s="700" t="str">
        <f>"事業者名　：　"&amp;'基本情報入力（使い方）'!C12</f>
        <v>事業者名　：　Ｂ金属株式会社</v>
      </c>
      <c r="C11" s="700"/>
      <c r="D11" s="700"/>
      <c r="E11" s="700"/>
      <c r="F11" s="700"/>
      <c r="G11" s="700"/>
      <c r="J11" s="27"/>
      <c r="K11" s="27"/>
      <c r="L11" s="27"/>
      <c r="M11" s="472"/>
      <c r="N11" s="472" t="s">
        <v>626</v>
      </c>
      <c r="O11" s="85">
        <f>IF(E21="",0,ROUNDDOWN(E21*2/3,0))</f>
        <v>800000</v>
      </c>
      <c r="P11" s="260">
        <f>IF($Q$11&gt;0,1,"")</f>
        <v>1</v>
      </c>
      <c r="Q11" s="86">
        <f>MIN(O11,O17)</f>
        <v>800000</v>
      </c>
      <c r="R11" s="86">
        <f>IF(Q11=0,0,MIN(Q11,(O17-Q10)))</f>
        <v>800000</v>
      </c>
      <c r="S11" s="87">
        <f>F21-O11</f>
        <v>-2</v>
      </c>
      <c r="T11" s="475" t="s">
        <v>628</v>
      </c>
      <c r="U11" s="74"/>
      <c r="V11" s="659" t="s">
        <v>587</v>
      </c>
      <c r="W11" s="660" t="str">
        <f>IF(J29-F29&lt;=0,"○","×")</f>
        <v>○</v>
      </c>
      <c r="X11" s="687" t="s">
        <v>572</v>
      </c>
      <c r="Y11" s="687"/>
      <c r="Z11" s="688"/>
      <c r="AA11"/>
      <c r="AC11"/>
      <c r="AD11" s="11"/>
      <c r="AE11" s="78"/>
      <c r="AF11" s="80"/>
      <c r="AG11" s="11"/>
      <c r="AH11" s="418" t="s">
        <v>699</v>
      </c>
      <c r="AI11" s="419">
        <v>1000000</v>
      </c>
      <c r="AJ11" s="420">
        <f>F29</f>
        <v>10000000</v>
      </c>
      <c r="AK11" s="421" t="str">
        <f>IF(AJ11-AI11&gt;=0,"○","×")</f>
        <v>○</v>
      </c>
      <c r="AL11" s="420">
        <v>1000000</v>
      </c>
      <c r="AM11" s="420">
        <f>F29</f>
        <v>10000000</v>
      </c>
      <c r="AN11" s="422" t="str">
        <f>IF(AM11-AL11&gt;=0,"○","×")</f>
        <v>○</v>
      </c>
      <c r="AO11" s="415">
        <f>IF('基本情報入力（使い方）'!$C$21=1,AI11,IF('基本情報入力（使い方）'!$C$21=2,AL11))</f>
        <v>1000000</v>
      </c>
      <c r="AP11" s="416">
        <f>IF('基本情報入力（使い方）'!$C$21=1,AJ11,IF('基本情報入力（使い方）'!$C$21=2,AM11))</f>
        <v>10000000</v>
      </c>
      <c r="AQ11" s="417" t="str">
        <f>IF('基本情報入力（使い方）'!$C$21=1,AK11,IF('基本情報入力（使い方）'!$C$21=2,AN11))</f>
        <v>○</v>
      </c>
    </row>
    <row r="12" spans="1:44" ht="28.5" customHeight="1">
      <c r="A12" s="395"/>
      <c r="B12" s="25"/>
      <c r="C12" s="232"/>
      <c r="D12" s="232"/>
      <c r="E12" s="230"/>
      <c r="F12" s="230"/>
      <c r="G12" s="230"/>
      <c r="H12" s="231"/>
      <c r="I12" s="231"/>
      <c r="J12" s="1"/>
      <c r="K12" s="1"/>
      <c r="L12" s="1"/>
      <c r="M12" s="472"/>
      <c r="N12" s="472" t="s">
        <v>31</v>
      </c>
      <c r="O12" s="85">
        <f>IF(E23="",0,ROUNDDOWN(E23*2/3,0))</f>
        <v>1200000</v>
      </c>
      <c r="P12" s="260">
        <f>IF(O12=0,"",IF(SUM($O$10:$O$11)&gt;0,RANK(Q12,$Q$12:$Q$14)+1,RANK(Q12,$Q$12:$Q$14)))</f>
        <v>2</v>
      </c>
      <c r="Q12" s="86">
        <f>IF(SUM($Q$10:$Q$11)-$O$17&gt;=0,0,ROUNDDOWN(O12/$O$16*$O$18,0))</f>
        <v>1074627</v>
      </c>
      <c r="R12" s="86">
        <f>IF($Q$16-Q12=0,Q12+$Q$20,Q12)</f>
        <v>1074628</v>
      </c>
      <c r="S12" s="87">
        <f>F23-O12</f>
        <v>-125371</v>
      </c>
      <c r="T12" s="475" t="s">
        <v>532</v>
      </c>
      <c r="U12" s="474"/>
      <c r="V12" s="659"/>
      <c r="W12" s="661"/>
      <c r="X12" s="689"/>
      <c r="Y12" s="689"/>
      <c r="Z12" s="690"/>
      <c r="AA12"/>
      <c r="AC12"/>
      <c r="AD12" s="11"/>
      <c r="AE12" s="78"/>
      <c r="AF12" s="80"/>
      <c r="AG12" s="11"/>
      <c r="AH12" s="423" t="s">
        <v>38</v>
      </c>
      <c r="AI12" s="424" t="s">
        <v>751</v>
      </c>
      <c r="AJ12" s="425">
        <f>E19</f>
        <v>10500000</v>
      </c>
      <c r="AK12" s="421" t="str">
        <f>IF(AJ12&gt;=500000,"○","×")</f>
        <v>○</v>
      </c>
      <c r="AL12" s="424" t="s">
        <v>751</v>
      </c>
      <c r="AM12" s="425">
        <f>E19</f>
        <v>10500000</v>
      </c>
      <c r="AN12" s="422" t="str">
        <f>IF(AM12&gt;=500000,"○","×")</f>
        <v>○</v>
      </c>
      <c r="AO12" s="426" t="s">
        <v>752</v>
      </c>
      <c r="AP12" s="416">
        <f>IF('基本情報入力（使い方）'!$C$21=1,AJ12,IF('基本情報入力（使い方）'!$C$21=2,AM12))</f>
        <v>10500000</v>
      </c>
      <c r="AQ12" s="417" t="str">
        <f>IF('基本情報入力（使い方）'!$C$21=1,AK12,IF('基本情報入力（使い方）'!$C$21=2,AN12))</f>
        <v>○</v>
      </c>
      <c r="AR12" s="88"/>
    </row>
    <row r="13" spans="1:44" ht="30" customHeight="1">
      <c r="A13" s="640"/>
      <c r="B13" s="641" t="s">
        <v>598</v>
      </c>
      <c r="C13" s="693" t="str">
        <f>事業類型&amp;"　"&amp;AI25</f>
        <v>ものづくり技術　一般型</v>
      </c>
      <c r="D13" s="694"/>
      <c r="E13" s="694"/>
      <c r="F13" s="694"/>
      <c r="G13" s="694"/>
      <c r="H13" s="694"/>
      <c r="I13" s="695"/>
      <c r="J13" s="98"/>
      <c r="K13" s="98"/>
      <c r="L13" s="98"/>
      <c r="M13" s="472"/>
      <c r="N13" s="472" t="s">
        <v>32</v>
      </c>
      <c r="O13" s="85">
        <f>IF(E25="",0,ROUNDDOWN(E25*2/3,0))</f>
        <v>590000</v>
      </c>
      <c r="P13" s="260">
        <f>IF(O13=0,"",IF(SUM($O$10:$O$11)&gt;0,RANK(Q13,$Q$12:$Q$14)+1,RANK(Q13,$Q$12:$Q$14)))</f>
        <v>4</v>
      </c>
      <c r="Q13" s="86">
        <f>IF(SUM($Q$10:$Q$11)-$O$17&gt;=0,0,ROUNDDOWN(O13/$O$16*$O$18,0))</f>
        <v>528358</v>
      </c>
      <c r="R13" s="86">
        <f>IF($Q$16-Q13=0,Q13+$Q$20,Q13)</f>
        <v>528358</v>
      </c>
      <c r="S13" s="87">
        <f>F25-O13</f>
        <v>-61641</v>
      </c>
      <c r="T13" s="475" t="s">
        <v>533</v>
      </c>
      <c r="U13" s="474"/>
      <c r="V13" s="659" t="s">
        <v>588</v>
      </c>
      <c r="W13" s="661" t="str">
        <f>IF(I29-E29&lt;=0,"○","×")</f>
        <v>○</v>
      </c>
      <c r="X13" s="691" t="s">
        <v>528</v>
      </c>
      <c r="Y13" s="691"/>
      <c r="Z13" s="692"/>
      <c r="AA13"/>
      <c r="AC13"/>
      <c r="AD13" s="79"/>
      <c r="AE13" s="78"/>
      <c r="AF13" s="80"/>
      <c r="AG13" s="79"/>
      <c r="AH13" s="427"/>
      <c r="AI13" s="430"/>
      <c r="AJ13" s="431"/>
      <c r="AK13" s="428"/>
      <c r="AL13" s="433"/>
      <c r="AM13" s="434"/>
      <c r="AN13" s="434"/>
      <c r="AO13" s="348"/>
      <c r="AP13" s="348"/>
      <c r="AQ13" s="429"/>
      <c r="AR13" s="88"/>
    </row>
    <row r="14" spans="1:44" ht="30" customHeight="1" thickBot="1">
      <c r="A14" s="640"/>
      <c r="B14" s="642"/>
      <c r="C14" s="696"/>
      <c r="D14" s="697"/>
      <c r="E14" s="697"/>
      <c r="F14" s="697"/>
      <c r="G14" s="697"/>
      <c r="H14" s="697"/>
      <c r="I14" s="698"/>
      <c r="J14" s="304" t="s">
        <v>714</v>
      </c>
      <c r="K14" s="304"/>
      <c r="L14" s="304"/>
      <c r="M14" s="472"/>
      <c r="N14" s="472" t="s">
        <v>631</v>
      </c>
      <c r="O14" s="85">
        <f>IF(E27="",0,ROUNDDOWN(E27*2/3,0))</f>
        <v>666666</v>
      </c>
      <c r="P14" s="260">
        <f>IF(O14=0,"",IF(SUM($O$10:$O$11)&gt;0,RANK(Q14,$Q$12:$Q$14)+1,RANK(Q14,$Q$12:$Q$14)))</f>
        <v>3</v>
      </c>
      <c r="Q14" s="86">
        <f>IF(SUM($Q$10:$Q$11)-$O$17&gt;=0,0,ROUNDDOWN(O14/$O$16*$O$18,0))</f>
        <v>597014</v>
      </c>
      <c r="R14" s="86">
        <f>IF($Q$16-Q14=0,Q14+$Q$20,Q14)</f>
        <v>597014</v>
      </c>
      <c r="S14" s="94">
        <f>F27-O14</f>
        <v>-69651</v>
      </c>
      <c r="T14" s="475" t="s">
        <v>638</v>
      </c>
      <c r="U14" s="474"/>
      <c r="V14" s="659"/>
      <c r="W14" s="661"/>
      <c r="X14" s="691"/>
      <c r="Y14" s="691"/>
      <c r="Z14" s="692"/>
      <c r="AA14"/>
      <c r="AC14"/>
      <c r="AD14" s="11"/>
      <c r="AE14" s="78"/>
      <c r="AF14" s="80"/>
      <c r="AG14" s="11"/>
      <c r="AH14" s="436" t="s">
        <v>710</v>
      </c>
      <c r="AI14" s="430"/>
      <c r="AJ14" s="432"/>
      <c r="AK14" s="428"/>
      <c r="AL14" s="433"/>
      <c r="AM14" s="432"/>
      <c r="AN14" s="434"/>
      <c r="AO14" s="348"/>
      <c r="AP14" s="348"/>
      <c r="AQ14" s="429"/>
      <c r="AR14" s="88"/>
    </row>
    <row r="15" spans="1:43" s="88" customFormat="1" ht="30" customHeight="1" thickTop="1">
      <c r="A15" s="640"/>
      <c r="B15" s="647" t="s">
        <v>17</v>
      </c>
      <c r="C15" s="650" t="s">
        <v>526</v>
      </c>
      <c r="D15" s="650"/>
      <c r="E15" s="650"/>
      <c r="F15" s="650"/>
      <c r="G15" s="703" t="s">
        <v>527</v>
      </c>
      <c r="H15" s="704"/>
      <c r="I15" s="704"/>
      <c r="J15" s="705"/>
      <c r="K15" s="102"/>
      <c r="L15" s="102"/>
      <c r="M15" s="476"/>
      <c r="N15" s="113" t="s">
        <v>30</v>
      </c>
      <c r="O15" s="92">
        <f>SUM(O10:O14)</f>
        <v>10256666</v>
      </c>
      <c r="P15" s="477"/>
      <c r="Q15" s="95">
        <f>SUM(Q10:Q14)</f>
        <v>9999999</v>
      </c>
      <c r="R15" s="92">
        <f>SUM(R10:R14)</f>
        <v>10000000</v>
      </c>
      <c r="S15" s="478"/>
      <c r="T15" s="479"/>
      <c r="U15" s="474"/>
      <c r="V15" s="659" t="s">
        <v>589</v>
      </c>
      <c r="W15" s="661" t="str">
        <f>IF(Q38-ABS(P38)&gt;=0,"○","×")</f>
        <v>○</v>
      </c>
      <c r="X15" s="663" t="s">
        <v>585</v>
      </c>
      <c r="Y15" s="663"/>
      <c r="Z15" s="664"/>
      <c r="AA15"/>
      <c r="AC15"/>
      <c r="AD15" s="11"/>
      <c r="AE15" s="78"/>
      <c r="AF15" s="80"/>
      <c r="AG15" s="11"/>
      <c r="AH15" s="789" t="s">
        <v>692</v>
      </c>
      <c r="AI15" s="791" t="s">
        <v>693</v>
      </c>
      <c r="AJ15" s="792"/>
      <c r="AK15" s="793"/>
      <c r="AL15" s="794" t="s">
        <v>694</v>
      </c>
      <c r="AM15" s="792"/>
      <c r="AN15" s="792"/>
      <c r="AO15" s="795" t="s">
        <v>695</v>
      </c>
      <c r="AP15" s="796"/>
      <c r="AQ15" s="797"/>
    </row>
    <row r="16" spans="1:43" s="88" customFormat="1" ht="30" customHeight="1" thickBot="1">
      <c r="A16" s="640"/>
      <c r="B16" s="648"/>
      <c r="C16" s="645" t="s">
        <v>600</v>
      </c>
      <c r="D16" s="646"/>
      <c r="E16" s="193" t="s">
        <v>601</v>
      </c>
      <c r="F16" s="192" t="s">
        <v>21</v>
      </c>
      <c r="G16" s="718" t="s">
        <v>600</v>
      </c>
      <c r="H16" s="646"/>
      <c r="I16" s="193" t="s">
        <v>601</v>
      </c>
      <c r="J16" s="100" t="s">
        <v>21</v>
      </c>
      <c r="K16" s="465"/>
      <c r="L16" s="465"/>
      <c r="M16" s="711" t="s">
        <v>591</v>
      </c>
      <c r="N16" s="713"/>
      <c r="O16" s="480">
        <f>O15-SUM(O10:O11)</f>
        <v>2456666</v>
      </c>
      <c r="P16" s="481" t="s">
        <v>592</v>
      </c>
      <c r="Q16" s="273">
        <f>IF(ISERROR(VLOOKUP(2,$P$10:$Q$14,2,FALSE)),0,VLOOKUP(2,$P$10:$Q$14,2,FALSE))</f>
        <v>1074627</v>
      </c>
      <c r="R16" s="482" t="s">
        <v>593</v>
      </c>
      <c r="S16" s="483"/>
      <c r="T16" s="483"/>
      <c r="U16" s="474"/>
      <c r="V16" s="659"/>
      <c r="W16" s="662"/>
      <c r="X16" s="665"/>
      <c r="Y16" s="665"/>
      <c r="Z16" s="666"/>
      <c r="AA16"/>
      <c r="AC16"/>
      <c r="AD16" s="79"/>
      <c r="AE16" s="78"/>
      <c r="AF16" s="80"/>
      <c r="AG16" s="79"/>
      <c r="AH16" s="790"/>
      <c r="AI16" s="407" t="s">
        <v>696</v>
      </c>
      <c r="AJ16" s="408" t="s">
        <v>697</v>
      </c>
      <c r="AK16" s="408" t="s">
        <v>698</v>
      </c>
      <c r="AL16" s="408" t="s">
        <v>696</v>
      </c>
      <c r="AM16" s="408" t="s">
        <v>697</v>
      </c>
      <c r="AN16" s="409" t="s">
        <v>698</v>
      </c>
      <c r="AO16" s="407" t="s">
        <v>696</v>
      </c>
      <c r="AP16" s="408" t="s">
        <v>697</v>
      </c>
      <c r="AQ16" s="408" t="s">
        <v>698</v>
      </c>
    </row>
    <row r="17" spans="1:43" s="88" customFormat="1" ht="30" customHeight="1" thickTop="1">
      <c r="A17" s="640"/>
      <c r="B17" s="648"/>
      <c r="C17" s="643" t="s">
        <v>39</v>
      </c>
      <c r="D17" s="644"/>
      <c r="E17" s="398" t="s">
        <v>40</v>
      </c>
      <c r="F17" s="399" t="s">
        <v>529</v>
      </c>
      <c r="G17" s="699" t="s">
        <v>530</v>
      </c>
      <c r="H17" s="644"/>
      <c r="I17" s="398" t="s">
        <v>40</v>
      </c>
      <c r="J17" s="400" t="s">
        <v>531</v>
      </c>
      <c r="K17" s="102"/>
      <c r="L17" s="102"/>
      <c r="M17" s="711" t="s">
        <v>594</v>
      </c>
      <c r="N17" s="713"/>
      <c r="O17" s="480">
        <f>F29</f>
        <v>10000000</v>
      </c>
      <c r="P17" s="481" t="s">
        <v>595</v>
      </c>
      <c r="Q17" s="273">
        <f>SUMIF(P10:P14,2,Q10:Q14)</f>
        <v>1074627</v>
      </c>
      <c r="R17" s="482" t="s">
        <v>596</v>
      </c>
      <c r="S17" s="483"/>
      <c r="T17" s="484"/>
      <c r="U17" s="474"/>
      <c r="V17" s="719"/>
      <c r="W17" s="701"/>
      <c r="X17" s="702"/>
      <c r="Y17" s="702"/>
      <c r="Z17" s="702"/>
      <c r="AA17"/>
      <c r="AC17"/>
      <c r="AD17" s="11"/>
      <c r="AE17" s="78"/>
      <c r="AF17" s="80"/>
      <c r="AG17" s="11"/>
      <c r="AH17" s="410" t="s">
        <v>750</v>
      </c>
      <c r="AI17" s="411">
        <f>MIN(10000000,F29)</f>
        <v>10000000</v>
      </c>
      <c r="AJ17" s="412">
        <f>J29</f>
        <v>10000000</v>
      </c>
      <c r="AK17" s="413" t="str">
        <f>IF(AI17-AJ17&gt;=0,"○","×")</f>
        <v>○</v>
      </c>
      <c r="AL17" s="412">
        <f>MIN(F29,5000000)</f>
        <v>5000000</v>
      </c>
      <c r="AM17" s="412">
        <f>J29</f>
        <v>10000000</v>
      </c>
      <c r="AN17" s="414" t="str">
        <f>IF(AL17-AM17&gt;=0,"○","×")</f>
        <v>×</v>
      </c>
      <c r="AO17" s="415">
        <f>IF('基本情報入力（使い方）'!$C$21=1,AI17,IF('基本情報入力（使い方）'!$C$21=2,AL17))</f>
        <v>10000000</v>
      </c>
      <c r="AP17" s="416">
        <f>IF('基本情報入力（使い方）'!$C$21=1,AJ17,IF('基本情報入力（使い方）'!$C$21=2,AM17))</f>
        <v>10000000</v>
      </c>
      <c r="AQ17" s="417" t="str">
        <f>IF('[1]基本情報入力（使い方）'!$C$21=1,AK17,IF('[1]基本情報入力（使い方）'!$C$21=2,AN17))</f>
        <v>○</v>
      </c>
    </row>
    <row r="18" spans="1:43" s="88" customFormat="1" ht="30" customHeight="1">
      <c r="A18" s="640"/>
      <c r="B18" s="649"/>
      <c r="C18" s="102" t="s">
        <v>41</v>
      </c>
      <c r="D18" s="58" t="s">
        <v>23</v>
      </c>
      <c r="E18" s="58" t="s">
        <v>23</v>
      </c>
      <c r="F18" s="233" t="s">
        <v>23</v>
      </c>
      <c r="G18" s="103" t="s">
        <v>14</v>
      </c>
      <c r="H18" s="58" t="s">
        <v>23</v>
      </c>
      <c r="I18" s="58" t="s">
        <v>23</v>
      </c>
      <c r="J18" s="104" t="s">
        <v>23</v>
      </c>
      <c r="K18" s="102"/>
      <c r="L18" s="102"/>
      <c r="M18" s="711" t="s">
        <v>597</v>
      </c>
      <c r="N18" s="720"/>
      <c r="O18" s="480">
        <f>MAX(O17-SUM(O10:O11),0)</f>
        <v>2200000</v>
      </c>
      <c r="P18" s="481" t="s">
        <v>745</v>
      </c>
      <c r="Q18" s="196">
        <f>MIN(O17-(Q15-SUM(Q10:Q11)),O17-Q15)</f>
        <v>1</v>
      </c>
      <c r="R18" s="482"/>
      <c r="S18" s="483"/>
      <c r="T18" s="485"/>
      <c r="U18" s="474"/>
      <c r="V18" s="719"/>
      <c r="W18" s="701"/>
      <c r="X18" s="702"/>
      <c r="Y18" s="702"/>
      <c r="Z18" s="702"/>
      <c r="AA18"/>
      <c r="AC18"/>
      <c r="AD18" s="79"/>
      <c r="AE18" s="78"/>
      <c r="AF18" s="80"/>
      <c r="AG18" s="79"/>
      <c r="AH18" s="418" t="s">
        <v>699</v>
      </c>
      <c r="AI18" s="419">
        <v>1000000</v>
      </c>
      <c r="AJ18" s="420">
        <f>J29</f>
        <v>10000000</v>
      </c>
      <c r="AK18" s="421" t="str">
        <f>IF(AJ18-AI18&gt;=0,"○","×")</f>
        <v>○</v>
      </c>
      <c r="AL18" s="420">
        <v>1000000</v>
      </c>
      <c r="AM18" s="420">
        <f>J29</f>
        <v>10000000</v>
      </c>
      <c r="AN18" s="422" t="str">
        <f>IF(AM18-AL18&gt;=0,"○","×")</f>
        <v>○</v>
      </c>
      <c r="AO18" s="415">
        <f>IF('基本情報入力（使い方）'!$C$21=1,AI18,IF('基本情報入力（使い方）'!$C$21=2,AL18))</f>
        <v>1000000</v>
      </c>
      <c r="AP18" s="416">
        <f>IF('基本情報入力（使い方）'!$C$21=1,AJ18,IF('基本情報入力（使い方）'!$C$21=2,AM18))</f>
        <v>10000000</v>
      </c>
      <c r="AQ18" s="417" t="str">
        <f>IF('[1]基本情報入力（使い方）'!$C$21=1,AK18,IF('[1]基本情報入力（使い方）'!$C$21=2,AN18))</f>
        <v>○</v>
      </c>
    </row>
    <row r="19" spans="1:43" s="88" customFormat="1" ht="30" customHeight="1">
      <c r="A19" s="396"/>
      <c r="B19" s="799" t="s">
        <v>629</v>
      </c>
      <c r="C19" s="801">
        <v>11340000</v>
      </c>
      <c r="D19" s="803">
        <v>10500000</v>
      </c>
      <c r="E19" s="803">
        <v>10500000</v>
      </c>
      <c r="F19" s="805">
        <v>6999999</v>
      </c>
      <c r="G19" s="727">
        <f>'機械装置費（50万円以上）'!K33</f>
        <v>11339136</v>
      </c>
      <c r="H19" s="814">
        <f>'機械装置費（50万円以上）'!L33</f>
        <v>10499200</v>
      </c>
      <c r="I19" s="830">
        <f>'機械装置費（50万円以上）'!M33</f>
        <v>10499200</v>
      </c>
      <c r="J19" s="832">
        <f>Y54</f>
        <v>6999466</v>
      </c>
      <c r="K19" s="466"/>
      <c r="L19" s="466"/>
      <c r="M19" s="711"/>
      <c r="N19" s="712"/>
      <c r="O19" s="486"/>
      <c r="P19" s="481" t="s">
        <v>746</v>
      </c>
      <c r="Q19" s="197">
        <f>IF(Q16=0,0,Q17/Q16)</f>
        <v>1</v>
      </c>
      <c r="R19" s="487"/>
      <c r="S19" s="488"/>
      <c r="T19" s="484"/>
      <c r="U19" s="474"/>
      <c r="V19" s="78"/>
      <c r="W19"/>
      <c r="X19"/>
      <c r="Y19"/>
      <c r="Z19"/>
      <c r="AA19"/>
      <c r="AC19"/>
      <c r="AD19" s="11"/>
      <c r="AE19" s="78"/>
      <c r="AF19" s="80"/>
      <c r="AG19" s="11"/>
      <c r="AH19" s="423" t="s">
        <v>38</v>
      </c>
      <c r="AI19" s="424" t="s">
        <v>751</v>
      </c>
      <c r="AJ19" s="425">
        <f>I19</f>
        <v>10499200</v>
      </c>
      <c r="AK19" s="421" t="str">
        <f>IF(AJ19&gt;=500000,"○","×")</f>
        <v>○</v>
      </c>
      <c r="AL19" s="424" t="s">
        <v>751</v>
      </c>
      <c r="AM19" s="425">
        <f>I19</f>
        <v>10499200</v>
      </c>
      <c r="AN19" s="422" t="str">
        <f>IF(AM19&gt;=500000,"○","×")</f>
        <v>○</v>
      </c>
      <c r="AO19" s="426" t="s">
        <v>751</v>
      </c>
      <c r="AP19" s="458">
        <f>IF('基本情報入力（使い方）'!$C$21=1,AJ19,IF('基本情報入力（使い方）'!$C$21=2,AM19))</f>
        <v>10499200</v>
      </c>
      <c r="AQ19" s="417" t="str">
        <f>IF('基本情報入力（使い方）'!$C$21=1,AK19,IF('基本情報入力（使い方）'!$C$21=2,AN19))</f>
        <v>○</v>
      </c>
    </row>
    <row r="20" spans="2:43" s="88" customFormat="1" ht="30" customHeight="1">
      <c r="B20" s="800"/>
      <c r="C20" s="802"/>
      <c r="D20" s="804"/>
      <c r="E20" s="804"/>
      <c r="F20" s="806"/>
      <c r="G20" s="728"/>
      <c r="H20" s="829"/>
      <c r="I20" s="839"/>
      <c r="J20" s="841"/>
      <c r="L20" s="466"/>
      <c r="M20" s="725"/>
      <c r="N20" s="712"/>
      <c r="O20" s="489"/>
      <c r="P20" s="490" t="s">
        <v>36</v>
      </c>
      <c r="Q20" s="196">
        <f>IF(Q19=0,0,ROUNDDOWN(Q18/Q19,0))</f>
        <v>1</v>
      </c>
      <c r="R20" s="74"/>
      <c r="S20" s="74"/>
      <c r="T20" s="74"/>
      <c r="U20" s="474"/>
      <c r="V20" s="89"/>
      <c r="W20" s="90"/>
      <c r="X20" s="90"/>
      <c r="Y20" s="91"/>
      <c r="Z20" s="376"/>
      <c r="AA20"/>
      <c r="AC20"/>
      <c r="AD20" s="79"/>
      <c r="AE20" s="78"/>
      <c r="AF20" s="80"/>
      <c r="AG20" s="79"/>
      <c r="AH20" s="349"/>
      <c r="AI20" s="349"/>
      <c r="AJ20" s="349"/>
      <c r="AK20" s="349"/>
      <c r="AL20" s="349"/>
      <c r="AM20" s="349"/>
      <c r="AN20" s="349"/>
      <c r="AO20" s="349"/>
      <c r="AP20" s="349"/>
      <c r="AQ20" s="349"/>
    </row>
    <row r="21" spans="1:44" ht="30" customHeight="1" thickBot="1">
      <c r="A21" s="396"/>
      <c r="B21" s="807" t="s">
        <v>630</v>
      </c>
      <c r="C21" s="818">
        <v>1296000</v>
      </c>
      <c r="D21" s="808">
        <v>1200000</v>
      </c>
      <c r="E21" s="808">
        <v>1200000</v>
      </c>
      <c r="F21" s="822">
        <v>799998</v>
      </c>
      <c r="G21" s="824">
        <f>'機械装置費（50万円未満）'!K33</f>
        <v>1296000</v>
      </c>
      <c r="H21" s="828">
        <f>'機械装置費（50万円未満）'!L33</f>
        <v>1200000</v>
      </c>
      <c r="I21" s="838">
        <f>'機械装置費（50万円未満）'!M33</f>
        <v>1200000</v>
      </c>
      <c r="J21" s="840">
        <f>Y56</f>
        <v>799998</v>
      </c>
      <c r="K21" s="466"/>
      <c r="L21" s="466"/>
      <c r="M21" s="471"/>
      <c r="N21" s="471"/>
      <c r="O21" s="471"/>
      <c r="P21" s="471"/>
      <c r="Q21" s="471"/>
      <c r="R21" s="471"/>
      <c r="S21" s="471"/>
      <c r="T21" s="471"/>
      <c r="U21" s="491"/>
      <c r="V21" s="78"/>
      <c r="W21" s="93" t="s">
        <v>748</v>
      </c>
      <c r="X21" s="682" t="s">
        <v>534</v>
      </c>
      <c r="Y21" s="683"/>
      <c r="Z21" s="684"/>
      <c r="AA21"/>
      <c r="AC21"/>
      <c r="AD21"/>
      <c r="AE21" s="74"/>
      <c r="AF21" s="74"/>
      <c r="AG21" s="279"/>
      <c r="AH21" s="281" t="s">
        <v>543</v>
      </c>
      <c r="AI21" s="282"/>
      <c r="AJ21" s="282"/>
      <c r="AK21" s="279"/>
      <c r="AL21" s="349"/>
      <c r="AM21" s="349"/>
      <c r="AN21" s="349"/>
      <c r="AO21" s="349"/>
      <c r="AP21" s="349"/>
      <c r="AQ21" s="349"/>
      <c r="AR21" s="88"/>
    </row>
    <row r="22" spans="2:43" ht="30" customHeight="1" thickTop="1">
      <c r="B22" s="800"/>
      <c r="C22" s="819"/>
      <c r="D22" s="804"/>
      <c r="E22" s="804"/>
      <c r="F22" s="806"/>
      <c r="G22" s="728"/>
      <c r="H22" s="829"/>
      <c r="I22" s="839"/>
      <c r="J22" s="841"/>
      <c r="L22" s="470"/>
      <c r="U22" s="160"/>
      <c r="V22" s="78"/>
      <c r="W22" s="676" t="str">
        <f>AQ19</f>
        <v>○</v>
      </c>
      <c r="X22" s="678" t="str">
        <f>AO19</f>
        <v>機械装置費で補助対象経費にして
単価５０万円以上の設備投資が必要</v>
      </c>
      <c r="Y22" s="678"/>
      <c r="Z22" s="679"/>
      <c r="AA22"/>
      <c r="AB22"/>
      <c r="AC22"/>
      <c r="AD22"/>
      <c r="AE22"/>
      <c r="AF22"/>
      <c r="AG22" s="279"/>
      <c r="AH22" s="370" t="s">
        <v>546</v>
      </c>
      <c r="AI22" s="706" t="s">
        <v>44</v>
      </c>
      <c r="AJ22" s="706"/>
      <c r="AK22" s="707"/>
      <c r="AL22" s="342"/>
      <c r="AM22" s="342"/>
      <c r="AN22" s="342"/>
      <c r="AO22" s="342"/>
      <c r="AP22" s="342"/>
      <c r="AQ22" s="342"/>
    </row>
    <row r="23" spans="1:43" ht="30" customHeight="1">
      <c r="A23" s="396"/>
      <c r="B23" s="807" t="s">
        <v>31</v>
      </c>
      <c r="C23" s="818">
        <v>1944000</v>
      </c>
      <c r="D23" s="808">
        <v>1800000</v>
      </c>
      <c r="E23" s="808">
        <v>1800000</v>
      </c>
      <c r="F23" s="822">
        <v>1074629</v>
      </c>
      <c r="G23" s="824">
        <f>'技術導入費'!K33</f>
        <v>1998000</v>
      </c>
      <c r="H23" s="828">
        <f>'技術導入費'!L33</f>
        <v>1850000</v>
      </c>
      <c r="I23" s="838">
        <f>'技術導入費'!M33</f>
        <v>1700800</v>
      </c>
      <c r="J23" s="840">
        <f>Y58</f>
        <v>1074629</v>
      </c>
      <c r="K23" s="466"/>
      <c r="L23" s="466"/>
      <c r="M23" s="470"/>
      <c r="U23" s="27"/>
      <c r="V23" s="74"/>
      <c r="W23" s="677"/>
      <c r="X23" s="680">
        <f>AP19</f>
        <v>10499200</v>
      </c>
      <c r="Y23" s="680"/>
      <c r="Z23" s="681"/>
      <c r="AA23"/>
      <c r="AB23"/>
      <c r="AC23"/>
      <c r="AD23"/>
      <c r="AE23" s="54"/>
      <c r="AF23" s="61"/>
      <c r="AG23" s="61"/>
      <c r="AH23" s="371" t="s">
        <v>547</v>
      </c>
      <c r="AI23" s="777">
        <v>0.08</v>
      </c>
      <c r="AJ23" s="777"/>
      <c r="AK23" s="778"/>
      <c r="AL23" s="342"/>
      <c r="AM23" s="342"/>
      <c r="AN23" s="342"/>
      <c r="AO23" s="342"/>
      <c r="AP23" s="342"/>
      <c r="AQ23" s="342"/>
    </row>
    <row r="24" spans="2:43" ht="30" customHeight="1">
      <c r="B24" s="800"/>
      <c r="C24" s="819"/>
      <c r="D24" s="804"/>
      <c r="E24" s="804"/>
      <c r="F24" s="806"/>
      <c r="G24" s="728"/>
      <c r="H24" s="829"/>
      <c r="I24" s="839"/>
      <c r="J24" s="841"/>
      <c r="L24" s="466"/>
      <c r="M24" s="470"/>
      <c r="U24" s="97"/>
      <c r="V24" s="1"/>
      <c r="W24" s="27"/>
      <c r="X24" s="406"/>
      <c r="Y24" s="710"/>
      <c r="Z24" s="710"/>
      <c r="AA24" s="710"/>
      <c r="AB24"/>
      <c r="AC24"/>
      <c r="AD24" s="54"/>
      <c r="AE24" s="54"/>
      <c r="AF24" s="61"/>
      <c r="AG24" s="61"/>
      <c r="AH24" s="787" t="s">
        <v>548</v>
      </c>
      <c r="AI24" s="760" t="str">
        <f>VLOOKUP('基本情報入力（使い方）'!C16,'設定'!B:C,2)</f>
        <v>ものづくり技術</v>
      </c>
      <c r="AJ24" s="761"/>
      <c r="AK24" s="762"/>
      <c r="AL24" s="798"/>
      <c r="AM24" s="798"/>
      <c r="AN24" s="798"/>
      <c r="AO24" s="776"/>
      <c r="AP24" s="776"/>
      <c r="AQ24" s="776"/>
    </row>
    <row r="25" spans="1:43" ht="30" customHeight="1">
      <c r="A25" s="396"/>
      <c r="B25" s="807" t="s">
        <v>32</v>
      </c>
      <c r="C25" s="818">
        <v>955800</v>
      </c>
      <c r="D25" s="808">
        <v>885000</v>
      </c>
      <c r="E25" s="808">
        <v>885000</v>
      </c>
      <c r="F25" s="822">
        <v>528359</v>
      </c>
      <c r="G25" s="824">
        <f>'運搬費'!K33</f>
        <v>955800</v>
      </c>
      <c r="H25" s="828">
        <f>'運搬費'!L33</f>
        <v>885000</v>
      </c>
      <c r="I25" s="838">
        <f>'運搬費'!M33</f>
        <v>885000</v>
      </c>
      <c r="J25" s="840">
        <f>Y60</f>
        <v>528359</v>
      </c>
      <c r="K25" s="466"/>
      <c r="L25" s="467"/>
      <c r="O25" s="53"/>
      <c r="P25" s="53"/>
      <c r="Q25" s="53"/>
      <c r="U25" s="1"/>
      <c r="V25" s="1"/>
      <c r="W25" s="96"/>
      <c r="X25" s="716"/>
      <c r="Y25" s="715"/>
      <c r="Z25" s="715"/>
      <c r="AA25" s="715"/>
      <c r="AB25" s="27"/>
      <c r="AC25"/>
      <c r="AH25" s="788"/>
      <c r="AI25" s="760" t="str">
        <f>VLOOKUP('基本情報入力（使い方）'!C21,'設定'!E:F,2)</f>
        <v>一般型</v>
      </c>
      <c r="AJ25" s="761"/>
      <c r="AK25" s="762"/>
      <c r="AL25" s="347"/>
      <c r="AM25" s="347"/>
      <c r="AN25" s="347"/>
      <c r="AO25" s="347"/>
      <c r="AP25" s="347"/>
      <c r="AQ25" s="347"/>
    </row>
    <row r="26" spans="2:43" s="1" customFormat="1" ht="30" customHeight="1">
      <c r="B26" s="800"/>
      <c r="C26" s="819"/>
      <c r="D26" s="804"/>
      <c r="E26" s="804"/>
      <c r="F26" s="806"/>
      <c r="G26" s="728"/>
      <c r="H26" s="829"/>
      <c r="I26" s="839"/>
      <c r="J26" s="841"/>
      <c r="K26" s="464"/>
      <c r="L26" s="110"/>
      <c r="M26" s="82"/>
      <c r="N26" s="82"/>
      <c r="O26" s="331"/>
      <c r="P26" s="332"/>
      <c r="Q26" s="333"/>
      <c r="R26" s="124"/>
      <c r="S26" s="124"/>
      <c r="T26" s="124"/>
      <c r="U26" s="124"/>
      <c r="V26"/>
      <c r="X26" s="716"/>
      <c r="Y26" s="714"/>
      <c r="Z26" s="714"/>
      <c r="AA26" s="714"/>
      <c r="AC26" s="99"/>
      <c r="AD26" s="61"/>
      <c r="AE26" s="61"/>
      <c r="AF26"/>
      <c r="AG26"/>
      <c r="AH26" s="372" t="s">
        <v>717</v>
      </c>
      <c r="AI26" s="785">
        <f>F29</f>
        <v>10000000</v>
      </c>
      <c r="AJ26" s="786"/>
      <c r="AK26" s="377" t="s">
        <v>1</v>
      </c>
      <c r="AL26" s="348"/>
      <c r="AM26" s="348"/>
      <c r="AN26" s="428"/>
      <c r="AO26" s="348"/>
      <c r="AP26" s="348"/>
      <c r="AQ26" s="429"/>
    </row>
    <row r="27" spans="1:43" s="1" customFormat="1" ht="30" customHeight="1" thickBot="1">
      <c r="A27" s="396"/>
      <c r="B27" s="807" t="s">
        <v>631</v>
      </c>
      <c r="C27" s="818">
        <v>1080000</v>
      </c>
      <c r="D27" s="808">
        <v>1000000</v>
      </c>
      <c r="E27" s="808">
        <v>1000000</v>
      </c>
      <c r="F27" s="822">
        <v>597015</v>
      </c>
      <c r="G27" s="825">
        <f>'専門家経費'!K33</f>
        <v>1188000</v>
      </c>
      <c r="H27" s="834">
        <f>'専門家経費'!L33</f>
        <v>1100000</v>
      </c>
      <c r="I27" s="835">
        <f>'専門家経費'!M33</f>
        <v>1100000</v>
      </c>
      <c r="J27" s="836">
        <f>Y62</f>
        <v>597548</v>
      </c>
      <c r="K27" s="464"/>
      <c r="L27" s="54"/>
      <c r="M27" s="82"/>
      <c r="N27" s="82"/>
      <c r="O27" s="331"/>
      <c r="P27" s="332"/>
      <c r="Q27" s="333"/>
      <c r="R27" s="333"/>
      <c r="S27" s="334"/>
      <c r="T27" s="335"/>
      <c r="U27" s="124"/>
      <c r="V27"/>
      <c r="AC27" s="99"/>
      <c r="AD27" s="61"/>
      <c r="AE27" s="61"/>
      <c r="AF27"/>
      <c r="AG27"/>
      <c r="AH27" s="373" t="s">
        <v>699</v>
      </c>
      <c r="AI27" s="763">
        <f>VLOOKUP('基本情報入力（使い方）'!C21,'設定'!E:H,4)</f>
        <v>1000000</v>
      </c>
      <c r="AJ27" s="764"/>
      <c r="AK27" s="374" t="s">
        <v>1</v>
      </c>
      <c r="AL27" s="348"/>
      <c r="AM27" s="348"/>
      <c r="AN27" s="428"/>
      <c r="AO27" s="348"/>
      <c r="AP27" s="348"/>
      <c r="AQ27" s="429"/>
    </row>
    <row r="28" spans="2:43" s="1" customFormat="1" ht="30" customHeight="1" thickTop="1">
      <c r="B28" s="809"/>
      <c r="C28" s="820"/>
      <c r="D28" s="821"/>
      <c r="E28" s="821"/>
      <c r="F28" s="823"/>
      <c r="G28" s="825"/>
      <c r="H28" s="834"/>
      <c r="I28" s="835"/>
      <c r="J28" s="837"/>
      <c r="L28" s="54"/>
      <c r="M28" s="64"/>
      <c r="N28" s="67"/>
      <c r="O28" s="67"/>
      <c r="P28" s="67"/>
      <c r="Q28" s="67"/>
      <c r="AC28" s="99"/>
      <c r="AD28" s="61"/>
      <c r="AE28" s="61"/>
      <c r="AF28"/>
      <c r="AG28"/>
      <c r="AH28" s="344"/>
      <c r="AI28" s="344"/>
      <c r="AJ28" s="344"/>
      <c r="AK28" s="344"/>
      <c r="AL28" s="433"/>
      <c r="AM28" s="434"/>
      <c r="AN28" s="434"/>
      <c r="AO28" s="348"/>
      <c r="AP28" s="348"/>
      <c r="AQ28" s="429"/>
    </row>
    <row r="29" spans="1:43" ht="30" customHeight="1" thickBot="1">
      <c r="A29" s="396"/>
      <c r="B29" s="810" t="s">
        <v>573</v>
      </c>
      <c r="C29" s="812">
        <f aca="true" t="shared" si="0" ref="C29:I29">SUM(C19:C28)</f>
        <v>16615800</v>
      </c>
      <c r="D29" s="814">
        <f t="shared" si="0"/>
        <v>15385000</v>
      </c>
      <c r="E29" s="814">
        <f t="shared" si="0"/>
        <v>15385000</v>
      </c>
      <c r="F29" s="816">
        <f t="shared" si="0"/>
        <v>10000000</v>
      </c>
      <c r="G29" s="727">
        <f t="shared" si="0"/>
        <v>16776936</v>
      </c>
      <c r="H29" s="814">
        <f t="shared" si="0"/>
        <v>15534200</v>
      </c>
      <c r="I29" s="830">
        <f t="shared" si="0"/>
        <v>15385000</v>
      </c>
      <c r="J29" s="832">
        <f>SUM(J19:J28)</f>
        <v>10000000</v>
      </c>
      <c r="K29" s="466"/>
      <c r="L29" s="114"/>
      <c r="M29" s="64"/>
      <c r="N29" s="96"/>
      <c r="O29" s="22" t="s">
        <v>599</v>
      </c>
      <c r="P29" s="96"/>
      <c r="Q29" s="96"/>
      <c r="R29" s="96"/>
      <c r="S29" s="96"/>
      <c r="T29" s="96"/>
      <c r="U29" s="97"/>
      <c r="V29" s="97"/>
      <c r="W29" s="96"/>
      <c r="X29" s="24"/>
      <c r="Y29" s="24"/>
      <c r="Z29" s="96"/>
      <c r="AA29" s="96"/>
      <c r="AB29" s="96"/>
      <c r="AC29" s="99"/>
      <c r="AF29"/>
      <c r="AG29"/>
      <c r="AH29" s="427"/>
      <c r="AI29" s="430"/>
      <c r="AJ29" s="431"/>
      <c r="AK29" s="428"/>
      <c r="AL29" s="433"/>
      <c r="AM29" s="434"/>
      <c r="AN29" s="434"/>
      <c r="AO29" s="348"/>
      <c r="AP29" s="348"/>
      <c r="AQ29" s="429"/>
    </row>
    <row r="30" spans="1:43" ht="30" customHeight="1" thickBot="1" thickTop="1">
      <c r="A30"/>
      <c r="B30" s="811"/>
      <c r="C30" s="813"/>
      <c r="D30" s="815"/>
      <c r="E30" s="815"/>
      <c r="F30" s="817"/>
      <c r="G30" s="826"/>
      <c r="H30" s="827"/>
      <c r="I30" s="831"/>
      <c r="J30" s="833"/>
      <c r="K30" s="467"/>
      <c r="M30" s="64"/>
      <c r="N30" s="726"/>
      <c r="O30" s="722" t="s">
        <v>535</v>
      </c>
      <c r="P30" s="722" t="s">
        <v>536</v>
      </c>
      <c r="Q30" s="722" t="s">
        <v>602</v>
      </c>
      <c r="R30" s="722" t="s">
        <v>537</v>
      </c>
      <c r="S30" s="181" t="s">
        <v>538</v>
      </c>
      <c r="T30" s="182" t="s">
        <v>539</v>
      </c>
      <c r="U30" s="181" t="s">
        <v>540</v>
      </c>
      <c r="V30" s="181" t="s">
        <v>541</v>
      </c>
      <c r="W30" s="685" t="s">
        <v>603</v>
      </c>
      <c r="X30" s="734" t="s">
        <v>542</v>
      </c>
      <c r="Y30" s="403"/>
      <c r="AB30" s="101"/>
      <c r="AC30" s="101"/>
      <c r="AD30" s="101"/>
      <c r="AE30" s="54"/>
      <c r="AH30" s="427"/>
      <c r="AI30" s="430"/>
      <c r="AJ30" s="432"/>
      <c r="AK30" s="428"/>
      <c r="AL30" s="433"/>
      <c r="AM30" s="432"/>
      <c r="AN30" s="434"/>
      <c r="AO30" s="348"/>
      <c r="AP30" s="348"/>
      <c r="AQ30" s="429"/>
    </row>
    <row r="31" spans="7:43" ht="36.75" customHeight="1" thickTop="1">
      <c r="G31" s="471"/>
      <c r="H31" s="471"/>
      <c r="I31" s="721">
        <f>補助上限額</f>
        <v>10000000</v>
      </c>
      <c r="J31" s="721"/>
      <c r="M31" s="64"/>
      <c r="N31" s="726"/>
      <c r="O31" s="723"/>
      <c r="P31" s="723"/>
      <c r="Q31" s="723"/>
      <c r="R31" s="723"/>
      <c r="S31" s="708" t="s">
        <v>544</v>
      </c>
      <c r="T31" s="709" t="s">
        <v>545</v>
      </c>
      <c r="U31" s="741" t="s">
        <v>708</v>
      </c>
      <c r="V31" s="775" t="s">
        <v>747</v>
      </c>
      <c r="W31" s="685"/>
      <c r="X31" s="735"/>
      <c r="Y31" s="717"/>
      <c r="AB31" s="101"/>
      <c r="AC31" s="101"/>
      <c r="AD31" s="101"/>
      <c r="AE31" s="54"/>
      <c r="AF31"/>
      <c r="AG31"/>
      <c r="AH31" s="430"/>
      <c r="AI31" s="430"/>
      <c r="AJ31" s="432"/>
      <c r="AK31" s="428"/>
      <c r="AL31" s="433"/>
      <c r="AM31" s="432"/>
      <c r="AN31" s="434"/>
      <c r="AO31" s="348"/>
      <c r="AP31" s="348"/>
      <c r="AQ31" s="429"/>
    </row>
    <row r="32" spans="13:43" ht="30" customHeight="1" thickBot="1">
      <c r="M32" s="64"/>
      <c r="N32" s="726"/>
      <c r="O32" s="724"/>
      <c r="P32" s="724"/>
      <c r="Q32" s="724"/>
      <c r="R32" s="723"/>
      <c r="S32" s="708"/>
      <c r="T32" s="709"/>
      <c r="U32" s="742"/>
      <c r="V32" s="775"/>
      <c r="W32" s="685"/>
      <c r="X32" s="736"/>
      <c r="Y32" s="717"/>
      <c r="AB32" s="101"/>
      <c r="AC32" s="101"/>
      <c r="AD32" s="101"/>
      <c r="AE32" s="54"/>
      <c r="AF32"/>
      <c r="AG32"/>
      <c r="AH32" s="430"/>
      <c r="AI32" s="430"/>
      <c r="AJ32" s="432"/>
      <c r="AK32" s="428"/>
      <c r="AL32" s="433"/>
      <c r="AM32" s="432"/>
      <c r="AN32" s="434"/>
      <c r="AO32" s="348"/>
      <c r="AP32" s="348"/>
      <c r="AQ32" s="429"/>
    </row>
    <row r="33" spans="12:43" ht="30" customHeight="1" thickTop="1">
      <c r="L33" s="132"/>
      <c r="M33" s="730" t="s">
        <v>629</v>
      </c>
      <c r="N33" s="731"/>
      <c r="O33" s="443">
        <f>(F19-J19)</f>
        <v>533</v>
      </c>
      <c r="P33" s="444">
        <f>IF(O33&gt;=0,0,O33)</f>
        <v>0</v>
      </c>
      <c r="Q33" s="445">
        <f>IF(O33&lt;0,0,IF(O33-R33&gt;=0,R33,O33))</f>
        <v>533</v>
      </c>
      <c r="R33" s="445">
        <f>ROUNDDOWN($F19*0.2,0)</f>
        <v>1399999</v>
      </c>
      <c r="S33" s="446" t="str">
        <f>IF(AND(IF(ABS(O33)-R33&lt;=0,"○","×")="×",P33&lt;0),"×","○")</f>
        <v>○</v>
      </c>
      <c r="T33" s="446" t="str">
        <f>IF(J19-O54&lt;=0,"○","×")</f>
        <v>○</v>
      </c>
      <c r="U33" s="447" t="str">
        <f>IF(AND(D52&gt;=E52,E52&gt;=F52),"○","×")</f>
        <v>○</v>
      </c>
      <c r="V33" s="459" t="str">
        <f>AQ19</f>
        <v>○</v>
      </c>
      <c r="W33" s="107">
        <f>J19</f>
        <v>6999466</v>
      </c>
      <c r="X33" s="772" t="str">
        <f>IF(AND(S33="○",S34="○",S35="○",S36="○",S37="○",T33="○",T34="○",T35="○",T36="○",T37="○",U33="○",U34="○",U35="○",U36="○",U37="○",W11="○",W13="○",W15="○",W22="○"),"○","×")</f>
        <v>○</v>
      </c>
      <c r="Y33" s="340"/>
      <c r="AB33" s="105"/>
      <c r="AC33" s="105"/>
      <c r="AD33" s="105"/>
      <c r="AE33" s="54"/>
      <c r="AF33"/>
      <c r="AG33"/>
      <c r="AH33" s="430"/>
      <c r="AI33" s="433"/>
      <c r="AJ33" s="434"/>
      <c r="AK33" s="434"/>
      <c r="AL33" s="433"/>
      <c r="AM33" s="435"/>
      <c r="AN33" s="434"/>
      <c r="AO33" s="348"/>
      <c r="AP33" s="348"/>
      <c r="AQ33" s="429"/>
    </row>
    <row r="34" spans="2:43" ht="30" customHeight="1">
      <c r="B34" s="469"/>
      <c r="L34" s="132"/>
      <c r="M34" s="730" t="s">
        <v>630</v>
      </c>
      <c r="N34" s="731"/>
      <c r="O34" s="448">
        <f>(F21-J21)</f>
        <v>0</v>
      </c>
      <c r="P34" s="449">
        <f>IF(O34&gt;=0,0,O34)</f>
        <v>0</v>
      </c>
      <c r="Q34" s="450">
        <f>IF(O34&lt;0,0,IF(O34-R34&gt;=0,R34,O34))</f>
        <v>0</v>
      </c>
      <c r="R34" s="450">
        <f>ROUNDDOWN($F21*0.2,0)</f>
        <v>159999</v>
      </c>
      <c r="S34" s="451" t="str">
        <f>IF(AND(IF(ABS(O34)-R34&lt;=0,"○","×")="×",P34&lt;0),"×","○")</f>
        <v>○</v>
      </c>
      <c r="T34" s="451" t="str">
        <f>IF(J21-O56&lt;=0,"○","×")</f>
        <v>○</v>
      </c>
      <c r="U34" s="438" t="str">
        <f>IF(AND(D53&gt;=E53,E53&gt;=F53),"○","×")</f>
        <v>○</v>
      </c>
      <c r="V34" s="460"/>
      <c r="W34" s="107">
        <f>J21</f>
        <v>799998</v>
      </c>
      <c r="X34" s="773"/>
      <c r="Y34" s="340"/>
      <c r="AB34" s="105"/>
      <c r="AC34" s="105"/>
      <c r="AD34" s="105"/>
      <c r="AE34" s="53"/>
      <c r="AF34"/>
      <c r="AG34"/>
      <c r="AH34" s="430"/>
      <c r="AI34" s="430"/>
      <c r="AJ34" s="432"/>
      <c r="AK34" s="428"/>
      <c r="AL34" s="433"/>
      <c r="AM34" s="432"/>
      <c r="AN34" s="434"/>
      <c r="AO34" s="348"/>
      <c r="AP34" s="348"/>
      <c r="AQ34" s="429"/>
    </row>
    <row r="35" spans="12:43" ht="30" customHeight="1">
      <c r="L35" s="132"/>
      <c r="M35" s="732" t="s">
        <v>31</v>
      </c>
      <c r="N35" s="733"/>
      <c r="O35" s="448">
        <f>(F23-J23)</f>
        <v>0</v>
      </c>
      <c r="P35" s="449">
        <f>IF(O35&gt;=0,0,O35)</f>
        <v>0</v>
      </c>
      <c r="Q35" s="450">
        <f>IF(O35&lt;0,0,IF(O35-R35&gt;=0,R35,O35))</f>
        <v>0</v>
      </c>
      <c r="R35" s="450">
        <f>ROUNDDOWN($F23*0.2,0)</f>
        <v>214925</v>
      </c>
      <c r="S35" s="451" t="str">
        <f>IF(AND(IF(ABS(O35)-R35&lt;=0,"○","×")="×",P35&lt;0),"×","○")</f>
        <v>○</v>
      </c>
      <c r="T35" s="451" t="str">
        <f>IF(J23-O58&lt;=0,"○","×")</f>
        <v>○</v>
      </c>
      <c r="U35" s="438" t="str">
        <f>IF(AND(E36&gt;=F36,F36&gt;=G36),"○","×")</f>
        <v>○</v>
      </c>
      <c r="V35" s="460"/>
      <c r="W35" s="107">
        <f>J23</f>
        <v>1074629</v>
      </c>
      <c r="X35" s="773"/>
      <c r="Y35" s="340"/>
      <c r="AB35" s="105"/>
      <c r="AC35" s="105"/>
      <c r="AD35" s="105"/>
      <c r="AE35" s="53"/>
      <c r="AF35"/>
      <c r="AG35"/>
      <c r="AH35" s="430"/>
      <c r="AI35" s="430"/>
      <c r="AJ35" s="432"/>
      <c r="AK35" s="428"/>
      <c r="AL35" s="433"/>
      <c r="AM35" s="432"/>
      <c r="AN35" s="434"/>
      <c r="AO35" s="348"/>
      <c r="AP35" s="348"/>
      <c r="AQ35" s="429"/>
    </row>
    <row r="36" spans="3:43" ht="30" customHeight="1">
      <c r="C36" s="397" t="s">
        <v>715</v>
      </c>
      <c r="D36" s="2"/>
      <c r="E36" s="2"/>
      <c r="F36" s="2"/>
      <c r="G36" s="2"/>
      <c r="H36" s="2"/>
      <c r="I36" s="7"/>
      <c r="K36" s="114"/>
      <c r="L36" s="132"/>
      <c r="M36" s="732" t="s">
        <v>32</v>
      </c>
      <c r="N36" s="733"/>
      <c r="O36" s="448">
        <f>(F25-J25)</f>
        <v>0</v>
      </c>
      <c r="P36" s="449">
        <f>IF(O36&gt;=0,0,O36)</f>
        <v>0</v>
      </c>
      <c r="Q36" s="450">
        <f>IF(O36&lt;0,0,IF(O36-R36&gt;=0,R36,O36))</f>
        <v>0</v>
      </c>
      <c r="R36" s="450">
        <f>ROUNDDOWN($F25*0.2,0)</f>
        <v>105671</v>
      </c>
      <c r="S36" s="451" t="str">
        <f>IF(AND(IF(ABS(O36)-R36&lt;=0,"○","×")="×",P36&lt;0),"×","○")</f>
        <v>○</v>
      </c>
      <c r="T36" s="451" t="str">
        <f>IF(J25-O60&lt;=0,"○","×")</f>
        <v>○</v>
      </c>
      <c r="U36" s="438" t="str">
        <f>IF(AND(E37&gt;=F37,F37&gt;=G37),"○","×")</f>
        <v>○</v>
      </c>
      <c r="V36" s="460"/>
      <c r="W36" s="107">
        <f>J25</f>
        <v>528359</v>
      </c>
      <c r="X36" s="773"/>
      <c r="Y36" s="340"/>
      <c r="AB36" s="105"/>
      <c r="AC36" s="105"/>
      <c r="AD36" s="105"/>
      <c r="AE36" s="81"/>
      <c r="AF36"/>
      <c r="AG36"/>
      <c r="AH36" s="349"/>
      <c r="AI36" s="349"/>
      <c r="AJ36" s="349"/>
      <c r="AK36" s="349"/>
      <c r="AL36" s="349"/>
      <c r="AM36" s="349"/>
      <c r="AN36" s="349"/>
      <c r="AO36" s="349"/>
      <c r="AP36" s="349"/>
      <c r="AQ36" s="349"/>
    </row>
    <row r="37" spans="3:43" ht="30" customHeight="1" thickBot="1">
      <c r="C37" s="118"/>
      <c r="D37" s="2"/>
      <c r="E37" s="2"/>
      <c r="F37" s="2"/>
      <c r="G37" s="2"/>
      <c r="H37" s="2"/>
      <c r="I37" s="7"/>
      <c r="L37" s="132"/>
      <c r="M37" s="732" t="s">
        <v>631</v>
      </c>
      <c r="N37" s="733"/>
      <c r="O37" s="452">
        <f>(F27-J27)</f>
        <v>-533</v>
      </c>
      <c r="P37" s="453">
        <f>IF(O37&gt;=0,0,O37)</f>
        <v>-533</v>
      </c>
      <c r="Q37" s="454">
        <f>IF(O37&lt;0,0,IF(O37-R37&gt;=0,R37,O37))</f>
        <v>0</v>
      </c>
      <c r="R37" s="455">
        <f>ROUNDDOWN($F27*0.2,0)</f>
        <v>119403</v>
      </c>
      <c r="S37" s="456" t="str">
        <f>IF(AND(IF(ABS(O37)-R37&lt;=0,"○","×")="×",P37&lt;0),"×","○")</f>
        <v>○</v>
      </c>
      <c r="T37" s="456" t="str">
        <f>IF(J27-O62&lt;=0,"○","×")</f>
        <v>○</v>
      </c>
      <c r="U37" s="457" t="str">
        <f>IF(AND(E38&gt;=F38,F38&gt;=G38),"○","×")</f>
        <v>○</v>
      </c>
      <c r="V37" s="461"/>
      <c r="W37" s="107">
        <f>J27</f>
        <v>597548</v>
      </c>
      <c r="X37" s="774"/>
      <c r="Y37" s="340"/>
      <c r="AB37" s="105"/>
      <c r="AC37" s="105"/>
      <c r="AD37" s="105"/>
      <c r="AE37" s="53"/>
      <c r="AF37"/>
      <c r="AG37"/>
      <c r="AH37" s="349"/>
      <c r="AI37" s="349"/>
      <c r="AJ37" s="349"/>
      <c r="AK37" s="349"/>
      <c r="AL37" s="349"/>
      <c r="AM37" s="349"/>
      <c r="AN37" s="349"/>
      <c r="AO37" s="349"/>
      <c r="AP37" s="349"/>
      <c r="AQ37" s="349"/>
    </row>
    <row r="38" spans="3:33" ht="30" customHeight="1" thickTop="1">
      <c r="C38" s="121"/>
      <c r="D38" s="2"/>
      <c r="E38" s="2"/>
      <c r="F38" s="2"/>
      <c r="G38" s="2"/>
      <c r="H38" s="2"/>
      <c r="I38" s="7"/>
      <c r="L38" s="132"/>
      <c r="M38" s="472"/>
      <c r="N38" s="492"/>
      <c r="O38" s="493" t="s">
        <v>604</v>
      </c>
      <c r="P38" s="440">
        <f>SUM(P33:P37)</f>
        <v>-533</v>
      </c>
      <c r="Q38" s="441">
        <f>SUM(Q33:Q37)</f>
        <v>533</v>
      </c>
      <c r="R38" s="442"/>
      <c r="S38" s="402"/>
      <c r="T38" s="198"/>
      <c r="U38" s="106"/>
      <c r="V38" s="106"/>
      <c r="W38" s="107">
        <f>J29</f>
        <v>10000000</v>
      </c>
      <c r="X38" s="494"/>
      <c r="Y38" s="402"/>
      <c r="AB38" s="105"/>
      <c r="AC38" s="105"/>
      <c r="AD38" s="105"/>
      <c r="AE38" s="54"/>
      <c r="AF38"/>
      <c r="AG38"/>
    </row>
    <row r="39" spans="3:33" ht="30" customHeight="1">
      <c r="C39" s="125"/>
      <c r="D39" s="2"/>
      <c r="E39" s="2"/>
      <c r="F39" s="2"/>
      <c r="G39" s="2"/>
      <c r="H39" s="2"/>
      <c r="I39" s="7"/>
      <c r="L39" s="132"/>
      <c r="M39" s="495"/>
      <c r="N39" s="496"/>
      <c r="O39" s="474"/>
      <c r="P39" s="497"/>
      <c r="Q39" s="498"/>
      <c r="R39" s="474"/>
      <c r="S39" s="108"/>
      <c r="T39" s="108"/>
      <c r="U39" s="499"/>
      <c r="V39" s="499"/>
      <c r="W39" s="107"/>
      <c r="X39" s="500"/>
      <c r="Y39" s="340"/>
      <c r="AB39" s="105"/>
      <c r="AC39" s="105"/>
      <c r="AD39" s="105"/>
      <c r="AE39" s="54"/>
      <c r="AF39"/>
      <c r="AG39"/>
    </row>
    <row r="40" spans="3:33" ht="30" customHeight="1">
      <c r="C40" s="743" t="s">
        <v>681</v>
      </c>
      <c r="D40" s="743"/>
      <c r="E40" s="743"/>
      <c r="F40" s="7"/>
      <c r="G40" s="744" t="s">
        <v>680</v>
      </c>
      <c r="H40" s="744"/>
      <c r="I40" s="744"/>
      <c r="K40" s="132"/>
      <c r="L40" s="132"/>
      <c r="N40" s="336"/>
      <c r="O40" s="337"/>
      <c r="P40" s="338"/>
      <c r="Q40" s="339"/>
      <c r="R40" s="339"/>
      <c r="S40" s="336"/>
      <c r="T40" s="336"/>
      <c r="U40" s="336"/>
      <c r="V40" s="336"/>
      <c r="W40" s="107"/>
      <c r="X40" s="437"/>
      <c r="Y40" s="340"/>
      <c r="AB40" s="105"/>
      <c r="AC40" s="105"/>
      <c r="AD40" s="105"/>
      <c r="AE40" s="54"/>
      <c r="AF40"/>
      <c r="AG40"/>
    </row>
    <row r="41" spans="3:31" ht="30" customHeight="1">
      <c r="C41" s="737" t="s">
        <v>26</v>
      </c>
      <c r="D41" s="737" t="s">
        <v>682</v>
      </c>
      <c r="E41" s="737" t="s">
        <v>559</v>
      </c>
      <c r="F41" s="141"/>
      <c r="G41" s="752" t="s">
        <v>26</v>
      </c>
      <c r="H41" s="753"/>
      <c r="I41" s="737" t="s">
        <v>682</v>
      </c>
      <c r="J41" s="737" t="s">
        <v>27</v>
      </c>
      <c r="K41" s="132"/>
      <c r="L41" s="132"/>
      <c r="W41" s="107"/>
      <c r="Y41" s="53"/>
      <c r="AB41" s="105"/>
      <c r="AC41" s="105"/>
      <c r="AD41" s="105"/>
      <c r="AE41" s="54"/>
    </row>
    <row r="42" spans="3:31" ht="30" customHeight="1">
      <c r="C42" s="751"/>
      <c r="D42" s="738"/>
      <c r="E42" s="738"/>
      <c r="F42" s="141"/>
      <c r="G42" s="754"/>
      <c r="H42" s="755"/>
      <c r="I42" s="738"/>
      <c r="J42" s="738"/>
      <c r="K42" s="132"/>
      <c r="L42" s="132"/>
      <c r="M42" s="82"/>
      <c r="N42" s="336"/>
      <c r="O42" s="401"/>
      <c r="P42" s="338"/>
      <c r="R42" s="339"/>
      <c r="S42" s="336"/>
      <c r="T42" s="336"/>
      <c r="U42" s="336"/>
      <c r="V42" s="336"/>
      <c r="W42" s="439"/>
      <c r="Y42" s="340"/>
      <c r="AB42" s="105"/>
      <c r="AC42" s="105"/>
      <c r="AD42" s="105"/>
      <c r="AE42" s="54"/>
    </row>
    <row r="43" spans="3:31" ht="30" customHeight="1">
      <c r="C43" s="149" t="s">
        <v>560</v>
      </c>
      <c r="D43" s="92">
        <f>D47-D44-D45-D46</f>
        <v>6776936</v>
      </c>
      <c r="E43" s="150"/>
      <c r="F43" s="141"/>
      <c r="G43" s="739" t="s">
        <v>28</v>
      </c>
      <c r="H43" s="740"/>
      <c r="I43" s="264">
        <v>0</v>
      </c>
      <c r="J43" s="150"/>
      <c r="K43" s="132"/>
      <c r="L43" s="132"/>
      <c r="M43" s="64"/>
      <c r="N43" s="53"/>
      <c r="O43" s="53"/>
      <c r="P43" s="53"/>
      <c r="Q43" s="53"/>
      <c r="R43" s="53"/>
      <c r="S43" s="53"/>
      <c r="T43" s="53"/>
      <c r="U43" s="81"/>
      <c r="V43" s="81"/>
      <c r="W43" s="107"/>
      <c r="X43" s="341"/>
      <c r="Y43" s="53"/>
      <c r="AB43" s="105"/>
      <c r="AC43" s="105"/>
      <c r="AD43" s="105"/>
      <c r="AE43" s="54"/>
    </row>
    <row r="44" spans="3:33" ht="30" customHeight="1">
      <c r="C44" s="151" t="s">
        <v>561</v>
      </c>
      <c r="D44" s="92">
        <f>J29</f>
        <v>10000000</v>
      </c>
      <c r="E44" s="152"/>
      <c r="F44" s="141"/>
      <c r="G44" s="739" t="s">
        <v>562</v>
      </c>
      <c r="H44" s="740"/>
      <c r="I44" s="92">
        <f>I46-I43-I45</f>
        <v>10000000</v>
      </c>
      <c r="J44" s="369" t="str">
        <f>IF(I44=0,"",IF('基本情報入力（使い方）'!C27="","",'基本情報入力（使い方）'!C27))</f>
        <v>△△信用金庫　○○支店</v>
      </c>
      <c r="K44" s="132"/>
      <c r="M44" s="64"/>
      <c r="V44" s="336"/>
      <c r="Z44" s="107"/>
      <c r="AA44" s="341"/>
      <c r="AB44" s="105"/>
      <c r="AC44" s="105"/>
      <c r="AD44" s="105"/>
      <c r="AE44" s="54"/>
      <c r="AF44"/>
      <c r="AG44"/>
    </row>
    <row r="45" spans="3:33" ht="30" customHeight="1">
      <c r="C45" s="149" t="s">
        <v>563</v>
      </c>
      <c r="D45" s="264">
        <v>0</v>
      </c>
      <c r="E45" s="369">
        <f>IF(D45=0,"",'基本情報入力（使い方）'!C27)</f>
      </c>
      <c r="F45" s="141"/>
      <c r="G45" s="739" t="s">
        <v>29</v>
      </c>
      <c r="H45" s="740"/>
      <c r="I45" s="264">
        <v>0</v>
      </c>
      <c r="J45" s="154"/>
      <c r="K45" s="132"/>
      <c r="M45" s="82"/>
      <c r="V45" s="462"/>
      <c r="Z45" s="107"/>
      <c r="AB45" s="1"/>
      <c r="AC45" s="1"/>
      <c r="AD45"/>
      <c r="AE45"/>
      <c r="AG45" s="109"/>
    </row>
    <row r="46" spans="3:33" ht="30" customHeight="1">
      <c r="C46" s="149" t="s">
        <v>564</v>
      </c>
      <c r="D46" s="264">
        <v>0</v>
      </c>
      <c r="E46" s="154"/>
      <c r="F46" s="155"/>
      <c r="G46" s="745" t="s">
        <v>565</v>
      </c>
      <c r="H46" s="740"/>
      <c r="I46" s="92">
        <f>D44</f>
        <v>10000000</v>
      </c>
      <c r="J46" s="156"/>
      <c r="K46" s="132"/>
      <c r="M46" s="82"/>
      <c r="N46" s="336"/>
      <c r="O46" s="337"/>
      <c r="P46" s="338"/>
      <c r="Q46" s="339"/>
      <c r="R46" s="339"/>
      <c r="S46" s="336"/>
      <c r="U46" s="336"/>
      <c r="V46" s="463"/>
      <c r="X46" s="336"/>
      <c r="Y46" s="340"/>
      <c r="AA46" s="96"/>
      <c r="AG46" s="109"/>
    </row>
    <row r="47" spans="3:33" ht="30" customHeight="1">
      <c r="C47" s="149" t="s">
        <v>566</v>
      </c>
      <c r="D47" s="92">
        <f>G29</f>
        <v>16776936</v>
      </c>
      <c r="E47" s="150"/>
      <c r="F47" s="155"/>
      <c r="G47" s="155"/>
      <c r="H47" s="155"/>
      <c r="I47" s="7"/>
      <c r="K47" s="132"/>
      <c r="M47" s="64"/>
      <c r="N47"/>
      <c r="O47"/>
      <c r="P47" s="111"/>
      <c r="Q47" s="112"/>
      <c r="R47"/>
      <c r="S47" s="113"/>
      <c r="T47" s="113"/>
      <c r="AA47" s="96"/>
      <c r="AF47" s="27"/>
      <c r="AG47" s="27"/>
    </row>
    <row r="48" spans="3:33" ht="30" customHeight="1">
      <c r="C48" s="7"/>
      <c r="D48" s="157"/>
      <c r="E48" s="157"/>
      <c r="F48" s="157"/>
      <c r="G48" s="288" t="s">
        <v>669</v>
      </c>
      <c r="H48" s="158"/>
      <c r="I48" s="157"/>
      <c r="K48" s="132"/>
      <c r="M48" s="64"/>
      <c r="N48"/>
      <c r="O48"/>
      <c r="P48" s="115"/>
      <c r="Q48" s="115"/>
      <c r="R48"/>
      <c r="S48" s="113"/>
      <c r="T48" s="116"/>
      <c r="AA48" s="96"/>
      <c r="AD48" s="27"/>
      <c r="AE48" s="117"/>
      <c r="AG48" s="27"/>
    </row>
    <row r="49" spans="3:33" ht="30" customHeight="1">
      <c r="C49" s="7"/>
      <c r="D49" s="159"/>
      <c r="E49" s="159"/>
      <c r="F49" s="159"/>
      <c r="G49" s="289" t="s">
        <v>667</v>
      </c>
      <c r="H49" s="404" t="str">
        <f>IF('基本情報入力（使い方）'!C31="","",'基本情報入力（使い方）'!C31)</f>
        <v>総務部長　経済計子</v>
      </c>
      <c r="I49" s="159"/>
      <c r="K49" s="132"/>
      <c r="M49" s="119" t="s">
        <v>665</v>
      </c>
      <c r="N49" s="120"/>
      <c r="O49" s="120"/>
      <c r="P49" s="120"/>
      <c r="Q49" s="120"/>
      <c r="R49" s="120"/>
      <c r="S49" s="120"/>
      <c r="T49" s="120"/>
      <c r="U49" s="120"/>
      <c r="V49" s="120"/>
      <c r="Y49" s="178"/>
      <c r="Z49" s="178" t="str">
        <f>B11</f>
        <v>事業者名　：　Ｂ金属株式会社</v>
      </c>
      <c r="AA49" s="96"/>
      <c r="AD49" s="27"/>
      <c r="AE49"/>
      <c r="AF49" s="53"/>
      <c r="AG49"/>
    </row>
    <row r="50" spans="7:33" ht="30" customHeight="1" thickBot="1">
      <c r="G50" s="289" t="s">
        <v>668</v>
      </c>
      <c r="H50" s="405" t="str">
        <f>IF('基本情報入力（使い方）'!C32="","",'基本情報入力（使い方）'!C32)</f>
        <v>052-123-4567</v>
      </c>
      <c r="K50" s="132"/>
      <c r="M50" s="122"/>
      <c r="N50" s="122"/>
      <c r="O50" s="261" t="s">
        <v>749</v>
      </c>
      <c r="P50" s="122"/>
      <c r="Q50" s="122"/>
      <c r="R50" s="122"/>
      <c r="S50" s="122"/>
      <c r="T50" s="122"/>
      <c r="U50" s="122"/>
      <c r="V50" s="122"/>
      <c r="X50" s="123"/>
      <c r="Y50" s="470"/>
      <c r="AB50" s="27"/>
      <c r="AC50" s="27"/>
      <c r="AD50" s="79"/>
      <c r="AE50" s="124"/>
      <c r="AF50" s="1"/>
      <c r="AG50" s="1"/>
    </row>
    <row r="51" spans="1:33" ht="30" customHeight="1">
      <c r="A51"/>
      <c r="N51"/>
      <c r="O51" s="191" t="s">
        <v>19</v>
      </c>
      <c r="P51" s="190" t="s">
        <v>33</v>
      </c>
      <c r="Q51" s="126" t="s">
        <v>574</v>
      </c>
      <c r="R51" s="187" t="s">
        <v>605</v>
      </c>
      <c r="S51" s="127" t="s">
        <v>575</v>
      </c>
      <c r="T51" s="128" t="s">
        <v>576</v>
      </c>
      <c r="U51" s="190" t="s">
        <v>577</v>
      </c>
      <c r="V51" s="129" t="s">
        <v>578</v>
      </c>
      <c r="W51" s="128" t="s">
        <v>549</v>
      </c>
      <c r="X51" s="130" t="s">
        <v>550</v>
      </c>
      <c r="Y51" s="131" t="s">
        <v>579</v>
      </c>
      <c r="Z51" s="657" t="s">
        <v>17</v>
      </c>
      <c r="AA51"/>
      <c r="AB51"/>
      <c r="AC51"/>
      <c r="AD51"/>
      <c r="AE51"/>
      <c r="AF51" s="140"/>
      <c r="AG51" s="80"/>
    </row>
    <row r="52" spans="14:33" ht="30" customHeight="1">
      <c r="N52"/>
      <c r="O52" s="179" t="s">
        <v>551</v>
      </c>
      <c r="P52" s="133" t="s">
        <v>584</v>
      </c>
      <c r="Q52" s="134" t="s">
        <v>552</v>
      </c>
      <c r="R52" s="746" t="s">
        <v>606</v>
      </c>
      <c r="S52" s="135" t="s">
        <v>553</v>
      </c>
      <c r="T52" s="766" t="s">
        <v>554</v>
      </c>
      <c r="U52" s="136" t="s">
        <v>580</v>
      </c>
      <c r="V52" s="768" t="s">
        <v>555</v>
      </c>
      <c r="W52" s="137" t="s">
        <v>556</v>
      </c>
      <c r="X52" s="138" t="s">
        <v>557</v>
      </c>
      <c r="Y52" s="139" t="s">
        <v>558</v>
      </c>
      <c r="Z52" s="658"/>
      <c r="AA52"/>
      <c r="AB52"/>
      <c r="AC52"/>
      <c r="AD52"/>
      <c r="AE52"/>
      <c r="AF52" s="140"/>
      <c r="AG52" s="10"/>
    </row>
    <row r="53" spans="14:33" ht="30" customHeight="1">
      <c r="N53"/>
      <c r="O53" s="189"/>
      <c r="P53" s="142"/>
      <c r="Q53" s="143"/>
      <c r="R53" s="747"/>
      <c r="S53" s="144"/>
      <c r="T53" s="767"/>
      <c r="U53" s="145"/>
      <c r="V53" s="769"/>
      <c r="W53" s="146"/>
      <c r="X53" s="147"/>
      <c r="Y53" s="148"/>
      <c r="Z53" s="765"/>
      <c r="AA53"/>
      <c r="AB53"/>
      <c r="AC53"/>
      <c r="AD53"/>
      <c r="AE53"/>
      <c r="AF53" s="140"/>
      <c r="AG53" s="10"/>
    </row>
    <row r="54" spans="11:33" ht="30" customHeight="1">
      <c r="K54" s="114"/>
      <c r="M54" s="472"/>
      <c r="N54" s="472" t="s">
        <v>625</v>
      </c>
      <c r="O54" s="632">
        <f>'機械装置費（50万円以上）'!Q33</f>
        <v>6999466</v>
      </c>
      <c r="P54" s="617">
        <f>F19</f>
        <v>6999999</v>
      </c>
      <c r="Q54" s="621">
        <f>MIN(O54,P54)</f>
        <v>6999466</v>
      </c>
      <c r="R54" s="608">
        <f>MIN(P54-Q54,S54)</f>
        <v>533</v>
      </c>
      <c r="S54" s="596">
        <f>ROUNDDOWN(F19*20%,0)</f>
        <v>1399999</v>
      </c>
      <c r="T54" s="600" t="str">
        <f>IF(O54=0,"",IF(O54-Q54&gt;0,"○","-"))</f>
        <v>-</v>
      </c>
      <c r="U54" s="588">
        <f>O54-Q54</f>
        <v>0</v>
      </c>
      <c r="V54" s="592">
        <f>MIN(S54,U54)</f>
        <v>0</v>
      </c>
      <c r="W54" s="580">
        <f>IF($V$54&gt;0,1,"")</f>
      </c>
      <c r="X54" s="584"/>
      <c r="Y54" s="571">
        <f>Q54+X54</f>
        <v>6999466</v>
      </c>
      <c r="Z54" s="576" t="s">
        <v>636</v>
      </c>
      <c r="AA54" s="474"/>
      <c r="AB54"/>
      <c r="AC54"/>
      <c r="AD54"/>
      <c r="AE54"/>
      <c r="AF54" s="140"/>
      <c r="AG54" s="80"/>
    </row>
    <row r="55" spans="13:33" ht="30" customHeight="1">
      <c r="M55" s="472"/>
      <c r="N55" s="472"/>
      <c r="O55" s="633"/>
      <c r="P55" s="618"/>
      <c r="Q55" s="606"/>
      <c r="R55" s="609"/>
      <c r="S55" s="597"/>
      <c r="T55" s="601"/>
      <c r="U55" s="589"/>
      <c r="V55" s="593"/>
      <c r="W55" s="581"/>
      <c r="X55" s="585"/>
      <c r="Y55" s="572"/>
      <c r="Z55" s="577"/>
      <c r="AA55" s="474"/>
      <c r="AB55"/>
      <c r="AC55"/>
      <c r="AD55"/>
      <c r="AE55"/>
      <c r="AF55" s="153"/>
      <c r="AG55" s="10"/>
    </row>
    <row r="56" spans="13:33" ht="30" customHeight="1">
      <c r="M56" s="472"/>
      <c r="N56" s="472" t="s">
        <v>626</v>
      </c>
      <c r="O56" s="634">
        <f>'機械装置費（50万円未満）'!Q33</f>
        <v>799998</v>
      </c>
      <c r="P56" s="619">
        <f>F21</f>
        <v>799998</v>
      </c>
      <c r="Q56" s="605">
        <f>MIN(P56,O56)</f>
        <v>799998</v>
      </c>
      <c r="R56" s="610">
        <f>MIN(P56-Q56,S56)</f>
        <v>0</v>
      </c>
      <c r="S56" s="598">
        <f>ROUNDDOWN(F21*20%,0)</f>
        <v>159999</v>
      </c>
      <c r="T56" s="602" t="str">
        <f>IF(O56=0,"",IF(O56-Q56&gt;0,"○","-"))</f>
        <v>-</v>
      </c>
      <c r="U56" s="590">
        <f>O56-Q56</f>
        <v>0</v>
      </c>
      <c r="V56" s="594">
        <f>MIN(S56,U56)</f>
        <v>0</v>
      </c>
      <c r="W56" s="582">
        <f>IF($V$56&gt;0,1,"")</f>
      </c>
      <c r="X56" s="586"/>
      <c r="Y56" s="573">
        <f>Q56+X56</f>
        <v>799998</v>
      </c>
      <c r="Z56" s="578" t="s">
        <v>637</v>
      </c>
      <c r="AA56" s="474"/>
      <c r="AB56"/>
      <c r="AC56"/>
      <c r="AD56"/>
      <c r="AE56"/>
      <c r="AF56" s="140"/>
      <c r="AG56" s="10"/>
    </row>
    <row r="57" spans="13:33" ht="30" customHeight="1">
      <c r="M57" s="472"/>
      <c r="N57" s="472"/>
      <c r="O57" s="633"/>
      <c r="P57" s="618"/>
      <c r="Q57" s="606"/>
      <c r="R57" s="609"/>
      <c r="S57" s="597"/>
      <c r="T57" s="601"/>
      <c r="U57" s="589"/>
      <c r="V57" s="593"/>
      <c r="W57" s="581"/>
      <c r="X57" s="585"/>
      <c r="Y57" s="572"/>
      <c r="Z57" s="577"/>
      <c r="AA57" s="474"/>
      <c r="AB57"/>
      <c r="AC57"/>
      <c r="AD57"/>
      <c r="AE57"/>
      <c r="AF57" s="140"/>
      <c r="AG57" s="80"/>
    </row>
    <row r="58" spans="11:33" ht="30" customHeight="1">
      <c r="K58" s="132"/>
      <c r="M58" s="472"/>
      <c r="N58" s="472" t="s">
        <v>31</v>
      </c>
      <c r="O58" s="635">
        <f>IF(I23="",0,ROUNDDOWN(I23*2/3,0))</f>
        <v>1133866</v>
      </c>
      <c r="P58" s="619">
        <f>F23</f>
        <v>1074629</v>
      </c>
      <c r="Q58" s="605">
        <f>MIN(P58,O58)</f>
        <v>1074629</v>
      </c>
      <c r="R58" s="610">
        <f>MIN(P58-Q58,S58)</f>
        <v>0</v>
      </c>
      <c r="S58" s="598">
        <f>ROUNDDOWN(F23*20%,0)</f>
        <v>214925</v>
      </c>
      <c r="T58" s="602" t="str">
        <f>IF(O58=0,"",IF(O58-Q58&gt;0,"○","-"))</f>
        <v>○</v>
      </c>
      <c r="U58" s="590">
        <f>O58-Q58</f>
        <v>59237</v>
      </c>
      <c r="V58" s="594">
        <f>MIN(S58,U58)</f>
        <v>59237</v>
      </c>
      <c r="W58" s="582">
        <f>IF(V58=0,"",RANK(V58,($V$58:$V$62))+1)</f>
        <v>4</v>
      </c>
      <c r="X58" s="586"/>
      <c r="Y58" s="573">
        <f>Q58+X58</f>
        <v>1074629</v>
      </c>
      <c r="Z58" s="578" t="s">
        <v>532</v>
      </c>
      <c r="AA58" s="474"/>
      <c r="AB58"/>
      <c r="AC58"/>
      <c r="AD58"/>
      <c r="AE58"/>
      <c r="AF58" s="140"/>
      <c r="AG58" s="10"/>
    </row>
    <row r="59" spans="11:33" ht="30" customHeight="1">
      <c r="K59" s="132"/>
      <c r="M59" s="472"/>
      <c r="N59" s="472"/>
      <c r="O59" s="636"/>
      <c r="P59" s="618"/>
      <c r="Q59" s="606"/>
      <c r="R59" s="609"/>
      <c r="S59" s="597"/>
      <c r="T59" s="601"/>
      <c r="U59" s="589"/>
      <c r="V59" s="593"/>
      <c r="W59" s="581"/>
      <c r="X59" s="585"/>
      <c r="Y59" s="572"/>
      <c r="Z59" s="577"/>
      <c r="AA59" s="474"/>
      <c r="AB59"/>
      <c r="AC59"/>
      <c r="AD59"/>
      <c r="AE59"/>
      <c r="AF59" s="140"/>
      <c r="AG59" s="80"/>
    </row>
    <row r="60" spans="11:33" ht="30" customHeight="1">
      <c r="K60" s="132"/>
      <c r="M60" s="472"/>
      <c r="N60" s="472" t="s">
        <v>32</v>
      </c>
      <c r="O60" s="635">
        <f>IF(I25="",0,ROUNDDOWN(I25*2/3,0))</f>
        <v>590000</v>
      </c>
      <c r="P60" s="619">
        <f>F25</f>
        <v>528359</v>
      </c>
      <c r="Q60" s="605">
        <f>MIN(P60,O60)</f>
        <v>528359</v>
      </c>
      <c r="R60" s="610">
        <f>MIN(P60-Q60,S60)</f>
        <v>0</v>
      </c>
      <c r="S60" s="598">
        <f>ROUNDDOWN(F25*20%,0)</f>
        <v>105671</v>
      </c>
      <c r="T60" s="602" t="str">
        <f>IF(O60=0,"",IF(O60-Q60&gt;0,"○","-"))</f>
        <v>○</v>
      </c>
      <c r="U60" s="590">
        <f>O60-Q60</f>
        <v>61641</v>
      </c>
      <c r="V60" s="594">
        <f>MIN(S60,U60)</f>
        <v>61641</v>
      </c>
      <c r="W60" s="582">
        <f>IF(V60=0,"",RANK(V60,($V$58:$V$62))+1)</f>
        <v>3</v>
      </c>
      <c r="X60" s="586"/>
      <c r="Y60" s="573">
        <f>Q60+X60</f>
        <v>528359</v>
      </c>
      <c r="Z60" s="578" t="s">
        <v>533</v>
      </c>
      <c r="AA60" s="474"/>
      <c r="AB60"/>
      <c r="AC60"/>
      <c r="AD60"/>
      <c r="AE60"/>
      <c r="AF60" s="140"/>
      <c r="AG60" s="10"/>
    </row>
    <row r="61" spans="11:33" ht="30" customHeight="1">
      <c r="K61" s="132"/>
      <c r="M61" s="472"/>
      <c r="N61" s="472"/>
      <c r="O61" s="636"/>
      <c r="P61" s="618"/>
      <c r="Q61" s="606"/>
      <c r="R61" s="609"/>
      <c r="S61" s="597"/>
      <c r="T61" s="601"/>
      <c r="U61" s="589"/>
      <c r="V61" s="593"/>
      <c r="W61" s="581"/>
      <c r="X61" s="585"/>
      <c r="Y61" s="572"/>
      <c r="Z61" s="577"/>
      <c r="AA61" s="474"/>
      <c r="AB61"/>
      <c r="AC61"/>
      <c r="AD61"/>
      <c r="AE61"/>
      <c r="AF61" s="140"/>
      <c r="AG61" s="80"/>
    </row>
    <row r="62" spans="11:33" ht="30" customHeight="1">
      <c r="K62" s="132"/>
      <c r="M62" s="472"/>
      <c r="N62" s="472" t="s">
        <v>631</v>
      </c>
      <c r="O62" s="635">
        <f>IF(I27="",0,ROUNDDOWN(I27*2/3,0))</f>
        <v>733333</v>
      </c>
      <c r="P62" s="619">
        <f>F27</f>
        <v>597015</v>
      </c>
      <c r="Q62" s="605">
        <f>MIN(P62,O62)</f>
        <v>597015</v>
      </c>
      <c r="R62" s="610">
        <f>MIN(P62-Q62,S62)</f>
        <v>0</v>
      </c>
      <c r="S62" s="598">
        <f>ROUNDDOWN(F27*20%,0)</f>
        <v>119403</v>
      </c>
      <c r="T62" s="603" t="str">
        <f>IF(O62=0,"",IF(O62-Q62&gt;0,"○","-"))</f>
        <v>○</v>
      </c>
      <c r="U62" s="590">
        <f>O62-Q62</f>
        <v>136318</v>
      </c>
      <c r="V62" s="594">
        <f>MIN(S62,U62)</f>
        <v>119403</v>
      </c>
      <c r="W62" s="582">
        <f>IF(V62=0,"",RANK(V62,($V$58:$V$62))+1)</f>
        <v>2</v>
      </c>
      <c r="X62" s="586">
        <v>533</v>
      </c>
      <c r="Y62" s="574">
        <f>Q62+X62</f>
        <v>597548</v>
      </c>
      <c r="Z62" s="578" t="s">
        <v>638</v>
      </c>
      <c r="AA62" s="474"/>
      <c r="AB62"/>
      <c r="AC62"/>
      <c r="AD62"/>
      <c r="AE62"/>
      <c r="AF62" s="1"/>
      <c r="AG62" s="1"/>
    </row>
    <row r="63" spans="11:43" ht="30" customHeight="1">
      <c r="K63" s="132"/>
      <c r="M63" s="472"/>
      <c r="N63" s="472"/>
      <c r="O63" s="637"/>
      <c r="P63" s="620"/>
      <c r="Q63" s="607"/>
      <c r="R63" s="611"/>
      <c r="S63" s="599"/>
      <c r="T63" s="604"/>
      <c r="U63" s="591"/>
      <c r="V63" s="595"/>
      <c r="W63" s="583"/>
      <c r="X63" s="587"/>
      <c r="Y63" s="575"/>
      <c r="Z63" s="579"/>
      <c r="AA63" s="474"/>
      <c r="AB63"/>
      <c r="AC63"/>
      <c r="AD63"/>
      <c r="AE63"/>
      <c r="AF63" s="1"/>
      <c r="AG63" s="1"/>
      <c r="AQ63" s="346"/>
    </row>
    <row r="64" spans="11:43" ht="30" customHeight="1">
      <c r="K64" s="132"/>
      <c r="M64" s="472"/>
      <c r="N64" s="472"/>
      <c r="O64" s="638">
        <f>SUM(O54:O62)</f>
        <v>10256663</v>
      </c>
      <c r="P64" s="617">
        <f>SUM(P54:P62)</f>
        <v>10000000</v>
      </c>
      <c r="Q64" s="622">
        <f>SUM(Q54:Q62)</f>
        <v>9999467</v>
      </c>
      <c r="R64" s="624">
        <f>SUM(R54:R62)</f>
        <v>533</v>
      </c>
      <c r="S64" s="626"/>
      <c r="T64" s="628"/>
      <c r="U64" s="630"/>
      <c r="V64" s="592">
        <f>SUM(V54:V62)</f>
        <v>240281</v>
      </c>
      <c r="W64" s="612"/>
      <c r="X64" s="614">
        <f>SUM(X54:X62)</f>
        <v>533</v>
      </c>
      <c r="Y64" s="571">
        <f>SUM(Y54:Y63)</f>
        <v>10000000</v>
      </c>
      <c r="Z64" s="509"/>
      <c r="AA64" s="474"/>
      <c r="AB64"/>
      <c r="AC64"/>
      <c r="AD64"/>
      <c r="AE64"/>
      <c r="AF64" s="27"/>
      <c r="AG64" s="99"/>
      <c r="AO64" s="346"/>
      <c r="AP64" s="346"/>
      <c r="AQ64" s="347"/>
    </row>
    <row r="65" spans="11:43" ht="30" customHeight="1" thickBot="1">
      <c r="K65" s="132"/>
      <c r="M65" s="471"/>
      <c r="N65" s="501" t="s">
        <v>30</v>
      </c>
      <c r="O65" s="639"/>
      <c r="P65" s="620"/>
      <c r="Q65" s="623"/>
      <c r="R65" s="625"/>
      <c r="S65" s="627"/>
      <c r="T65" s="629"/>
      <c r="U65" s="631"/>
      <c r="V65" s="686"/>
      <c r="W65" s="613"/>
      <c r="X65" s="615"/>
      <c r="Y65" s="616"/>
      <c r="Z65" s="113"/>
      <c r="AA65" s="474"/>
      <c r="AB65"/>
      <c r="AC65" s="27"/>
      <c r="AD65" s="27"/>
      <c r="AE65" s="27"/>
      <c r="AG65" s="61"/>
      <c r="AO65" s="348"/>
      <c r="AP65" s="348"/>
      <c r="AQ65" s="347"/>
    </row>
    <row r="66" spans="11:43" ht="30" customHeight="1">
      <c r="K66" s="132"/>
      <c r="M66" s="471"/>
      <c r="N66" s="502"/>
      <c r="O66" s="92">
        <f>IF(O64&gt;補助上限額,補助上限額,O64)</f>
        <v>10000000</v>
      </c>
      <c r="P66" s="758" t="s">
        <v>567</v>
      </c>
      <c r="Q66" s="729" t="s">
        <v>607</v>
      </c>
      <c r="R66" s="503"/>
      <c r="S66" s="504"/>
      <c r="T66" s="504"/>
      <c r="U66" s="504"/>
      <c r="V66" s="504"/>
      <c r="W66" s="758" t="s">
        <v>567</v>
      </c>
      <c r="X66" s="729" t="s">
        <v>607</v>
      </c>
      <c r="Y66" s="729" t="s">
        <v>607</v>
      </c>
      <c r="Z66" s="113"/>
      <c r="AA66" s="474"/>
      <c r="AB66"/>
      <c r="AC66" s="53"/>
      <c r="AD66" s="27"/>
      <c r="AE66" s="54"/>
      <c r="AO66" s="348"/>
      <c r="AP66" s="348"/>
      <c r="AQ66" s="347"/>
    </row>
    <row r="67" spans="11:43" ht="30" customHeight="1" thickBot="1">
      <c r="K67" s="132"/>
      <c r="M67" s="471"/>
      <c r="N67" s="505"/>
      <c r="O67" s="505"/>
      <c r="P67" s="759"/>
      <c r="Q67" s="729"/>
      <c r="R67" s="506"/>
      <c r="S67" s="163"/>
      <c r="T67" s="507"/>
      <c r="U67" s="508"/>
      <c r="V67" s="508"/>
      <c r="W67" s="770"/>
      <c r="X67" s="771"/>
      <c r="Y67" s="771"/>
      <c r="Z67" s="504"/>
      <c r="AA67" s="474"/>
      <c r="AB67"/>
      <c r="AC67" s="27"/>
      <c r="AD67" s="27"/>
      <c r="AE67" s="54"/>
      <c r="AO67" s="348"/>
      <c r="AP67" s="348"/>
      <c r="AQ67" s="347"/>
    </row>
    <row r="68" spans="11:43" ht="30" customHeight="1" thickTop="1">
      <c r="K68" s="132"/>
      <c r="N68" s="276"/>
      <c r="O68" s="781"/>
      <c r="P68" s="782"/>
      <c r="Q68" s="515" t="s">
        <v>608</v>
      </c>
      <c r="R68" s="516" t="s">
        <v>659</v>
      </c>
      <c r="S68" s="274">
        <f>R64</f>
        <v>533</v>
      </c>
      <c r="T68" s="517" t="s">
        <v>609</v>
      </c>
      <c r="U68" s="508"/>
      <c r="V68" s="508"/>
      <c r="W68" s="510"/>
      <c r="X68" s="511" t="s">
        <v>610</v>
      </c>
      <c r="Y68" s="512" t="s">
        <v>611</v>
      </c>
      <c r="Z68" s="518"/>
      <c r="AA68" s="27"/>
      <c r="AB68" s="27"/>
      <c r="AD68" s="54"/>
      <c r="AE68" s="54"/>
      <c r="AO68" s="348"/>
      <c r="AP68" s="348"/>
      <c r="AQ68" s="349"/>
    </row>
    <row r="69" spans="14:43" ht="30" customHeight="1">
      <c r="N69" s="277"/>
      <c r="O69" s="783" t="s">
        <v>657</v>
      </c>
      <c r="P69" s="784"/>
      <c r="Q69" s="283">
        <f>Q54</f>
        <v>6999466</v>
      </c>
      <c r="R69" s="519" t="s">
        <v>612</v>
      </c>
      <c r="S69" s="275">
        <f>SUMIF($T$54:$T$62,"○",$S$54:$S$62)</f>
        <v>439999</v>
      </c>
      <c r="T69" s="507" t="s">
        <v>613</v>
      </c>
      <c r="U69" s="508" t="s">
        <v>568</v>
      </c>
      <c r="V69" s="508"/>
      <c r="W69" s="513" t="s">
        <v>25</v>
      </c>
      <c r="X69" s="166">
        <f>SUM(X54:X56)</f>
        <v>0</v>
      </c>
      <c r="Y69" s="167">
        <f>SUM(Y54:Y56)</f>
        <v>7799464</v>
      </c>
      <c r="Z69" s="484"/>
      <c r="AA69" s="53"/>
      <c r="AB69" s="27"/>
      <c r="AD69" s="54"/>
      <c r="AE69" s="54"/>
      <c r="AO69" s="349"/>
      <c r="AP69" s="349"/>
      <c r="AQ69" s="347"/>
    </row>
    <row r="70" spans="14:43" ht="30" customHeight="1">
      <c r="N70" s="276"/>
      <c r="O70" s="783" t="s">
        <v>658</v>
      </c>
      <c r="P70" s="784"/>
      <c r="Q70" s="283">
        <f>Q56</f>
        <v>799998</v>
      </c>
      <c r="R70" s="520" t="s">
        <v>570</v>
      </c>
      <c r="S70" s="163">
        <f>MIN(S68,S69)</f>
        <v>533</v>
      </c>
      <c r="T70" s="507" t="s">
        <v>614</v>
      </c>
      <c r="U70" s="508"/>
      <c r="V70" s="508"/>
      <c r="W70" s="513" t="s">
        <v>569</v>
      </c>
      <c r="X70" s="166">
        <f>X64-X69</f>
        <v>533</v>
      </c>
      <c r="Y70" s="167">
        <f>Y64-Y69</f>
        <v>2200536</v>
      </c>
      <c r="Z70" s="328"/>
      <c r="AA70" s="53"/>
      <c r="AB70" s="53"/>
      <c r="AD70" s="54"/>
      <c r="AE70" s="54"/>
      <c r="AO70" s="347"/>
      <c r="AP70" s="347"/>
      <c r="AQ70" s="343"/>
    </row>
    <row r="71" spans="14:42" ht="30" customHeight="1" thickBot="1">
      <c r="N71" s="278"/>
      <c r="O71" s="783" t="s">
        <v>569</v>
      </c>
      <c r="P71" s="784"/>
      <c r="Q71" s="283">
        <f>Q64-(Q69+Q70)</f>
        <v>2200003</v>
      </c>
      <c r="R71" s="506"/>
      <c r="S71" s="163"/>
      <c r="T71" s="521"/>
      <c r="U71" s="522"/>
      <c r="V71" s="522"/>
      <c r="W71" s="514" t="s">
        <v>30</v>
      </c>
      <c r="X71" s="168">
        <f>SUM(X69:X70)</f>
        <v>533</v>
      </c>
      <c r="Y71" s="169">
        <f>SUM(Y69:Y70)</f>
        <v>10000000</v>
      </c>
      <c r="Z71" s="326">
        <f>IF(X71&gt;R82,"←流用可能額を超えています。修正して下さい。","")</f>
      </c>
      <c r="AB71" s="53"/>
      <c r="AD71" s="54"/>
      <c r="AE71" s="54"/>
      <c r="AO71" s="343"/>
      <c r="AP71" s="343"/>
    </row>
    <row r="72" spans="14:31" ht="30" customHeight="1" thickBot="1" thickTop="1">
      <c r="N72" s="53"/>
      <c r="O72" s="756" t="s">
        <v>30</v>
      </c>
      <c r="P72" s="757"/>
      <c r="Q72" s="284">
        <f>SUM(Q69:Q71)</f>
        <v>9999467</v>
      </c>
      <c r="R72" s="523" t="s">
        <v>571</v>
      </c>
      <c r="S72" s="163">
        <f>P64-Q64</f>
        <v>533</v>
      </c>
      <c r="T72" s="507" t="s">
        <v>615</v>
      </c>
      <c r="U72" s="508" t="s">
        <v>660</v>
      </c>
      <c r="V72" s="524"/>
      <c r="W72" s="172"/>
      <c r="X72" s="471"/>
      <c r="Y72" s="471"/>
      <c r="Z72" s="471"/>
      <c r="AA72" s="329"/>
      <c r="AB72" s="61"/>
      <c r="AD72" s="54"/>
      <c r="AE72" s="54"/>
    </row>
    <row r="73" spans="14:31" ht="30" customHeight="1">
      <c r="N73" s="53"/>
      <c r="O73" s="525"/>
      <c r="P73" s="525"/>
      <c r="Q73" s="525"/>
      <c r="R73" s="506"/>
      <c r="S73" s="163"/>
      <c r="T73" s="507"/>
      <c r="U73" s="508"/>
      <c r="V73" s="504"/>
      <c r="W73" s="504"/>
      <c r="X73" s="471"/>
      <c r="Y73" s="471"/>
      <c r="Z73" s="471"/>
      <c r="AA73" s="327"/>
      <c r="AB73" s="329"/>
      <c r="AD73" s="54"/>
      <c r="AE73" s="54"/>
    </row>
    <row r="74" spans="15:43" ht="30" customHeight="1">
      <c r="O74" s="471"/>
      <c r="P74" s="525"/>
      <c r="Q74" s="525"/>
      <c r="R74" s="523" t="s">
        <v>616</v>
      </c>
      <c r="S74" s="163">
        <f>SUM(V54:V62)</f>
        <v>240281</v>
      </c>
      <c r="T74" s="507" t="s">
        <v>617</v>
      </c>
      <c r="U74" s="508" t="s">
        <v>618</v>
      </c>
      <c r="V74" s="504"/>
      <c r="W74" s="504"/>
      <c r="X74" s="471"/>
      <c r="Y74" s="471"/>
      <c r="Z74" s="471"/>
      <c r="AA74" s="61"/>
      <c r="AB74" s="327"/>
      <c r="AD74" s="54"/>
      <c r="AE74" s="54"/>
      <c r="AQ74" s="343"/>
    </row>
    <row r="75" spans="15:43" ht="30" customHeight="1">
      <c r="O75" s="471"/>
      <c r="P75" s="471"/>
      <c r="Q75" s="471"/>
      <c r="R75" s="506"/>
      <c r="S75" s="163"/>
      <c r="T75" s="507"/>
      <c r="U75" s="508"/>
      <c r="V75" s="504"/>
      <c r="W75" s="504"/>
      <c r="X75" s="471"/>
      <c r="Y75" s="471"/>
      <c r="Z75" s="471"/>
      <c r="AA75" s="61"/>
      <c r="AD75" s="54"/>
      <c r="AE75" s="54"/>
      <c r="AO75" s="343"/>
      <c r="AP75" s="343"/>
      <c r="AQ75" s="343"/>
    </row>
    <row r="76" spans="18:43" ht="30" customHeight="1">
      <c r="R76" s="173"/>
      <c r="S76" s="163"/>
      <c r="T76" s="164"/>
      <c r="U76" s="165"/>
      <c r="V76" s="161"/>
      <c r="W76" s="161"/>
      <c r="AA76" s="61"/>
      <c r="AD76" s="54"/>
      <c r="AE76" s="54"/>
      <c r="AO76" s="343"/>
      <c r="AP76" s="343"/>
      <c r="AQ76" s="343"/>
    </row>
    <row r="77" spans="18:43" ht="30" customHeight="1">
      <c r="R77" s="162"/>
      <c r="S77" s="174"/>
      <c r="T77" s="175"/>
      <c r="U77" s="176"/>
      <c r="V77" s="161"/>
      <c r="W77" s="161"/>
      <c r="AA77" s="61"/>
      <c r="AD77" s="54"/>
      <c r="AE77" s="54"/>
      <c r="AO77" s="343"/>
      <c r="AP77" s="343"/>
      <c r="AQ77" s="343"/>
    </row>
    <row r="78" spans="14:43" ht="30" customHeight="1" thickBot="1">
      <c r="N78" s="471"/>
      <c r="O78" s="471"/>
      <c r="P78" s="471"/>
      <c r="Q78" s="471"/>
      <c r="R78" s="506"/>
      <c r="S78" s="163"/>
      <c r="T78" s="526"/>
      <c r="U78" s="527"/>
      <c r="V78" s="504"/>
      <c r="W78" s="504"/>
      <c r="X78" s="471"/>
      <c r="AA78" s="61"/>
      <c r="AD78" s="54"/>
      <c r="AE78" s="54"/>
      <c r="AO78" s="343"/>
      <c r="AP78" s="343"/>
      <c r="AQ78" s="343"/>
    </row>
    <row r="79" spans="14:43" ht="30" customHeight="1" thickBot="1" thickTop="1">
      <c r="N79" s="471"/>
      <c r="O79" s="528" t="s">
        <v>662</v>
      </c>
      <c r="P79" s="748" t="s">
        <v>657</v>
      </c>
      <c r="Q79" s="749"/>
      <c r="R79" s="309">
        <f>IF(T54="○",MIN(MIN($S$70,$S$72,$S$74),V54),0)</f>
        <v>0</v>
      </c>
      <c r="S79" s="474"/>
      <c r="T79" s="667" t="s">
        <v>753</v>
      </c>
      <c r="U79" s="668"/>
      <c r="V79" s="668"/>
      <c r="W79" s="669"/>
      <c r="X79" s="529"/>
      <c r="Y79" s="180"/>
      <c r="AA79" s="61"/>
      <c r="AD79" s="54"/>
      <c r="AE79" s="54"/>
      <c r="AO79" s="343"/>
      <c r="AP79" s="343"/>
      <c r="AQ79" s="343"/>
    </row>
    <row r="80" spans="14:43" ht="30" customHeight="1" thickBot="1">
      <c r="N80" s="471"/>
      <c r="O80" s="530"/>
      <c r="P80" s="748" t="s">
        <v>658</v>
      </c>
      <c r="Q80" s="749"/>
      <c r="R80" s="310">
        <f>IF(T56="○",MIN(MIN($S$70,$S$72,$S$74)-R79,V56),0)</f>
        <v>0</v>
      </c>
      <c r="S80" s="750" t="s">
        <v>619</v>
      </c>
      <c r="T80" s="670"/>
      <c r="U80" s="671"/>
      <c r="V80" s="671"/>
      <c r="W80" s="672"/>
      <c r="X80" s="529"/>
      <c r="Y80" s="180"/>
      <c r="AA80" s="61"/>
      <c r="AD80" s="54"/>
      <c r="AE80" s="54"/>
      <c r="AO80" s="343"/>
      <c r="AP80" s="343"/>
      <c r="AQ80" s="343"/>
    </row>
    <row r="81" spans="14:43" ht="30" customHeight="1" thickBot="1">
      <c r="N81" s="471"/>
      <c r="O81" s="531"/>
      <c r="P81" s="748" t="s">
        <v>569</v>
      </c>
      <c r="Q81" s="749"/>
      <c r="R81" s="310">
        <f>MIN(MIN($S$70,$S$72,$S$74)-SUM(R79:R80))</f>
        <v>533</v>
      </c>
      <c r="S81" s="750"/>
      <c r="T81" s="670"/>
      <c r="U81" s="671"/>
      <c r="V81" s="671"/>
      <c r="W81" s="672"/>
      <c r="X81" s="529"/>
      <c r="Y81" s="180"/>
      <c r="AA81" s="61"/>
      <c r="AD81" s="54"/>
      <c r="AE81" s="54"/>
      <c r="AO81" s="343"/>
      <c r="AP81" s="343"/>
      <c r="AQ81" s="343"/>
    </row>
    <row r="82" spans="14:43" ht="30" customHeight="1" thickBot="1">
      <c r="N82" s="471"/>
      <c r="O82" s="471"/>
      <c r="P82" s="779" t="s">
        <v>30</v>
      </c>
      <c r="Q82" s="780"/>
      <c r="R82" s="311">
        <f>SUM(R79:R81)</f>
        <v>533</v>
      </c>
      <c r="S82" s="474"/>
      <c r="T82" s="673"/>
      <c r="U82" s="674"/>
      <c r="V82" s="674"/>
      <c r="W82" s="675"/>
      <c r="X82" s="529"/>
      <c r="Y82" s="180"/>
      <c r="AA82" s="61"/>
      <c r="AD82" s="54"/>
      <c r="AE82" s="54"/>
      <c r="AO82" s="343"/>
      <c r="AP82" s="343"/>
      <c r="AQ82" s="343"/>
    </row>
    <row r="83" spans="18:43" ht="30" customHeight="1" thickTop="1">
      <c r="R83" s="170"/>
      <c r="S83" s="177"/>
      <c r="T83" s="171"/>
      <c r="U83" s="53"/>
      <c r="V83" s="53"/>
      <c r="W83" s="114"/>
      <c r="AA83" s="61"/>
      <c r="AD83" s="54"/>
      <c r="AE83" s="54"/>
      <c r="AO83" s="343"/>
      <c r="AP83" s="343"/>
      <c r="AQ83" s="343"/>
    </row>
    <row r="84" spans="18:43" ht="30" customHeight="1">
      <c r="R84" s="170"/>
      <c r="S84" s="170"/>
      <c r="T84" s="170"/>
      <c r="U84" s="53"/>
      <c r="V84" s="53"/>
      <c r="AA84" s="61"/>
      <c r="AD84" s="54"/>
      <c r="AE84" s="54"/>
      <c r="AH84" s="343"/>
      <c r="AI84" s="343"/>
      <c r="AJ84" s="343"/>
      <c r="AK84" s="343"/>
      <c r="AL84" s="343"/>
      <c r="AM84" s="343"/>
      <c r="AN84" s="343"/>
      <c r="AO84" s="343"/>
      <c r="AP84" s="343"/>
      <c r="AQ84" s="343"/>
    </row>
    <row r="85" spans="18:43" ht="30" customHeight="1">
      <c r="R85" s="170"/>
      <c r="S85" s="170"/>
      <c r="T85" s="170"/>
      <c r="U85" s="53"/>
      <c r="V85" s="81"/>
      <c r="AA85" s="61"/>
      <c r="AD85" s="54"/>
      <c r="AE85" s="54"/>
      <c r="AH85" s="343"/>
      <c r="AI85" s="343"/>
      <c r="AJ85" s="343"/>
      <c r="AK85" s="343"/>
      <c r="AL85" s="343"/>
      <c r="AM85" s="343"/>
      <c r="AN85" s="343"/>
      <c r="AO85" s="343"/>
      <c r="AP85" s="343"/>
      <c r="AQ85" s="343"/>
    </row>
    <row r="86" spans="18:43" ht="13.5">
      <c r="R86" s="53"/>
      <c r="S86" s="170"/>
      <c r="T86" s="53"/>
      <c r="U86" s="81"/>
      <c r="AA86" s="61"/>
      <c r="AC86" s="61"/>
      <c r="AD86" s="54"/>
      <c r="AE86" s="54"/>
      <c r="AH86" s="343"/>
      <c r="AI86" s="343"/>
      <c r="AJ86" s="343"/>
      <c r="AK86" s="343"/>
      <c r="AL86" s="343"/>
      <c r="AM86" s="343"/>
      <c r="AN86" s="343"/>
      <c r="AO86" s="343"/>
      <c r="AP86" s="343"/>
      <c r="AQ86" s="343"/>
    </row>
    <row r="87" spans="18:43" ht="13.5">
      <c r="R87" s="53"/>
      <c r="S87" s="53"/>
      <c r="T87" s="53"/>
      <c r="U87"/>
      <c r="AA87" s="61"/>
      <c r="AC87" s="61"/>
      <c r="AD87" s="54"/>
      <c r="AE87" s="54"/>
      <c r="AH87" s="343"/>
      <c r="AI87" s="343"/>
      <c r="AJ87" s="343"/>
      <c r="AK87" s="343"/>
      <c r="AL87" s="343"/>
      <c r="AM87" s="343"/>
      <c r="AN87" s="343"/>
      <c r="AO87" s="343"/>
      <c r="AP87" s="343"/>
      <c r="AQ87" s="343"/>
    </row>
    <row r="88" spans="19:43" ht="13.5">
      <c r="S88"/>
      <c r="T88"/>
      <c r="V88"/>
      <c r="AC88" s="61"/>
      <c r="AD88" s="54"/>
      <c r="AE88" s="54"/>
      <c r="AH88" s="343"/>
      <c r="AI88" s="343"/>
      <c r="AJ88" s="343"/>
      <c r="AK88" s="343"/>
      <c r="AL88" s="343"/>
      <c r="AM88" s="343"/>
      <c r="AN88" s="343"/>
      <c r="AO88" s="343"/>
      <c r="AP88" s="343"/>
      <c r="AQ88" s="343"/>
    </row>
    <row r="89" spans="19:43" ht="13.5">
      <c r="S89" s="109"/>
      <c r="AB89" s="61"/>
      <c r="AC89" s="61"/>
      <c r="AD89" s="54"/>
      <c r="AE89" s="54"/>
      <c r="AH89" s="343"/>
      <c r="AI89" s="343"/>
      <c r="AJ89" s="343"/>
      <c r="AK89" s="343"/>
      <c r="AL89" s="343"/>
      <c r="AM89" s="343"/>
      <c r="AN89" s="343"/>
      <c r="AO89" s="343"/>
      <c r="AP89" s="343"/>
      <c r="AQ89" s="343"/>
    </row>
    <row r="90" spans="28:43" ht="13.5">
      <c r="AB90" s="61"/>
      <c r="AC90" s="61"/>
      <c r="AD90" s="54"/>
      <c r="AE90" s="54"/>
      <c r="AH90" s="343"/>
      <c r="AI90" s="343"/>
      <c r="AJ90" s="343"/>
      <c r="AK90" s="343"/>
      <c r="AL90" s="343"/>
      <c r="AM90" s="343"/>
      <c r="AN90" s="343"/>
      <c r="AO90" s="343"/>
      <c r="AP90" s="343"/>
      <c r="AQ90" s="343"/>
    </row>
    <row r="91" spans="28:43" ht="13.5">
      <c r="AB91" s="61"/>
      <c r="AC91" s="61"/>
      <c r="AH91" s="343"/>
      <c r="AI91" s="343"/>
      <c r="AJ91" s="343"/>
      <c r="AK91" s="343"/>
      <c r="AL91" s="343"/>
      <c r="AM91" s="343"/>
      <c r="AN91" s="343"/>
      <c r="AO91" s="343"/>
      <c r="AP91" s="343"/>
      <c r="AQ91" s="343"/>
    </row>
    <row r="92" spans="28:43" ht="13.5">
      <c r="AB92" s="61"/>
      <c r="AC92" s="61"/>
      <c r="AH92" s="343"/>
      <c r="AI92" s="343"/>
      <c r="AJ92" s="343"/>
      <c r="AK92" s="343"/>
      <c r="AL92" s="343"/>
      <c r="AM92" s="343"/>
      <c r="AN92" s="343"/>
      <c r="AO92" s="343"/>
      <c r="AP92" s="343"/>
      <c r="AQ92" s="343"/>
    </row>
    <row r="93" spans="28:42" ht="13.5">
      <c r="AB93" s="61"/>
      <c r="AH93" s="343"/>
      <c r="AI93" s="343"/>
      <c r="AJ93" s="343"/>
      <c r="AK93" s="343"/>
      <c r="AL93" s="343"/>
      <c r="AM93" s="343"/>
      <c r="AN93" s="343"/>
      <c r="AO93" s="343"/>
      <c r="AP93" s="343"/>
    </row>
    <row r="94" spans="28:42" ht="13.5">
      <c r="AB94" s="61"/>
      <c r="AH94" s="343"/>
      <c r="AI94" s="343"/>
      <c r="AJ94" s="343"/>
      <c r="AK94" s="343"/>
      <c r="AL94" s="343"/>
      <c r="AM94" s="343"/>
      <c r="AN94" s="343"/>
      <c r="AO94" s="343"/>
      <c r="AP94" s="343"/>
    </row>
    <row r="95" spans="28:43" ht="13.5">
      <c r="AB95" s="61"/>
      <c r="AH95" s="343"/>
      <c r="AI95" s="343"/>
      <c r="AJ95" s="343"/>
      <c r="AK95" s="343"/>
      <c r="AL95" s="343"/>
      <c r="AM95" s="343"/>
      <c r="AN95" s="343"/>
      <c r="AO95" s="343"/>
      <c r="AP95" s="343"/>
      <c r="AQ95" s="343"/>
    </row>
    <row r="96" spans="34:42" ht="13.5">
      <c r="AH96" s="343"/>
      <c r="AI96" s="343"/>
      <c r="AJ96" s="343"/>
      <c r="AK96" s="343"/>
      <c r="AL96" s="343"/>
      <c r="AM96" s="343"/>
      <c r="AN96" s="343"/>
      <c r="AO96" s="343"/>
      <c r="AP96" s="343"/>
    </row>
  </sheetData>
  <sheetProtection sheet="1"/>
  <mergeCells count="233">
    <mergeCell ref="I23:I24"/>
    <mergeCell ref="J23:J24"/>
    <mergeCell ref="H21:H22"/>
    <mergeCell ref="I21:I22"/>
    <mergeCell ref="J21:J22"/>
    <mergeCell ref="H19:H20"/>
    <mergeCell ref="I19:I20"/>
    <mergeCell ref="J19:J20"/>
    <mergeCell ref="I29:I30"/>
    <mergeCell ref="J29:J30"/>
    <mergeCell ref="H27:H28"/>
    <mergeCell ref="I27:I28"/>
    <mergeCell ref="J27:J28"/>
    <mergeCell ref="H25:H26"/>
    <mergeCell ref="I25:I26"/>
    <mergeCell ref="J25:J26"/>
    <mergeCell ref="G21:G22"/>
    <mergeCell ref="G23:G24"/>
    <mergeCell ref="G25:G26"/>
    <mergeCell ref="G27:G28"/>
    <mergeCell ref="G29:G30"/>
    <mergeCell ref="H29:H30"/>
    <mergeCell ref="H23:H24"/>
    <mergeCell ref="E23:E24"/>
    <mergeCell ref="E25:E26"/>
    <mergeCell ref="E27:E28"/>
    <mergeCell ref="F21:F22"/>
    <mergeCell ref="F23:F24"/>
    <mergeCell ref="F25:F26"/>
    <mergeCell ref="F27:F28"/>
    <mergeCell ref="E29:E30"/>
    <mergeCell ref="F29:F30"/>
    <mergeCell ref="C21:C22"/>
    <mergeCell ref="C23:C24"/>
    <mergeCell ref="C25:C26"/>
    <mergeCell ref="C27:C28"/>
    <mergeCell ref="D21:D22"/>
    <mergeCell ref="D23:D24"/>
    <mergeCell ref="D25:D26"/>
    <mergeCell ref="D27:D28"/>
    <mergeCell ref="B23:B24"/>
    <mergeCell ref="B25:B26"/>
    <mergeCell ref="B27:B28"/>
    <mergeCell ref="B29:B30"/>
    <mergeCell ref="C29:C30"/>
    <mergeCell ref="D29:D30"/>
    <mergeCell ref="B19:B20"/>
    <mergeCell ref="C19:C20"/>
    <mergeCell ref="D19:D20"/>
    <mergeCell ref="E19:E20"/>
    <mergeCell ref="F19:F20"/>
    <mergeCell ref="B21:B22"/>
    <mergeCell ref="E21:E22"/>
    <mergeCell ref="AH24:AH25"/>
    <mergeCell ref="AH8:AH9"/>
    <mergeCell ref="AI8:AK8"/>
    <mergeCell ref="AL8:AN8"/>
    <mergeCell ref="AO8:AQ8"/>
    <mergeCell ref="AH15:AH16"/>
    <mergeCell ref="AI15:AK15"/>
    <mergeCell ref="AL15:AN15"/>
    <mergeCell ref="AO15:AQ15"/>
    <mergeCell ref="AL24:AN24"/>
    <mergeCell ref="AO24:AQ24"/>
    <mergeCell ref="AI23:AK23"/>
    <mergeCell ref="P81:Q81"/>
    <mergeCell ref="P82:Q82"/>
    <mergeCell ref="O68:P68"/>
    <mergeCell ref="O69:P69"/>
    <mergeCell ref="O70:P70"/>
    <mergeCell ref="O71:P71"/>
    <mergeCell ref="AI25:AK25"/>
    <mergeCell ref="AI26:AJ26"/>
    <mergeCell ref="AI24:AK24"/>
    <mergeCell ref="AI27:AJ27"/>
    <mergeCell ref="Z51:Z53"/>
    <mergeCell ref="T52:T53"/>
    <mergeCell ref="V52:V53"/>
    <mergeCell ref="W66:W67"/>
    <mergeCell ref="X66:X67"/>
    <mergeCell ref="Y66:Y67"/>
    <mergeCell ref="X33:X37"/>
    <mergeCell ref="V31:V32"/>
    <mergeCell ref="P80:Q80"/>
    <mergeCell ref="P79:Q79"/>
    <mergeCell ref="S80:S81"/>
    <mergeCell ref="C41:C42"/>
    <mergeCell ref="D41:D42"/>
    <mergeCell ref="E41:E42"/>
    <mergeCell ref="G41:H42"/>
    <mergeCell ref="I41:I42"/>
    <mergeCell ref="O72:P72"/>
    <mergeCell ref="P66:P67"/>
    <mergeCell ref="M33:N33"/>
    <mergeCell ref="G45:H45"/>
    <mergeCell ref="C40:E40"/>
    <mergeCell ref="G40:I40"/>
    <mergeCell ref="G46:H46"/>
    <mergeCell ref="R52:R53"/>
    <mergeCell ref="M36:N36"/>
    <mergeCell ref="M37:N37"/>
    <mergeCell ref="Q66:Q67"/>
    <mergeCell ref="M34:N34"/>
    <mergeCell ref="M35:N35"/>
    <mergeCell ref="X30:X32"/>
    <mergeCell ref="J41:J42"/>
    <mergeCell ref="G43:H43"/>
    <mergeCell ref="G44:H44"/>
    <mergeCell ref="P30:P32"/>
    <mergeCell ref="Q30:Q32"/>
    <mergeCell ref="U31:U32"/>
    <mergeCell ref="G16:H16"/>
    <mergeCell ref="V17:V18"/>
    <mergeCell ref="M16:N16"/>
    <mergeCell ref="M18:N18"/>
    <mergeCell ref="I31:J31"/>
    <mergeCell ref="O30:O32"/>
    <mergeCell ref="M20:N20"/>
    <mergeCell ref="N30:N32"/>
    <mergeCell ref="R30:R32"/>
    <mergeCell ref="G19:G20"/>
    <mergeCell ref="AI22:AK22"/>
    <mergeCell ref="S31:S32"/>
    <mergeCell ref="T31:T32"/>
    <mergeCell ref="Y24:AA24"/>
    <mergeCell ref="M19:N19"/>
    <mergeCell ref="M17:N17"/>
    <mergeCell ref="Y26:AA26"/>
    <mergeCell ref="Y25:AA25"/>
    <mergeCell ref="X25:X26"/>
    <mergeCell ref="Y31:Y32"/>
    <mergeCell ref="X11:Z12"/>
    <mergeCell ref="V13:V14"/>
    <mergeCell ref="W13:W14"/>
    <mergeCell ref="X13:Z14"/>
    <mergeCell ref="C13:I14"/>
    <mergeCell ref="G17:H17"/>
    <mergeCell ref="B11:G11"/>
    <mergeCell ref="W17:W18"/>
    <mergeCell ref="X17:Z18"/>
    <mergeCell ref="G15:J15"/>
    <mergeCell ref="V15:V16"/>
    <mergeCell ref="W15:W16"/>
    <mergeCell ref="X15:Z16"/>
    <mergeCell ref="T79:W82"/>
    <mergeCell ref="W22:W23"/>
    <mergeCell ref="X22:Z22"/>
    <mergeCell ref="X23:Z23"/>
    <mergeCell ref="X21:Z21"/>
    <mergeCell ref="W30:W32"/>
    <mergeCell ref="V64:V65"/>
    <mergeCell ref="M4:P5"/>
    <mergeCell ref="P7:P9"/>
    <mergeCell ref="S7:S9"/>
    <mergeCell ref="T7:T9"/>
    <mergeCell ref="V11:V12"/>
    <mergeCell ref="W11:W12"/>
    <mergeCell ref="A13:A18"/>
    <mergeCell ref="B13:B14"/>
    <mergeCell ref="C17:D17"/>
    <mergeCell ref="C16:D16"/>
    <mergeCell ref="B15:B18"/>
    <mergeCell ref="C15:F15"/>
    <mergeCell ref="O54:O55"/>
    <mergeCell ref="O56:O57"/>
    <mergeCell ref="O58:O59"/>
    <mergeCell ref="O60:O61"/>
    <mergeCell ref="O62:O63"/>
    <mergeCell ref="O64:O65"/>
    <mergeCell ref="P64:P65"/>
    <mergeCell ref="Q64:Q65"/>
    <mergeCell ref="R64:R65"/>
    <mergeCell ref="S64:S65"/>
    <mergeCell ref="T64:T65"/>
    <mergeCell ref="U64:U65"/>
    <mergeCell ref="W64:W65"/>
    <mergeCell ref="X64:X65"/>
    <mergeCell ref="Y64:Y65"/>
    <mergeCell ref="P54:P55"/>
    <mergeCell ref="P56:P57"/>
    <mergeCell ref="P58:P59"/>
    <mergeCell ref="P60:P61"/>
    <mergeCell ref="P62:P63"/>
    <mergeCell ref="Q54:Q55"/>
    <mergeCell ref="Q56:Q57"/>
    <mergeCell ref="Q58:Q59"/>
    <mergeCell ref="Q60:Q61"/>
    <mergeCell ref="Q62:Q63"/>
    <mergeCell ref="R54:R55"/>
    <mergeCell ref="R56:R57"/>
    <mergeCell ref="R58:R59"/>
    <mergeCell ref="R60:R61"/>
    <mergeCell ref="R62:R63"/>
    <mergeCell ref="S54:S55"/>
    <mergeCell ref="S56:S57"/>
    <mergeCell ref="S58:S59"/>
    <mergeCell ref="S60:S61"/>
    <mergeCell ref="S62:S63"/>
    <mergeCell ref="T54:T55"/>
    <mergeCell ref="T56:T57"/>
    <mergeCell ref="T58:T59"/>
    <mergeCell ref="T60:T61"/>
    <mergeCell ref="T62:T63"/>
    <mergeCell ref="U54:U55"/>
    <mergeCell ref="U56:U57"/>
    <mergeCell ref="U58:U59"/>
    <mergeCell ref="U60:U61"/>
    <mergeCell ref="U62:U63"/>
    <mergeCell ref="V54:V55"/>
    <mergeCell ref="V56:V57"/>
    <mergeCell ref="V58:V59"/>
    <mergeCell ref="V60:V61"/>
    <mergeCell ref="V62:V63"/>
    <mergeCell ref="W54:W55"/>
    <mergeCell ref="W56:W57"/>
    <mergeCell ref="W58:W59"/>
    <mergeCell ref="W60:W61"/>
    <mergeCell ref="W62:W63"/>
    <mergeCell ref="X54:X55"/>
    <mergeCell ref="X56:X57"/>
    <mergeCell ref="X58:X59"/>
    <mergeCell ref="X60:X61"/>
    <mergeCell ref="X62:X63"/>
    <mergeCell ref="Y54:Y55"/>
    <mergeCell ref="Y56:Y57"/>
    <mergeCell ref="Y58:Y59"/>
    <mergeCell ref="Y60:Y61"/>
    <mergeCell ref="Y62:Y63"/>
    <mergeCell ref="Z54:Z55"/>
    <mergeCell ref="Z56:Z57"/>
    <mergeCell ref="Z58:Z59"/>
    <mergeCell ref="Z60:Z61"/>
    <mergeCell ref="Z62:Z63"/>
  </mergeCells>
  <conditionalFormatting sqref="W70:Y70 X54 X58 X60 X62">
    <cfRule type="expression" priority="53" dxfId="26" stopIfTrue="1">
      <formula>$Z$70&lt;&gt;""</formula>
    </cfRule>
  </conditionalFormatting>
  <conditionalFormatting sqref="W68:Y71 X54 X56 X58 X60 X62">
    <cfRule type="expression" priority="71" dxfId="26" stopIfTrue="1">
      <formula>$Z$71&lt;&gt;""</formula>
    </cfRule>
  </conditionalFormatting>
  <conditionalFormatting sqref="X25:X26 W11:W16 W22:W23 X33 S42:V42 N42 Y33:Y37 S33:V37 Y42">
    <cfRule type="cellIs" priority="72" dxfId="8" operator="equal" stopIfTrue="1">
      <formula>"×"</formula>
    </cfRule>
  </conditionalFormatting>
  <conditionalFormatting sqref="Y33 R33:V33">
    <cfRule type="expression" priority="259" dxfId="27" stopIfTrue="1">
      <formula>AND(OR($C$19="",$C$19=0),OR($G$19="",$G$19=0),$N$33="○")</formula>
    </cfRule>
  </conditionalFormatting>
  <conditionalFormatting sqref="O33:Q33">
    <cfRule type="expression" priority="5" dxfId="27" stopIfTrue="1">
      <formula>AND(OR($C$19="",$C$19=0),OR($G$19="",$G19=0),$N$33="○")</formula>
    </cfRule>
  </conditionalFormatting>
  <conditionalFormatting sqref="N46 R46:S46 T40 Y39:Y40 U46 X46:Y46 V44:V45">
    <cfRule type="expression" priority="270" dxfId="27" stopIfTrue="1">
      <formula>AND(OR(#REF!="",#REF!=0),OR(#REF!="",#REF!=0),$N$46="○")</formula>
    </cfRule>
  </conditionalFormatting>
  <conditionalFormatting sqref="O46:Q46 O40:Q40">
    <cfRule type="expression" priority="321" dxfId="27" stopIfTrue="1">
      <formula>AND(OR($C$19="",$C$19=0),OR($G$19="",#REF!=0),$N$33="○")</formula>
    </cfRule>
  </conditionalFormatting>
  <conditionalFormatting sqref="N40 R40:S40 U40:V40 Y40">
    <cfRule type="expression" priority="327" dxfId="27" stopIfTrue="1">
      <formula>AND(OR(#REF!="",#REF!=0),OR(#REF!="",#REF!=0),$N$40="○")</formula>
    </cfRule>
  </conditionalFormatting>
  <conditionalFormatting sqref="L20 G21:I21 K21">
    <cfRule type="expression" priority="369" dxfId="8" stopIfTrue="1">
      <formula>$N$34="×"</formula>
    </cfRule>
  </conditionalFormatting>
  <conditionalFormatting sqref="G19:I19 K19:L19">
    <cfRule type="expression" priority="383" dxfId="8" stopIfTrue="1">
      <formula>$N$33="×"</formula>
    </cfRule>
  </conditionalFormatting>
  <conditionalFormatting sqref="O42:P42 W42">
    <cfRule type="expression" priority="417" dxfId="27" stopIfTrue="1">
      <formula>AND(OR($C$19="",$C$19=0),OR($G$19="",経費明細表!#REF!=0),$N$33="○")</formula>
    </cfRule>
  </conditionalFormatting>
  <conditionalFormatting sqref="N42 R42:V42 Y42">
    <cfRule type="expression" priority="458" dxfId="27" stopIfTrue="1">
      <formula>AND(OR(経費明細表!#REF!="",経費明細表!#REF!=0),OR(経費明細表!#REF!="",経費明細表!#REF!=0),$N$42="○")</formula>
    </cfRule>
  </conditionalFormatting>
  <conditionalFormatting sqref="L21 G23:I23 K23">
    <cfRule type="expression" priority="463" dxfId="8" stopIfTrue="1">
      <formula>$N$35="×"</formula>
    </cfRule>
  </conditionalFormatting>
  <conditionalFormatting sqref="G25:I25 K25">
    <cfRule type="expression" priority="464" dxfId="8" stopIfTrue="1">
      <formula>$N$36="×"</formula>
    </cfRule>
  </conditionalFormatting>
  <conditionalFormatting sqref="G27:I27 L23">
    <cfRule type="expression" priority="465" dxfId="8" stopIfTrue="1">
      <formula>$N$37="×"</formula>
    </cfRule>
  </conditionalFormatting>
  <conditionalFormatting sqref="F29">
    <cfRule type="expression" priority="473" dxfId="8" stopIfTrue="1">
      <formula>$W$11="×"</formula>
    </cfRule>
  </conditionalFormatting>
  <conditionalFormatting sqref="E29 I29">
    <cfRule type="expression" priority="475" dxfId="8" stopIfTrue="1">
      <formula>$W$13="×"</formula>
    </cfRule>
  </conditionalFormatting>
  <conditionalFormatting sqref="P38:Q38">
    <cfRule type="expression" priority="477" dxfId="8" stopIfTrue="1">
      <formula>$W$15="×"</formula>
    </cfRule>
  </conditionalFormatting>
  <conditionalFormatting sqref="Y34 R34:V34">
    <cfRule type="expression" priority="502" dxfId="28" stopIfTrue="1">
      <formula>AND(OR($C$21="",$C$21=0),OR($G$21="",$G$21=0),$N$34="○")</formula>
    </cfRule>
  </conditionalFormatting>
  <conditionalFormatting sqref="O34:Q34">
    <cfRule type="expression" priority="505" dxfId="27" stopIfTrue="1">
      <formula>AND(OR($C$19="",$C$19=0),OR($G$19="",$G21=0),$N$33="○")</formula>
    </cfRule>
  </conditionalFormatting>
  <conditionalFormatting sqref="O35:Q35">
    <cfRule type="expression" priority="514" dxfId="27" stopIfTrue="1">
      <formula>AND(OR($C$19="",$C$19=0),OR($G$19="",$G23=0),$N$33="○")</formula>
    </cfRule>
  </conditionalFormatting>
  <conditionalFormatting sqref="Y35 R35:V35">
    <cfRule type="expression" priority="515" dxfId="27" stopIfTrue="1">
      <formula>AND(OR($C$23="",$C$23=0),OR($G$23="",$G$23=0),$N$35="○")</formula>
    </cfRule>
  </conditionalFormatting>
  <conditionalFormatting sqref="O36:Q36">
    <cfRule type="expression" priority="524" dxfId="27" stopIfTrue="1">
      <formula>AND(OR($C$19="",$C$19=0),OR($G$19="",$G25=0),$N$33="○")</formula>
    </cfRule>
  </conditionalFormatting>
  <conditionalFormatting sqref="Y36 R36:V36">
    <cfRule type="expression" priority="525" dxfId="27" stopIfTrue="1">
      <formula>AND(OR($C$25="",$C$25=0),OR($G$25="",$G$25=0),$N$36="○")</formula>
    </cfRule>
  </conditionalFormatting>
  <conditionalFormatting sqref="O37:Q37">
    <cfRule type="expression" priority="533" dxfId="27" stopIfTrue="1">
      <formula>AND(OR($C$19="",$C$19=0),OR($G$19="",$G27=0),$N$33="○")</formula>
    </cfRule>
  </conditionalFormatting>
  <conditionalFormatting sqref="Y37 R37:V37">
    <cfRule type="expression" priority="534" dxfId="27" stopIfTrue="1">
      <formula>AND(OR($C$27="",$C$27=0),OR($G$27="",$G$27=0),$N$37="○")</formula>
    </cfRule>
  </conditionalFormatting>
  <dataValidations count="3">
    <dataValidation allowBlank="1" showInputMessage="1" showErrorMessage="1" imeMode="halfAlpha" sqref="J44 E29 E45"/>
    <dataValidation allowBlank="1" showInputMessage="1" showErrorMessage="1" imeMode="hiragana" sqref="G49:G50 S4"/>
    <dataValidation type="whole" operator="greaterThanOrEqual" allowBlank="1" showInputMessage="1" showErrorMessage="1" errorTitle="0以上の数字を入力して下さい。" imeMode="halfAlpha" sqref="C23:I23 K21 K25 C27:I27 C25:I25 K19 C21:I21 C19:I19 L19:L21 K23:L23">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7" r:id="rId4"/>
  <colBreaks count="1" manualBreakCount="1">
    <brk id="12" max="65535" man="1"/>
  </colBreaks>
  <ignoredErrors>
    <ignoredError sqref="X69" formulaRange="1"/>
    <ignoredError sqref="Z49 O18"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Sheet30">
    <tabColor theme="4" tint="0.39998000860214233"/>
  </sheetPr>
  <dimension ref="A1:I102"/>
  <sheetViews>
    <sheetView zoomScalePageLayoutView="0" workbookViewId="0" topLeftCell="A1">
      <selection activeCell="A1" sqref="A1"/>
    </sheetView>
  </sheetViews>
  <sheetFormatPr defaultColWidth="33.57421875" defaultRowHeight="30.75" customHeight="1"/>
  <cols>
    <col min="1" max="1" width="8.28125" style="43" customWidth="1"/>
    <col min="2" max="2" width="33.57421875" style="40" customWidth="1"/>
    <col min="3" max="3" width="33.57421875" style="40" hidden="1" customWidth="1"/>
    <col min="4" max="4" width="15.28125" style="39" hidden="1" customWidth="1"/>
    <col min="5" max="5" width="33.57421875" style="40" hidden="1" customWidth="1"/>
    <col min="6" max="6" width="33.57421875" style="38" hidden="1" customWidth="1"/>
    <col min="7" max="7" width="33.57421875" style="43" hidden="1" customWidth="1"/>
    <col min="8" max="9" width="0" style="38" hidden="1" customWidth="1"/>
    <col min="10" max="16384" width="33.57421875" style="38" customWidth="1"/>
  </cols>
  <sheetData>
    <row r="1" spans="1:9" ht="30.75" customHeight="1">
      <c r="A1" s="35" t="s">
        <v>43</v>
      </c>
      <c r="B1" s="36" t="s">
        <v>44</v>
      </c>
      <c r="C1" s="36" t="str">
        <f>CONCATENATE(A1,B1)</f>
        <v>中分類　コード内容</v>
      </c>
      <c r="D1" s="35" t="s">
        <v>45</v>
      </c>
      <c r="E1" s="36" t="s">
        <v>44</v>
      </c>
      <c r="F1" s="36" t="str">
        <f>CONCATENATE(D1,E1)</f>
        <v>全中分類コード内容</v>
      </c>
      <c r="G1" s="37" t="s">
        <v>46</v>
      </c>
      <c r="H1" s="35" t="str">
        <f>CONCATENATE(D1,I1)</f>
        <v>全中分類コード小分類</v>
      </c>
      <c r="I1" s="37" t="s">
        <v>47</v>
      </c>
    </row>
    <row r="2" spans="1:9" ht="30.75" customHeight="1">
      <c r="A2" s="39" t="s">
        <v>48</v>
      </c>
      <c r="B2" s="40" t="s">
        <v>49</v>
      </c>
      <c r="C2" s="41" t="str">
        <f>CONCATENATE(A2,B2)</f>
        <v>01　農業</v>
      </c>
      <c r="D2" s="42" t="s">
        <v>50</v>
      </c>
      <c r="E2" s="40" t="s">
        <v>49</v>
      </c>
      <c r="F2" s="40" t="str">
        <f>CONCATENATE(D2,E2)</f>
        <v>010000　農業</v>
      </c>
      <c r="G2" s="43" t="s">
        <v>51</v>
      </c>
      <c r="H2" s="40" t="str">
        <f>CONCATENATE(D2,I2)</f>
        <v>010000管理，補助的経済活動を行う事業所（01農業） </v>
      </c>
      <c r="I2" s="38" t="s">
        <v>52</v>
      </c>
    </row>
    <row r="3" spans="1:9" ht="30.75" customHeight="1">
      <c r="A3" s="43" t="s">
        <v>53</v>
      </c>
      <c r="B3" s="40" t="s">
        <v>54</v>
      </c>
      <c r="C3" s="41" t="str">
        <f aca="true" t="shared" si="0" ref="C3:C66">CONCATENATE(A3,B3)</f>
        <v>02　林業</v>
      </c>
      <c r="D3" s="42" t="s">
        <v>55</v>
      </c>
      <c r="E3" s="40" t="s">
        <v>54</v>
      </c>
      <c r="F3" s="40" t="str">
        <f aca="true" t="shared" si="1" ref="F3:F66">CONCATENATE(D3,E3)</f>
        <v>020000　林業</v>
      </c>
      <c r="G3" s="43" t="s">
        <v>56</v>
      </c>
      <c r="H3" s="40" t="str">
        <f aca="true" t="shared" si="2" ref="H3:H66">CONCATENATE(D3,I3)</f>
        <v>020000管理，補助的経済活動を行う事業所（02林業） </v>
      </c>
      <c r="I3" s="38" t="s">
        <v>57</v>
      </c>
    </row>
    <row r="4" spans="1:9" ht="30.75" customHeight="1">
      <c r="A4" s="43" t="s">
        <v>58</v>
      </c>
      <c r="B4" s="40" t="s">
        <v>59</v>
      </c>
      <c r="C4" s="41" t="str">
        <f t="shared" si="0"/>
        <v>03　漁業（水産養殖業を除く）</v>
      </c>
      <c r="D4" s="42" t="s">
        <v>60</v>
      </c>
      <c r="E4" s="40" t="s">
        <v>59</v>
      </c>
      <c r="F4" s="40" t="str">
        <f t="shared" si="1"/>
        <v>030000　漁業（水産養殖業を除く）</v>
      </c>
      <c r="G4" s="43" t="s">
        <v>61</v>
      </c>
      <c r="H4" s="40" t="str">
        <f t="shared" si="2"/>
        <v>030000管理，補助的経済活動を行う事業所（03漁業） </v>
      </c>
      <c r="I4" s="38" t="s">
        <v>62</v>
      </c>
    </row>
    <row r="5" spans="1:9" ht="30.75" customHeight="1">
      <c r="A5" s="43" t="s">
        <v>63</v>
      </c>
      <c r="B5" s="40" t="s">
        <v>64</v>
      </c>
      <c r="C5" s="41" t="str">
        <f t="shared" si="0"/>
        <v>04　水産養殖業</v>
      </c>
      <c r="D5" s="42" t="s">
        <v>60</v>
      </c>
      <c r="E5" s="40" t="s">
        <v>64</v>
      </c>
      <c r="F5" s="40" t="str">
        <f t="shared" si="1"/>
        <v>030000　水産養殖業</v>
      </c>
      <c r="G5" s="43" t="s">
        <v>65</v>
      </c>
      <c r="H5" s="40" t="str">
        <f t="shared" si="2"/>
        <v>030000管理，補助的経済活動を行う事業所（04水産養殖業） </v>
      </c>
      <c r="I5" s="38" t="s">
        <v>66</v>
      </c>
    </row>
    <row r="6" spans="1:9" ht="30.75" customHeight="1">
      <c r="A6" s="43" t="s">
        <v>67</v>
      </c>
      <c r="B6" s="40" t="s">
        <v>68</v>
      </c>
      <c r="C6" s="41" t="str">
        <f t="shared" si="0"/>
        <v>05　鉱業，採石業，砂利採取業</v>
      </c>
      <c r="D6" s="42" t="s">
        <v>69</v>
      </c>
      <c r="E6" s="40" t="s">
        <v>70</v>
      </c>
      <c r="F6" s="40" t="str">
        <f t="shared" si="1"/>
        <v>040000　鉱業</v>
      </c>
      <c r="G6" s="43" t="s">
        <v>71</v>
      </c>
      <c r="H6" s="40" t="str">
        <f t="shared" si="2"/>
        <v>040000管理，補助的経済活動を行う事業所（05鉱業，採石業，砂利採取業） </v>
      </c>
      <c r="I6" s="38" t="s">
        <v>72</v>
      </c>
    </row>
    <row r="7" spans="1:9" ht="30.75" customHeight="1">
      <c r="A7" s="43" t="s">
        <v>73</v>
      </c>
      <c r="B7" s="40" t="s">
        <v>74</v>
      </c>
      <c r="C7" s="41" t="str">
        <f t="shared" si="0"/>
        <v>06　総合工事業</v>
      </c>
      <c r="D7" s="42" t="s">
        <v>75</v>
      </c>
      <c r="E7" s="40" t="s">
        <v>74</v>
      </c>
      <c r="F7" s="40" t="str">
        <f t="shared" si="1"/>
        <v>050100　総合工事業</v>
      </c>
      <c r="G7" s="43" t="s">
        <v>76</v>
      </c>
      <c r="H7" s="40" t="str">
        <f t="shared" si="2"/>
        <v>050100管理，補助的経済活動を行う事業所（06総合工事業） </v>
      </c>
      <c r="I7" s="38" t="s">
        <v>77</v>
      </c>
    </row>
    <row r="8" spans="1:9" ht="30.75" customHeight="1">
      <c r="A8" s="43" t="s">
        <v>78</v>
      </c>
      <c r="B8" s="40" t="s">
        <v>79</v>
      </c>
      <c r="C8" s="41" t="str">
        <f t="shared" si="0"/>
        <v>07　職別工事業(設備工事業を除く)</v>
      </c>
      <c r="D8" s="42" t="s">
        <v>80</v>
      </c>
      <c r="E8" s="40" t="s">
        <v>79</v>
      </c>
      <c r="F8" s="40" t="str">
        <f t="shared" si="1"/>
        <v>050300　職別工事業(設備工事業を除く)</v>
      </c>
      <c r="G8" s="43" t="s">
        <v>81</v>
      </c>
      <c r="H8" s="40" t="str">
        <f t="shared" si="2"/>
        <v>050300管理，補助的経済活動を行う事業所（07職別工事業） </v>
      </c>
      <c r="I8" s="38" t="s">
        <v>82</v>
      </c>
    </row>
    <row r="9" spans="1:9" ht="30.75" customHeight="1">
      <c r="A9" s="43" t="s">
        <v>83</v>
      </c>
      <c r="B9" s="40" t="s">
        <v>84</v>
      </c>
      <c r="C9" s="41" t="str">
        <f t="shared" si="0"/>
        <v>08　設備工事業</v>
      </c>
      <c r="D9" s="42" t="s">
        <v>85</v>
      </c>
      <c r="E9" s="40" t="s">
        <v>84</v>
      </c>
      <c r="F9" s="40" t="str">
        <f t="shared" si="1"/>
        <v>050500　設備工事業</v>
      </c>
      <c r="G9" s="43" t="s">
        <v>86</v>
      </c>
      <c r="H9" s="40" t="str">
        <f t="shared" si="2"/>
        <v>050500管理，補助的経済活動を行う事業所（08設備工事業） </v>
      </c>
      <c r="I9" s="38" t="s">
        <v>87</v>
      </c>
    </row>
    <row r="10" spans="1:9" ht="30.75" customHeight="1">
      <c r="A10" s="43" t="s">
        <v>88</v>
      </c>
      <c r="B10" s="40" t="s">
        <v>89</v>
      </c>
      <c r="C10" s="41" t="str">
        <f t="shared" si="0"/>
        <v>09　食料品製造業</v>
      </c>
      <c r="D10" s="42" t="s">
        <v>90</v>
      </c>
      <c r="E10" s="40" t="s">
        <v>89</v>
      </c>
      <c r="F10" s="40" t="str">
        <f t="shared" si="1"/>
        <v>060100　食料品製造業</v>
      </c>
      <c r="G10" s="43" t="s">
        <v>91</v>
      </c>
      <c r="H10" s="40" t="str">
        <f t="shared" si="2"/>
        <v>060100管理，補助的経済活動を行う事業所（09食料品製造業） </v>
      </c>
      <c r="I10" s="38" t="s">
        <v>92</v>
      </c>
    </row>
    <row r="11" spans="1:9" ht="30.75" customHeight="1">
      <c r="A11" s="43" t="s">
        <v>93</v>
      </c>
      <c r="B11" s="40" t="s">
        <v>94</v>
      </c>
      <c r="C11" s="41" t="str">
        <f t="shared" si="0"/>
        <v>10　飲料・たばこ・飼料製造業</v>
      </c>
      <c r="D11" s="42" t="s">
        <v>95</v>
      </c>
      <c r="E11" s="40" t="s">
        <v>94</v>
      </c>
      <c r="F11" s="40" t="str">
        <f t="shared" si="1"/>
        <v>060300　飲料・たばこ・飼料製造業</v>
      </c>
      <c r="G11" s="43" t="s">
        <v>96</v>
      </c>
      <c r="H11" s="40" t="str">
        <f t="shared" si="2"/>
        <v>060300管理，補助的経済活動を行う事業所（10飲料・たばこ・飼料製造業） </v>
      </c>
      <c r="I11" s="38" t="s">
        <v>97</v>
      </c>
    </row>
    <row r="12" spans="1:9" ht="30.75" customHeight="1">
      <c r="A12" s="43" t="s">
        <v>98</v>
      </c>
      <c r="B12" s="40" t="s">
        <v>99</v>
      </c>
      <c r="C12" s="41" t="str">
        <f t="shared" si="0"/>
        <v>11　繊維工業</v>
      </c>
      <c r="D12" s="42" t="s">
        <v>100</v>
      </c>
      <c r="E12" s="40" t="s">
        <v>101</v>
      </c>
      <c r="F12" s="40" t="str">
        <f t="shared" si="1"/>
        <v>060500繊維工業（衣服、その他の繊維製品を除く）</v>
      </c>
      <c r="G12" s="43" t="s">
        <v>102</v>
      </c>
      <c r="H12" s="40" t="str">
        <f t="shared" si="2"/>
        <v>060500管理，補助的経済活動を行う事業所（11繊維工業） </v>
      </c>
      <c r="I12" s="38" t="s">
        <v>103</v>
      </c>
    </row>
    <row r="13" spans="1:9" ht="30.75" customHeight="1">
      <c r="A13" s="43" t="s">
        <v>104</v>
      </c>
      <c r="B13" s="40" t="s">
        <v>105</v>
      </c>
      <c r="C13" s="41" t="str">
        <f t="shared" si="0"/>
        <v>12　木材・木製品製造業（家具を除く）</v>
      </c>
      <c r="D13" s="42" t="s">
        <v>106</v>
      </c>
      <c r="E13" s="40" t="s">
        <v>105</v>
      </c>
      <c r="F13" s="40" t="str">
        <f t="shared" si="1"/>
        <v>060900　木材・木製品製造業（家具を除く）</v>
      </c>
      <c r="G13" s="43" t="s">
        <v>107</v>
      </c>
      <c r="H13" s="40" t="str">
        <f t="shared" si="2"/>
        <v>060900管理，補助的経済活動を行う事業所（12木材・木製品製造業） </v>
      </c>
      <c r="I13" s="38" t="s">
        <v>108</v>
      </c>
    </row>
    <row r="14" spans="1:9" ht="30.75" customHeight="1">
      <c r="A14" s="43" t="s">
        <v>109</v>
      </c>
      <c r="B14" s="40" t="s">
        <v>110</v>
      </c>
      <c r="C14" s="41" t="str">
        <f t="shared" si="0"/>
        <v>13　家具・装備品製造業</v>
      </c>
      <c r="D14" s="42" t="s">
        <v>111</v>
      </c>
      <c r="E14" s="40" t="s">
        <v>110</v>
      </c>
      <c r="F14" s="40" t="str">
        <f t="shared" si="1"/>
        <v>061100　家具・装備品製造業</v>
      </c>
      <c r="G14" s="43" t="s">
        <v>112</v>
      </c>
      <c r="H14" s="40" t="str">
        <f t="shared" si="2"/>
        <v>061100管理，補助的経済活動を行う事業所（13家具・装備品製造業） </v>
      </c>
      <c r="I14" s="38" t="s">
        <v>113</v>
      </c>
    </row>
    <row r="15" spans="1:9" ht="30.75" customHeight="1">
      <c r="A15" s="43" t="s">
        <v>114</v>
      </c>
      <c r="B15" s="40" t="s">
        <v>115</v>
      </c>
      <c r="C15" s="41" t="str">
        <f t="shared" si="0"/>
        <v>14　パルプ・紙・紙加工品製造業</v>
      </c>
      <c r="D15" s="42" t="s">
        <v>116</v>
      </c>
      <c r="E15" s="40" t="s">
        <v>115</v>
      </c>
      <c r="F15" s="40" t="str">
        <f t="shared" si="1"/>
        <v>061300　パルプ・紙・紙加工品製造業</v>
      </c>
      <c r="G15" s="43" t="s">
        <v>117</v>
      </c>
      <c r="H15" s="40" t="str">
        <f t="shared" si="2"/>
        <v>061300管理，補助的経済活動を行う事業所（14パルプ・紙・紙加工品製造業） </v>
      </c>
      <c r="I15" s="38" t="s">
        <v>118</v>
      </c>
    </row>
    <row r="16" spans="1:9" ht="30.75" customHeight="1">
      <c r="A16" s="43" t="s">
        <v>119</v>
      </c>
      <c r="B16" s="40" t="s">
        <v>120</v>
      </c>
      <c r="C16" s="41" t="str">
        <f t="shared" si="0"/>
        <v>15　印刷・同関連業</v>
      </c>
      <c r="D16" s="42" t="s">
        <v>121</v>
      </c>
      <c r="E16" s="40" t="s">
        <v>120</v>
      </c>
      <c r="F16" s="40" t="str">
        <f t="shared" si="1"/>
        <v>061500　印刷・同関連業</v>
      </c>
      <c r="G16" s="43" t="s">
        <v>122</v>
      </c>
      <c r="H16" s="40" t="str">
        <f t="shared" si="2"/>
        <v>061500管理，補助的経済活動を行う事業所（15印刷・同関連業） </v>
      </c>
      <c r="I16" s="38" t="s">
        <v>123</v>
      </c>
    </row>
    <row r="17" spans="1:9" ht="30.75" customHeight="1">
      <c r="A17" s="43" t="s">
        <v>124</v>
      </c>
      <c r="B17" s="40" t="s">
        <v>125</v>
      </c>
      <c r="C17" s="41" t="str">
        <f t="shared" si="0"/>
        <v>16　化学工業</v>
      </c>
      <c r="D17" s="42" t="s">
        <v>126</v>
      </c>
      <c r="E17" s="40" t="s">
        <v>125</v>
      </c>
      <c r="F17" s="40" t="str">
        <f t="shared" si="1"/>
        <v>061700　化学工業</v>
      </c>
      <c r="G17" s="43" t="s">
        <v>127</v>
      </c>
      <c r="H17" s="40" t="str">
        <f t="shared" si="2"/>
        <v>061700管理，補助的経済活動を行う事業所（16化学工業） </v>
      </c>
      <c r="I17" s="38" t="s">
        <v>128</v>
      </c>
    </row>
    <row r="18" spans="1:9" ht="30.75" customHeight="1">
      <c r="A18" s="43" t="s">
        <v>129</v>
      </c>
      <c r="B18" s="40" t="s">
        <v>130</v>
      </c>
      <c r="C18" s="41" t="str">
        <f t="shared" si="0"/>
        <v>17　石油製品・石炭製品製造業</v>
      </c>
      <c r="D18" s="42" t="s">
        <v>131</v>
      </c>
      <c r="E18" s="40" t="s">
        <v>130</v>
      </c>
      <c r="F18" s="40" t="str">
        <f t="shared" si="1"/>
        <v>061900　石油製品・石炭製品製造業</v>
      </c>
      <c r="G18" s="43" t="s">
        <v>132</v>
      </c>
      <c r="H18" s="40" t="str">
        <f t="shared" si="2"/>
        <v>061900管理，補助的経済活動を行う事業所（17石油製品・石炭製品製造業） </v>
      </c>
      <c r="I18" s="38" t="s">
        <v>133</v>
      </c>
    </row>
    <row r="19" spans="1:9" ht="30.75" customHeight="1">
      <c r="A19" s="43" t="s">
        <v>134</v>
      </c>
      <c r="B19" s="40" t="s">
        <v>135</v>
      </c>
      <c r="C19" s="41" t="str">
        <f t="shared" si="0"/>
        <v>18　プラスチック製品製造業（別掲を除く）</v>
      </c>
      <c r="D19" s="42" t="s">
        <v>136</v>
      </c>
      <c r="E19" s="40" t="s">
        <v>135</v>
      </c>
      <c r="F19" s="40" t="str">
        <f t="shared" si="1"/>
        <v>062100　プラスチック製品製造業（別掲を除く）</v>
      </c>
      <c r="G19" s="43" t="s">
        <v>137</v>
      </c>
      <c r="H19" s="40" t="str">
        <f t="shared" si="2"/>
        <v>062100管理，補助的経済活動を行う事業所（18プラスチック製品製造業） </v>
      </c>
      <c r="I19" s="38" t="s">
        <v>138</v>
      </c>
    </row>
    <row r="20" spans="1:9" ht="30.75" customHeight="1">
      <c r="A20" s="43" t="s">
        <v>139</v>
      </c>
      <c r="B20" s="40" t="s">
        <v>140</v>
      </c>
      <c r="C20" s="41" t="str">
        <f t="shared" si="0"/>
        <v>19　ゴム製品製造業</v>
      </c>
      <c r="D20" s="42" t="s">
        <v>141</v>
      </c>
      <c r="E20" s="40" t="s">
        <v>140</v>
      </c>
      <c r="F20" s="40" t="str">
        <f t="shared" si="1"/>
        <v>062300　ゴム製品製造業</v>
      </c>
      <c r="G20" s="43" t="s">
        <v>142</v>
      </c>
      <c r="H20" s="40" t="str">
        <f t="shared" si="2"/>
        <v>062300管理，補助的経済活動を行う事業所（19ゴム製品製造業） </v>
      </c>
      <c r="I20" s="38" t="s">
        <v>143</v>
      </c>
    </row>
    <row r="21" spans="1:9" ht="30.75" customHeight="1">
      <c r="A21" s="43" t="s">
        <v>144</v>
      </c>
      <c r="B21" s="40" t="s">
        <v>145</v>
      </c>
      <c r="C21" s="41" t="str">
        <f t="shared" si="0"/>
        <v>20　なめし革・同製品・毛皮製造業</v>
      </c>
      <c r="D21" s="42" t="s">
        <v>146</v>
      </c>
      <c r="E21" s="40" t="s">
        <v>145</v>
      </c>
      <c r="F21" s="40" t="str">
        <f t="shared" si="1"/>
        <v>062500　なめし革・同製品・毛皮製造業</v>
      </c>
      <c r="G21" s="43" t="s">
        <v>147</v>
      </c>
      <c r="H21" s="40" t="str">
        <f t="shared" si="2"/>
        <v>062500管理，補助的経済活動を行う事業所（20なめし革・同製品・毛皮製造業） </v>
      </c>
      <c r="I21" s="38" t="s">
        <v>148</v>
      </c>
    </row>
    <row r="22" spans="1:9" ht="30.75" customHeight="1">
      <c r="A22" s="43" t="s">
        <v>149</v>
      </c>
      <c r="B22" s="40" t="s">
        <v>150</v>
      </c>
      <c r="C22" s="41" t="str">
        <f t="shared" si="0"/>
        <v>21　窯業・土石製品製造業</v>
      </c>
      <c r="D22" s="42" t="s">
        <v>151</v>
      </c>
      <c r="E22" s="40" t="s">
        <v>150</v>
      </c>
      <c r="F22" s="40" t="str">
        <f t="shared" si="1"/>
        <v>062700　窯業・土石製品製造業</v>
      </c>
      <c r="G22" s="43" t="s">
        <v>152</v>
      </c>
      <c r="H22" s="40" t="str">
        <f t="shared" si="2"/>
        <v>062700管理，補助的経済活動を行う事業所（21窯業・土石製品製造業） </v>
      </c>
      <c r="I22" s="38" t="s">
        <v>153</v>
      </c>
    </row>
    <row r="23" spans="1:9" ht="30.75" customHeight="1">
      <c r="A23" s="43" t="s">
        <v>154</v>
      </c>
      <c r="B23" s="40" t="s">
        <v>155</v>
      </c>
      <c r="C23" s="41" t="str">
        <f t="shared" si="0"/>
        <v>22　鉄鋼業</v>
      </c>
      <c r="D23" s="42" t="s">
        <v>156</v>
      </c>
      <c r="E23" s="40" t="s">
        <v>155</v>
      </c>
      <c r="F23" s="40" t="str">
        <f t="shared" si="1"/>
        <v>062900　鉄鋼業</v>
      </c>
      <c r="G23" s="43" t="s">
        <v>157</v>
      </c>
      <c r="H23" s="40" t="str">
        <f t="shared" si="2"/>
        <v>062900管理，補助的経済活動を行う事業所（22鉄鋼業） </v>
      </c>
      <c r="I23" s="38" t="s">
        <v>158</v>
      </c>
    </row>
    <row r="24" spans="1:9" ht="30.75" customHeight="1">
      <c r="A24" s="43" t="s">
        <v>159</v>
      </c>
      <c r="B24" s="40" t="s">
        <v>160</v>
      </c>
      <c r="C24" s="41" t="str">
        <f t="shared" si="0"/>
        <v>23　非鉄金属製造業</v>
      </c>
      <c r="D24" s="42" t="s">
        <v>161</v>
      </c>
      <c r="E24" s="40" t="s">
        <v>160</v>
      </c>
      <c r="F24" s="40" t="str">
        <f t="shared" si="1"/>
        <v>063100　非鉄金属製造業</v>
      </c>
      <c r="G24" s="43" t="s">
        <v>162</v>
      </c>
      <c r="H24" s="40" t="str">
        <f t="shared" si="2"/>
        <v>063100管理，補助的経済活動を行う事業所（23非鉄金属製造業） </v>
      </c>
      <c r="I24" s="38" t="s">
        <v>163</v>
      </c>
    </row>
    <row r="25" spans="1:9" ht="30.75" customHeight="1">
      <c r="A25" s="43" t="s">
        <v>164</v>
      </c>
      <c r="B25" s="40" t="s">
        <v>165</v>
      </c>
      <c r="C25" s="41" t="str">
        <f t="shared" si="0"/>
        <v>24　金属製品製造業</v>
      </c>
      <c r="D25" s="42" t="s">
        <v>166</v>
      </c>
      <c r="E25" s="40" t="s">
        <v>165</v>
      </c>
      <c r="F25" s="40" t="str">
        <f t="shared" si="1"/>
        <v>063300　金属製品製造業</v>
      </c>
      <c r="G25" s="43" t="s">
        <v>167</v>
      </c>
      <c r="H25" s="40" t="str">
        <f t="shared" si="2"/>
        <v>063300管理，補助的経済活動を行う事業所（24金属製品製造業） </v>
      </c>
      <c r="I25" s="38" t="s">
        <v>168</v>
      </c>
    </row>
    <row r="26" spans="1:9" ht="30.75" customHeight="1">
      <c r="A26" s="43" t="s">
        <v>169</v>
      </c>
      <c r="B26" s="40" t="s">
        <v>170</v>
      </c>
      <c r="C26" s="41" t="str">
        <f t="shared" si="0"/>
        <v>25　はん用機械器具製造業</v>
      </c>
      <c r="D26" s="42" t="s">
        <v>171</v>
      </c>
      <c r="E26" s="40" t="s">
        <v>172</v>
      </c>
      <c r="F26" s="40" t="str">
        <f t="shared" si="1"/>
        <v>063500一般機械器具製造業　 </v>
      </c>
      <c r="G26" s="43" t="s">
        <v>173</v>
      </c>
      <c r="H26" s="40" t="str">
        <f t="shared" si="2"/>
        <v>063500管理，補助的経済活動を行う事業所（25はん用機械器具製造業） </v>
      </c>
      <c r="I26" s="38" t="s">
        <v>174</v>
      </c>
    </row>
    <row r="27" spans="1:9" ht="30.75" customHeight="1">
      <c r="A27" s="43" t="s">
        <v>175</v>
      </c>
      <c r="B27" s="40" t="s">
        <v>176</v>
      </c>
      <c r="C27" s="41" t="str">
        <f t="shared" si="0"/>
        <v>26　生産用機械器具製造業</v>
      </c>
      <c r="D27" s="42" t="s">
        <v>171</v>
      </c>
      <c r="E27" s="40" t="s">
        <v>172</v>
      </c>
      <c r="F27" s="40" t="str">
        <f t="shared" si="1"/>
        <v>063500一般機械器具製造業　 </v>
      </c>
      <c r="G27" s="43" t="s">
        <v>177</v>
      </c>
      <c r="H27" s="40" t="str">
        <f t="shared" si="2"/>
        <v>063500管理，補助的経済活動を行う事業所（26生産用機械器具製造業） </v>
      </c>
      <c r="I27" s="38" t="s">
        <v>178</v>
      </c>
    </row>
    <row r="28" spans="1:9" ht="30.75" customHeight="1">
      <c r="A28" s="43" t="s">
        <v>179</v>
      </c>
      <c r="B28" s="40" t="s">
        <v>180</v>
      </c>
      <c r="C28" s="41" t="str">
        <f t="shared" si="0"/>
        <v>27　業務用機械器具製造業</v>
      </c>
      <c r="D28" s="42" t="s">
        <v>181</v>
      </c>
      <c r="E28" s="40" t="s">
        <v>182</v>
      </c>
      <c r="F28" s="40" t="str">
        <f t="shared" si="1"/>
        <v>064500精密機械器具製造業   　</v>
      </c>
      <c r="G28" s="43" t="s">
        <v>183</v>
      </c>
      <c r="H28" s="40" t="str">
        <f t="shared" si="2"/>
        <v>064500管理，補助的経済活動を行う事業所（27業務用機械器具製造業） </v>
      </c>
      <c r="I28" s="38" t="s">
        <v>184</v>
      </c>
    </row>
    <row r="29" spans="1:9" ht="30.75" customHeight="1">
      <c r="A29" s="43" t="s">
        <v>185</v>
      </c>
      <c r="B29" s="40" t="s">
        <v>186</v>
      </c>
      <c r="C29" s="41" t="str">
        <f t="shared" si="0"/>
        <v>28　電子部品・デバイス製造業</v>
      </c>
      <c r="D29" s="42" t="s">
        <v>187</v>
      </c>
      <c r="E29" s="40" t="s">
        <v>188</v>
      </c>
      <c r="F29" s="40" t="str">
        <f t="shared" si="1"/>
        <v>064100　電子部品・デバイス・電子回路製造業</v>
      </c>
      <c r="G29" s="43" t="s">
        <v>189</v>
      </c>
      <c r="H29" s="40" t="str">
        <f t="shared" si="2"/>
        <v>064100管理，補助的経済活動を行う事業所（28電子部品・デバイス・電子回路製造業） </v>
      </c>
      <c r="I29" s="38" t="s">
        <v>190</v>
      </c>
    </row>
    <row r="30" spans="1:9" ht="30.75" customHeight="1">
      <c r="A30" s="43" t="s">
        <v>191</v>
      </c>
      <c r="B30" s="40" t="s">
        <v>192</v>
      </c>
      <c r="C30" s="41" t="str">
        <f t="shared" si="0"/>
        <v>29　電気機械器具製造業</v>
      </c>
      <c r="D30" s="42" t="s">
        <v>193</v>
      </c>
      <c r="E30" s="40" t="s">
        <v>192</v>
      </c>
      <c r="F30" s="40" t="str">
        <f t="shared" si="1"/>
        <v>063700　電気機械器具製造業</v>
      </c>
      <c r="G30" s="43" t="s">
        <v>194</v>
      </c>
      <c r="H30" s="40" t="str">
        <f t="shared" si="2"/>
        <v>063700管理，補助的経済活動を行う事業所（29電気機械器具製造業） </v>
      </c>
      <c r="I30" s="38" t="s">
        <v>195</v>
      </c>
    </row>
    <row r="31" spans="1:9" ht="30.75" customHeight="1">
      <c r="A31" s="43" t="s">
        <v>196</v>
      </c>
      <c r="B31" s="40" t="s">
        <v>197</v>
      </c>
      <c r="C31" s="41" t="str">
        <f t="shared" si="0"/>
        <v>30　情報通信機械器具製造業</v>
      </c>
      <c r="D31" s="42" t="s">
        <v>198</v>
      </c>
      <c r="E31" s="40" t="s">
        <v>197</v>
      </c>
      <c r="F31" s="40" t="str">
        <f t="shared" si="1"/>
        <v>063900　情報通信機械器具製造業</v>
      </c>
      <c r="G31" s="43" t="s">
        <v>199</v>
      </c>
      <c r="H31" s="40" t="str">
        <f t="shared" si="2"/>
        <v>063900管理，補助的経済活動を行う事業所（30情報通信機械器具製造業） </v>
      </c>
      <c r="I31" s="38" t="s">
        <v>200</v>
      </c>
    </row>
    <row r="32" spans="1:9" ht="30.75" customHeight="1">
      <c r="A32" s="43" t="s">
        <v>201</v>
      </c>
      <c r="B32" s="40" t="s">
        <v>202</v>
      </c>
      <c r="C32" s="41" t="str">
        <f t="shared" si="0"/>
        <v>31　輸送用機械器具製造業</v>
      </c>
      <c r="D32" s="42" t="s">
        <v>203</v>
      </c>
      <c r="E32" s="40" t="s">
        <v>202</v>
      </c>
      <c r="F32" s="40" t="str">
        <f t="shared" si="1"/>
        <v>064300　輸送用機械器具製造業</v>
      </c>
      <c r="G32" s="43" t="s">
        <v>204</v>
      </c>
      <c r="H32" s="40" t="str">
        <f t="shared" si="2"/>
        <v>064300管理，補助的経済活動を行う事業所（31輸送用機械器具製造業） </v>
      </c>
      <c r="I32" s="38" t="s">
        <v>205</v>
      </c>
    </row>
    <row r="33" spans="1:9" ht="30.75" customHeight="1">
      <c r="A33" s="43" t="s">
        <v>206</v>
      </c>
      <c r="B33" s="40" t="s">
        <v>207</v>
      </c>
      <c r="C33" s="41" t="str">
        <f t="shared" si="0"/>
        <v>32　その他の製造業</v>
      </c>
      <c r="D33" s="42" t="s">
        <v>208</v>
      </c>
      <c r="E33" s="40" t="s">
        <v>207</v>
      </c>
      <c r="F33" s="40" t="str">
        <f t="shared" si="1"/>
        <v>064700　その他の製造業</v>
      </c>
      <c r="G33" s="43" t="s">
        <v>209</v>
      </c>
      <c r="H33" s="40" t="str">
        <f t="shared" si="2"/>
        <v>064700管理，補助的経済活動を行う事業所（32その他の製造業） </v>
      </c>
      <c r="I33" s="38" t="s">
        <v>210</v>
      </c>
    </row>
    <row r="34" spans="1:9" ht="30.75" customHeight="1">
      <c r="A34" s="43" t="s">
        <v>206</v>
      </c>
      <c r="B34" s="40" t="s">
        <v>207</v>
      </c>
      <c r="C34" s="41" t="str">
        <f t="shared" si="0"/>
        <v>32　その他の製造業</v>
      </c>
      <c r="D34" s="42" t="s">
        <v>208</v>
      </c>
      <c r="E34" s="40" t="s">
        <v>207</v>
      </c>
      <c r="F34" s="40" t="str">
        <f t="shared" si="1"/>
        <v>064700　その他の製造業</v>
      </c>
      <c r="G34" s="43" t="s">
        <v>211</v>
      </c>
      <c r="H34" s="40" t="str">
        <f t="shared" si="2"/>
        <v>064700漆器製造業 </v>
      </c>
      <c r="I34" s="38" t="s">
        <v>212</v>
      </c>
    </row>
    <row r="35" spans="1:9" ht="30.75" customHeight="1">
      <c r="A35" s="43" t="s">
        <v>213</v>
      </c>
      <c r="B35" s="40" t="s">
        <v>214</v>
      </c>
      <c r="C35" s="41" t="str">
        <f t="shared" si="0"/>
        <v>33　電気業</v>
      </c>
      <c r="D35" s="42" t="s">
        <v>215</v>
      </c>
      <c r="E35" s="40" t="s">
        <v>214</v>
      </c>
      <c r="F35" s="40" t="str">
        <f t="shared" si="1"/>
        <v>070000　電気業</v>
      </c>
      <c r="G35" s="43" t="s">
        <v>216</v>
      </c>
      <c r="H35" s="40" t="str">
        <f t="shared" si="2"/>
        <v>070000管理，補助的経済活動を行う事業所（33電気業） </v>
      </c>
      <c r="I35" s="38" t="s">
        <v>217</v>
      </c>
    </row>
    <row r="36" spans="1:9" ht="30.75" customHeight="1">
      <c r="A36" s="43" t="s">
        <v>218</v>
      </c>
      <c r="B36" s="40" t="s">
        <v>219</v>
      </c>
      <c r="C36" s="41" t="str">
        <f t="shared" si="0"/>
        <v>34　ガス業</v>
      </c>
      <c r="D36" s="42" t="s">
        <v>215</v>
      </c>
      <c r="E36" s="40" t="s">
        <v>219</v>
      </c>
      <c r="F36" s="40" t="str">
        <f t="shared" si="1"/>
        <v>070000　ガス業</v>
      </c>
      <c r="G36" s="43" t="s">
        <v>220</v>
      </c>
      <c r="H36" s="40" t="str">
        <f t="shared" si="2"/>
        <v>070000管理，補助的経済活動を行う事業所（34ガス業） </v>
      </c>
      <c r="I36" s="38" t="s">
        <v>221</v>
      </c>
    </row>
    <row r="37" spans="1:9" ht="30.75" customHeight="1">
      <c r="A37" s="43" t="s">
        <v>222</v>
      </c>
      <c r="B37" s="40" t="s">
        <v>223</v>
      </c>
      <c r="C37" s="41" t="str">
        <f t="shared" si="0"/>
        <v>35　熱供給業</v>
      </c>
      <c r="D37" s="42" t="s">
        <v>215</v>
      </c>
      <c r="E37" s="40" t="s">
        <v>223</v>
      </c>
      <c r="F37" s="40" t="str">
        <f t="shared" si="1"/>
        <v>070000　熱供給業</v>
      </c>
      <c r="G37" s="43" t="s">
        <v>224</v>
      </c>
      <c r="H37" s="40" t="str">
        <f t="shared" si="2"/>
        <v>070000管理，補助的経済活動を行う事業所（35熱供給業） </v>
      </c>
      <c r="I37" s="38" t="s">
        <v>225</v>
      </c>
    </row>
    <row r="38" spans="1:9" ht="30.75" customHeight="1">
      <c r="A38" s="43" t="s">
        <v>226</v>
      </c>
      <c r="B38" s="40" t="s">
        <v>227</v>
      </c>
      <c r="C38" s="41" t="str">
        <f t="shared" si="0"/>
        <v>36　水道業</v>
      </c>
      <c r="D38" s="42" t="s">
        <v>215</v>
      </c>
      <c r="E38" s="40" t="s">
        <v>227</v>
      </c>
      <c r="F38" s="40" t="str">
        <f t="shared" si="1"/>
        <v>070000　水道業</v>
      </c>
      <c r="G38" s="43" t="s">
        <v>228</v>
      </c>
      <c r="H38" s="40" t="str">
        <f t="shared" si="2"/>
        <v>070000管理，補助的経済活動を行う事業所（36水道業） </v>
      </c>
      <c r="I38" s="38" t="s">
        <v>229</v>
      </c>
    </row>
    <row r="39" spans="1:9" ht="30.75" customHeight="1">
      <c r="A39" s="43" t="s">
        <v>230</v>
      </c>
      <c r="B39" s="40" t="s">
        <v>231</v>
      </c>
      <c r="C39" s="41" t="str">
        <f t="shared" si="0"/>
        <v>37　通信業</v>
      </c>
      <c r="D39" s="42" t="s">
        <v>232</v>
      </c>
      <c r="E39" s="40" t="s">
        <v>231</v>
      </c>
      <c r="F39" s="40" t="str">
        <f t="shared" si="1"/>
        <v>080100　通信業</v>
      </c>
      <c r="G39" s="43" t="s">
        <v>233</v>
      </c>
      <c r="H39" s="40" t="str">
        <f t="shared" si="2"/>
        <v>080100管理，補助的経済活動を行う事業所（37通信業） </v>
      </c>
      <c r="I39" s="38" t="s">
        <v>234</v>
      </c>
    </row>
    <row r="40" spans="1:9" ht="30.75" customHeight="1">
      <c r="A40" s="43" t="s">
        <v>235</v>
      </c>
      <c r="B40" s="40" t="s">
        <v>236</v>
      </c>
      <c r="C40" s="41" t="str">
        <f t="shared" si="0"/>
        <v>38　放送業</v>
      </c>
      <c r="D40" s="42" t="s">
        <v>237</v>
      </c>
      <c r="E40" s="40" t="s">
        <v>236</v>
      </c>
      <c r="F40" s="40" t="str">
        <f t="shared" si="1"/>
        <v>080300　放送業</v>
      </c>
      <c r="G40" s="43" t="s">
        <v>238</v>
      </c>
      <c r="H40" s="40" t="str">
        <f t="shared" si="2"/>
        <v>080300管理，補助的経済活動を行う事業所（38放送業） </v>
      </c>
      <c r="I40" s="38" t="s">
        <v>239</v>
      </c>
    </row>
    <row r="41" spans="1:9" ht="30.75" customHeight="1">
      <c r="A41" s="43" t="s">
        <v>240</v>
      </c>
      <c r="B41" s="40" t="s">
        <v>241</v>
      </c>
      <c r="C41" s="41" t="str">
        <f t="shared" si="0"/>
        <v>39　情報サービス業</v>
      </c>
      <c r="D41" s="42" t="s">
        <v>242</v>
      </c>
      <c r="E41" s="40" t="s">
        <v>241</v>
      </c>
      <c r="F41" s="40" t="str">
        <f t="shared" si="1"/>
        <v>080500　情報サービス業</v>
      </c>
      <c r="G41" s="43" t="s">
        <v>243</v>
      </c>
      <c r="H41" s="40" t="str">
        <f t="shared" si="2"/>
        <v>080500管理，補助的経済活動を行う事業所（39情報サービス業） </v>
      </c>
      <c r="I41" s="38" t="s">
        <v>244</v>
      </c>
    </row>
    <row r="42" spans="1:9" ht="30.75" customHeight="1">
      <c r="A42" s="43" t="s">
        <v>245</v>
      </c>
      <c r="B42" s="40" t="s">
        <v>246</v>
      </c>
      <c r="C42" s="41" t="str">
        <f t="shared" si="0"/>
        <v>40　インターネット附随サービス業</v>
      </c>
      <c r="D42" s="42" t="s">
        <v>247</v>
      </c>
      <c r="E42" s="40" t="s">
        <v>246</v>
      </c>
      <c r="F42" s="40" t="str">
        <f t="shared" si="1"/>
        <v>080700　インターネット附随サービス業</v>
      </c>
      <c r="G42" s="43" t="s">
        <v>248</v>
      </c>
      <c r="H42" s="40" t="str">
        <f t="shared" si="2"/>
        <v>080700管理，補助的経済活動を行う事業所（40インターネット附随サービス業） </v>
      </c>
      <c r="I42" s="38" t="s">
        <v>249</v>
      </c>
    </row>
    <row r="43" spans="1:9" ht="30.75" customHeight="1">
      <c r="A43" s="43" t="s">
        <v>250</v>
      </c>
      <c r="B43" s="40" t="s">
        <v>251</v>
      </c>
      <c r="C43" s="41" t="str">
        <f t="shared" si="0"/>
        <v>41　映像・音声・文字情報制作業</v>
      </c>
      <c r="D43" s="42" t="s">
        <v>252</v>
      </c>
      <c r="E43" s="40" t="s">
        <v>251</v>
      </c>
      <c r="F43" s="40" t="str">
        <f t="shared" si="1"/>
        <v>080900　映像・音声・文字情報制作業</v>
      </c>
      <c r="G43" s="43" t="s">
        <v>253</v>
      </c>
      <c r="H43" s="40" t="str">
        <f t="shared" si="2"/>
        <v>080900管理，補助的経済活動を行う事業所（41映像・音声・文字情報制作業） </v>
      </c>
      <c r="I43" s="38" t="s">
        <v>254</v>
      </c>
    </row>
    <row r="44" spans="1:9" ht="30.75" customHeight="1">
      <c r="A44" s="43" t="s">
        <v>255</v>
      </c>
      <c r="B44" s="40" t="s">
        <v>256</v>
      </c>
      <c r="C44" s="41" t="str">
        <f t="shared" si="0"/>
        <v>42　鉄道業</v>
      </c>
      <c r="D44" s="42" t="s">
        <v>257</v>
      </c>
      <c r="E44" s="40" t="s">
        <v>256</v>
      </c>
      <c r="F44" s="40" t="str">
        <f t="shared" si="1"/>
        <v>090000　鉄道業</v>
      </c>
      <c r="G44" s="43" t="s">
        <v>258</v>
      </c>
      <c r="H44" s="40" t="str">
        <f t="shared" si="2"/>
        <v>090000管理，補助的経済活動を行う事業所（42鉄道業） </v>
      </c>
      <c r="I44" s="38" t="s">
        <v>259</v>
      </c>
    </row>
    <row r="45" spans="1:9" ht="30.75" customHeight="1">
      <c r="A45" s="43" t="s">
        <v>255</v>
      </c>
      <c r="B45" s="40" t="s">
        <v>256</v>
      </c>
      <c r="C45" s="41" t="str">
        <f t="shared" si="0"/>
        <v>42　鉄道業</v>
      </c>
      <c r="D45" s="42" t="s">
        <v>257</v>
      </c>
      <c r="E45" s="40" t="s">
        <v>256</v>
      </c>
      <c r="F45" s="40" t="str">
        <f t="shared" si="1"/>
        <v>090000　鉄道業</v>
      </c>
      <c r="G45" s="43" t="s">
        <v>260</v>
      </c>
      <c r="H45" s="40" t="str">
        <f t="shared" si="2"/>
        <v>090000鉄道業 </v>
      </c>
      <c r="I45" s="38" t="s">
        <v>261</v>
      </c>
    </row>
    <row r="46" spans="1:9" ht="30.75" customHeight="1">
      <c r="A46" s="43" t="s">
        <v>262</v>
      </c>
      <c r="B46" s="40" t="s">
        <v>263</v>
      </c>
      <c r="C46" s="41" t="str">
        <f t="shared" si="0"/>
        <v>43　道路旅客運送業</v>
      </c>
      <c r="D46" s="42" t="s">
        <v>257</v>
      </c>
      <c r="E46" s="40" t="s">
        <v>263</v>
      </c>
      <c r="F46" s="40" t="str">
        <f t="shared" si="1"/>
        <v>090000　道路旅客運送業</v>
      </c>
      <c r="G46" s="43" t="s">
        <v>264</v>
      </c>
      <c r="H46" s="40" t="str">
        <f t="shared" si="2"/>
        <v>090000管理，補助的経済活動を行う事業所（43道路旅客運送業） </v>
      </c>
      <c r="I46" s="38" t="s">
        <v>265</v>
      </c>
    </row>
    <row r="47" spans="1:9" ht="30.75" customHeight="1">
      <c r="A47" s="43" t="s">
        <v>266</v>
      </c>
      <c r="B47" s="40" t="s">
        <v>267</v>
      </c>
      <c r="C47" s="41" t="str">
        <f t="shared" si="0"/>
        <v>44　道路貨物運送業</v>
      </c>
      <c r="D47" s="42" t="s">
        <v>257</v>
      </c>
      <c r="E47" s="40" t="s">
        <v>267</v>
      </c>
      <c r="F47" s="40" t="str">
        <f t="shared" si="1"/>
        <v>090000　道路貨物運送業</v>
      </c>
      <c r="G47" s="43" t="s">
        <v>268</v>
      </c>
      <c r="H47" s="40" t="str">
        <f t="shared" si="2"/>
        <v>090000管理，補助的経済活動を行う事業所（44道路貨物運送業） </v>
      </c>
      <c r="I47" s="38" t="s">
        <v>269</v>
      </c>
    </row>
    <row r="48" spans="1:9" ht="30.75" customHeight="1">
      <c r="A48" s="43" t="s">
        <v>270</v>
      </c>
      <c r="B48" s="40" t="s">
        <v>271</v>
      </c>
      <c r="C48" s="41" t="str">
        <f t="shared" si="0"/>
        <v>45　水運業</v>
      </c>
      <c r="D48" s="42" t="s">
        <v>257</v>
      </c>
      <c r="E48" s="40" t="s">
        <v>271</v>
      </c>
      <c r="F48" s="40" t="str">
        <f t="shared" si="1"/>
        <v>090000　水運業</v>
      </c>
      <c r="G48" s="43" t="s">
        <v>272</v>
      </c>
      <c r="H48" s="40" t="str">
        <f t="shared" si="2"/>
        <v>090000管理，補助的経済活動を行う事業所（45水運業） </v>
      </c>
      <c r="I48" s="38" t="s">
        <v>273</v>
      </c>
    </row>
    <row r="49" spans="1:9" ht="30.75" customHeight="1">
      <c r="A49" s="43" t="s">
        <v>274</v>
      </c>
      <c r="B49" s="40" t="s">
        <v>275</v>
      </c>
      <c r="C49" s="41" t="str">
        <f t="shared" si="0"/>
        <v>46　航空運輸業</v>
      </c>
      <c r="D49" s="42" t="s">
        <v>257</v>
      </c>
      <c r="E49" s="40" t="s">
        <v>275</v>
      </c>
      <c r="F49" s="40" t="str">
        <f t="shared" si="1"/>
        <v>090000　航空運輸業</v>
      </c>
      <c r="G49" s="43" t="s">
        <v>276</v>
      </c>
      <c r="H49" s="40" t="str">
        <f t="shared" si="2"/>
        <v>090000管理，補助的経済活動を行う事業所（46航空運輸業） </v>
      </c>
      <c r="I49" s="38" t="s">
        <v>277</v>
      </c>
    </row>
    <row r="50" spans="1:9" ht="30.75" customHeight="1">
      <c r="A50" s="43" t="s">
        <v>278</v>
      </c>
      <c r="B50" s="40" t="s">
        <v>279</v>
      </c>
      <c r="C50" s="41" t="str">
        <f t="shared" si="0"/>
        <v>47　倉庫業</v>
      </c>
      <c r="D50" s="42" t="s">
        <v>257</v>
      </c>
      <c r="E50" s="40" t="s">
        <v>279</v>
      </c>
      <c r="F50" s="40" t="str">
        <f t="shared" si="1"/>
        <v>090000　倉庫業</v>
      </c>
      <c r="G50" s="43" t="s">
        <v>280</v>
      </c>
      <c r="H50" s="40" t="str">
        <f t="shared" si="2"/>
        <v>090000管理，補助的経済活動を行う事業所（47倉庫業） </v>
      </c>
      <c r="I50" s="38" t="s">
        <v>281</v>
      </c>
    </row>
    <row r="51" spans="1:9" ht="30.75" customHeight="1">
      <c r="A51" s="43" t="s">
        <v>282</v>
      </c>
      <c r="B51" s="40" t="s">
        <v>283</v>
      </c>
      <c r="C51" s="41" t="str">
        <f t="shared" si="0"/>
        <v>48　運輸に附帯するサービス業</v>
      </c>
      <c r="D51" s="42" t="s">
        <v>257</v>
      </c>
      <c r="E51" s="40" t="s">
        <v>283</v>
      </c>
      <c r="F51" s="40" t="str">
        <f t="shared" si="1"/>
        <v>090000　運輸に附帯するサービス業</v>
      </c>
      <c r="G51" s="43" t="s">
        <v>284</v>
      </c>
      <c r="H51" s="40" t="str">
        <f t="shared" si="2"/>
        <v>090000管理，補助的経済活動を行う事業所（48運輸に附帯するサービス業） </v>
      </c>
      <c r="I51" s="38" t="s">
        <v>285</v>
      </c>
    </row>
    <row r="52" spans="1:9" ht="30.75" customHeight="1">
      <c r="A52" s="43" t="s">
        <v>286</v>
      </c>
      <c r="B52" s="40" t="s">
        <v>287</v>
      </c>
      <c r="C52" s="41" t="str">
        <f t="shared" si="0"/>
        <v>49　郵便業（信書便事業を含む）</v>
      </c>
      <c r="D52" s="42" t="s">
        <v>257</v>
      </c>
      <c r="E52" s="40" t="s">
        <v>287</v>
      </c>
      <c r="F52" s="40" t="str">
        <f t="shared" si="1"/>
        <v>090000　郵便業（信書便事業を含む）</v>
      </c>
      <c r="G52" s="43" t="s">
        <v>288</v>
      </c>
      <c r="H52" s="40" t="str">
        <f t="shared" si="2"/>
        <v>090000管理，補助的経済活動を行う事業所（49郵便業） </v>
      </c>
      <c r="I52" s="38" t="s">
        <v>289</v>
      </c>
    </row>
    <row r="53" spans="1:9" ht="30.75" customHeight="1">
      <c r="A53" s="43" t="s">
        <v>290</v>
      </c>
      <c r="B53" s="40" t="s">
        <v>291</v>
      </c>
      <c r="C53" s="41" t="str">
        <f t="shared" si="0"/>
        <v>50　各種商品卸売業</v>
      </c>
      <c r="D53" s="44" t="s">
        <v>292</v>
      </c>
      <c r="E53" s="40" t="s">
        <v>291</v>
      </c>
      <c r="F53" s="40" t="str">
        <f t="shared" si="1"/>
        <v>100100　各種商品卸売業</v>
      </c>
      <c r="G53" s="43" t="s">
        <v>293</v>
      </c>
      <c r="H53" s="40" t="str">
        <f t="shared" si="2"/>
        <v>100100管理，補助的経済活動を行う事業所（50各種商品卸売業） </v>
      </c>
      <c r="I53" s="38" t="s">
        <v>294</v>
      </c>
    </row>
    <row r="54" spans="1:9" ht="30.75" customHeight="1">
      <c r="A54" s="43" t="s">
        <v>295</v>
      </c>
      <c r="B54" s="40" t="s">
        <v>296</v>
      </c>
      <c r="C54" s="41" t="str">
        <f t="shared" si="0"/>
        <v>51　繊維・衣服等卸売業</v>
      </c>
      <c r="D54" s="44" t="s">
        <v>297</v>
      </c>
      <c r="E54" s="40" t="s">
        <v>296</v>
      </c>
      <c r="F54" s="40" t="str">
        <f t="shared" si="1"/>
        <v>100300　繊維・衣服等卸売業</v>
      </c>
      <c r="G54" s="43" t="s">
        <v>298</v>
      </c>
      <c r="H54" s="40" t="str">
        <f t="shared" si="2"/>
        <v>100300管理，補助的経済活動を行う事業所（51繊維・衣服等卸売業） </v>
      </c>
      <c r="I54" s="38" t="s">
        <v>299</v>
      </c>
    </row>
    <row r="55" spans="1:9" ht="30.75" customHeight="1">
      <c r="A55" s="43" t="s">
        <v>300</v>
      </c>
      <c r="B55" s="40" t="s">
        <v>301</v>
      </c>
      <c r="C55" s="41" t="str">
        <f t="shared" si="0"/>
        <v>52　飲食料品卸売業</v>
      </c>
      <c r="D55" s="44" t="s">
        <v>302</v>
      </c>
      <c r="E55" s="40" t="s">
        <v>301</v>
      </c>
      <c r="F55" s="40" t="str">
        <f t="shared" si="1"/>
        <v>100500　飲食料品卸売業</v>
      </c>
      <c r="G55" s="43" t="s">
        <v>303</v>
      </c>
      <c r="H55" s="40" t="str">
        <f t="shared" si="2"/>
        <v>100500管理，補助的経済活動を行う事業所（52飲食料品卸売業） </v>
      </c>
      <c r="I55" s="38" t="s">
        <v>304</v>
      </c>
    </row>
    <row r="56" spans="1:9" ht="30.75" customHeight="1">
      <c r="A56" s="43" t="s">
        <v>305</v>
      </c>
      <c r="B56" s="40" t="s">
        <v>306</v>
      </c>
      <c r="C56" s="41" t="str">
        <f t="shared" si="0"/>
        <v>53　建築材料，鉱物・金属材料等卸売業</v>
      </c>
      <c r="D56" s="44" t="s">
        <v>307</v>
      </c>
      <c r="E56" s="40" t="s">
        <v>306</v>
      </c>
      <c r="F56" s="40" t="str">
        <f t="shared" si="1"/>
        <v>100700　建築材料，鉱物・金属材料等卸売業</v>
      </c>
      <c r="G56" s="43" t="s">
        <v>308</v>
      </c>
      <c r="H56" s="40" t="str">
        <f t="shared" si="2"/>
        <v>100700管理，補助的経済活動を行う事業所（53建築材料，鉱物・金属材料等卸売業） </v>
      </c>
      <c r="I56" s="38" t="s">
        <v>309</v>
      </c>
    </row>
    <row r="57" spans="1:9" ht="30.75" customHeight="1">
      <c r="A57" s="43" t="s">
        <v>310</v>
      </c>
      <c r="B57" s="40" t="s">
        <v>311</v>
      </c>
      <c r="C57" s="41" t="str">
        <f t="shared" si="0"/>
        <v>54　機械器具卸売業</v>
      </c>
      <c r="D57" s="44" t="s">
        <v>312</v>
      </c>
      <c r="E57" s="40" t="s">
        <v>311</v>
      </c>
      <c r="F57" s="40" t="str">
        <f t="shared" si="1"/>
        <v>100900　機械器具卸売業</v>
      </c>
      <c r="G57" s="43" t="s">
        <v>313</v>
      </c>
      <c r="H57" s="40" t="str">
        <f t="shared" si="2"/>
        <v>100900管理，補助的経済活動を行う事業所（54機械器具卸売業） </v>
      </c>
      <c r="I57" s="38" t="s">
        <v>314</v>
      </c>
    </row>
    <row r="58" spans="1:9" ht="30.75" customHeight="1">
      <c r="A58" s="43" t="s">
        <v>315</v>
      </c>
      <c r="B58" s="40" t="s">
        <v>316</v>
      </c>
      <c r="C58" s="41" t="str">
        <f t="shared" si="0"/>
        <v>55　その他の卸売業</v>
      </c>
      <c r="D58" s="44" t="s">
        <v>317</v>
      </c>
      <c r="E58" s="40" t="s">
        <v>316</v>
      </c>
      <c r="F58" s="40" t="str">
        <f t="shared" si="1"/>
        <v>101100　その他の卸売業</v>
      </c>
      <c r="G58" s="43" t="s">
        <v>318</v>
      </c>
      <c r="H58" s="40" t="str">
        <f t="shared" si="2"/>
        <v>101100管理，補助的経済活動を行う事業所（55その他の卸売業） </v>
      </c>
      <c r="I58" s="38" t="s">
        <v>319</v>
      </c>
    </row>
    <row r="59" spans="1:9" ht="30.75" customHeight="1">
      <c r="A59" s="43" t="s">
        <v>320</v>
      </c>
      <c r="B59" s="40" t="s">
        <v>321</v>
      </c>
      <c r="C59" s="41" t="str">
        <f t="shared" si="0"/>
        <v>56　各種商品小売業</v>
      </c>
      <c r="D59" s="44" t="s">
        <v>322</v>
      </c>
      <c r="E59" s="40" t="s">
        <v>321</v>
      </c>
      <c r="F59" s="40" t="str">
        <f t="shared" si="1"/>
        <v>105100　各種商品小売業</v>
      </c>
      <c r="G59" s="43" t="s">
        <v>323</v>
      </c>
      <c r="H59" s="40" t="str">
        <f t="shared" si="2"/>
        <v>105100管理，補助的経済活動を行う事業所（56各種商品小売業） </v>
      </c>
      <c r="I59" s="38" t="s">
        <v>324</v>
      </c>
    </row>
    <row r="60" spans="1:9" ht="30.75" customHeight="1">
      <c r="A60" s="43" t="s">
        <v>325</v>
      </c>
      <c r="B60" s="40" t="s">
        <v>326</v>
      </c>
      <c r="C60" s="41" t="str">
        <f t="shared" si="0"/>
        <v>57　織物・衣服・身の回り品小売業</v>
      </c>
      <c r="D60" s="44" t="s">
        <v>327</v>
      </c>
      <c r="E60" s="40" t="s">
        <v>326</v>
      </c>
      <c r="F60" s="40" t="str">
        <f t="shared" si="1"/>
        <v>105300　織物・衣服・身の回り品小売業</v>
      </c>
      <c r="G60" s="43" t="s">
        <v>328</v>
      </c>
      <c r="H60" s="40" t="str">
        <f t="shared" si="2"/>
        <v>105300管理，補助的経済活動を行う事業所（57織物・衣服・身の回り品小売業） </v>
      </c>
      <c r="I60" s="38" t="s">
        <v>329</v>
      </c>
    </row>
    <row r="61" spans="1:9" ht="30.75" customHeight="1">
      <c r="A61" s="43" t="s">
        <v>330</v>
      </c>
      <c r="B61" s="40" t="s">
        <v>331</v>
      </c>
      <c r="C61" s="41" t="str">
        <f t="shared" si="0"/>
        <v>58　飲食料品小売業</v>
      </c>
      <c r="D61" s="44" t="s">
        <v>332</v>
      </c>
      <c r="E61" s="40" t="s">
        <v>331</v>
      </c>
      <c r="F61" s="40" t="str">
        <f t="shared" si="1"/>
        <v>105500　飲食料品小売業</v>
      </c>
      <c r="G61" s="43" t="s">
        <v>333</v>
      </c>
      <c r="H61" s="40" t="str">
        <f t="shared" si="2"/>
        <v>105500管理，補助的経済活動を行う事業所（58飲食料品小売業） </v>
      </c>
      <c r="I61" s="38" t="s">
        <v>334</v>
      </c>
    </row>
    <row r="62" spans="1:9" ht="30.75" customHeight="1">
      <c r="A62" s="43" t="s">
        <v>335</v>
      </c>
      <c r="B62" s="40" t="s">
        <v>336</v>
      </c>
      <c r="C62" s="41" t="str">
        <f t="shared" si="0"/>
        <v>59　機械器具小売業</v>
      </c>
      <c r="D62" s="44" t="s">
        <v>337</v>
      </c>
      <c r="E62" s="40" t="s">
        <v>338</v>
      </c>
      <c r="F62" s="40" t="str">
        <f t="shared" si="1"/>
        <v>105700自動車・自転車小売業   　　　　</v>
      </c>
      <c r="G62" s="43" t="s">
        <v>339</v>
      </c>
      <c r="H62" s="40" t="str">
        <f t="shared" si="2"/>
        <v>105700管理，補助的経済活動を行う事業所（59機械器具小売業） </v>
      </c>
      <c r="I62" s="38" t="s">
        <v>340</v>
      </c>
    </row>
    <row r="63" spans="1:9" ht="30.75" customHeight="1">
      <c r="A63" s="43" t="s">
        <v>341</v>
      </c>
      <c r="B63" s="40" t="s">
        <v>342</v>
      </c>
      <c r="C63" s="41" t="str">
        <f t="shared" si="0"/>
        <v>60　その他の小売業</v>
      </c>
      <c r="D63" s="44" t="s">
        <v>343</v>
      </c>
      <c r="E63" s="40" t="s">
        <v>344</v>
      </c>
      <c r="F63" s="40" t="str">
        <f t="shared" si="1"/>
        <v>105900家具・じゅう器・機械器具小売業</v>
      </c>
      <c r="G63" s="43" t="s">
        <v>345</v>
      </c>
      <c r="H63" s="40" t="str">
        <f t="shared" si="2"/>
        <v>105900管理，補助的経済活動を行う事業所（60その他の小売業） </v>
      </c>
      <c r="I63" s="38" t="s">
        <v>346</v>
      </c>
    </row>
    <row r="64" spans="1:9" ht="30.75" customHeight="1">
      <c r="A64" s="43" t="s">
        <v>347</v>
      </c>
      <c r="B64" s="40" t="s">
        <v>348</v>
      </c>
      <c r="C64" s="41" t="str">
        <f t="shared" si="0"/>
        <v>61　無店舗小売業</v>
      </c>
      <c r="D64" s="44" t="s">
        <v>349</v>
      </c>
      <c r="E64" s="40" t="s">
        <v>342</v>
      </c>
      <c r="F64" s="40" t="str">
        <f t="shared" si="1"/>
        <v>106100　その他の小売業</v>
      </c>
      <c r="G64" s="43" t="s">
        <v>350</v>
      </c>
      <c r="H64" s="40" t="str">
        <f t="shared" si="2"/>
        <v>106100管理，補助的経済活動を行う事業所（61無店舗小売業） </v>
      </c>
      <c r="I64" s="38" t="s">
        <v>351</v>
      </c>
    </row>
    <row r="65" spans="1:9" ht="30.75" customHeight="1">
      <c r="A65" s="43" t="s">
        <v>352</v>
      </c>
      <c r="B65" s="40" t="s">
        <v>353</v>
      </c>
      <c r="C65" s="41" t="str">
        <f t="shared" si="0"/>
        <v>62　銀行業</v>
      </c>
      <c r="D65" s="44" t="s">
        <v>354</v>
      </c>
      <c r="E65" s="40" t="s">
        <v>353</v>
      </c>
      <c r="F65" s="40" t="str">
        <f t="shared" si="1"/>
        <v>110000　銀行業</v>
      </c>
      <c r="G65" s="43" t="s">
        <v>355</v>
      </c>
      <c r="H65" s="40" t="str">
        <f t="shared" si="2"/>
        <v>110000管理，補助的経済活動を行う事業所（62銀行業） </v>
      </c>
      <c r="I65" s="38" t="s">
        <v>356</v>
      </c>
    </row>
    <row r="66" spans="1:9" ht="30.75" customHeight="1">
      <c r="A66" s="43" t="s">
        <v>357</v>
      </c>
      <c r="B66" s="40" t="s">
        <v>358</v>
      </c>
      <c r="C66" s="41" t="str">
        <f t="shared" si="0"/>
        <v>63　協同組織金融業</v>
      </c>
      <c r="D66" s="44" t="s">
        <v>354</v>
      </c>
      <c r="E66" s="40" t="s">
        <v>358</v>
      </c>
      <c r="F66" s="40" t="str">
        <f t="shared" si="1"/>
        <v>110000　協同組織金融業</v>
      </c>
      <c r="G66" s="43" t="s">
        <v>359</v>
      </c>
      <c r="H66" s="40" t="str">
        <f t="shared" si="2"/>
        <v>110000管理，補助的経済活動を行う事業所（63協同組織金融業） </v>
      </c>
      <c r="I66" s="38" t="s">
        <v>360</v>
      </c>
    </row>
    <row r="67" spans="1:9" ht="30.75" customHeight="1">
      <c r="A67" s="43">
        <v>64</v>
      </c>
      <c r="B67" s="40" t="s">
        <v>361</v>
      </c>
      <c r="C67" s="41" t="str">
        <f aca="true" t="shared" si="3" ref="C67:C97">CONCATENATE(A67,B67)</f>
        <v>64　貸金業，クレジットカード業等非預金信用機関</v>
      </c>
      <c r="D67" s="44" t="s">
        <v>354</v>
      </c>
      <c r="E67" s="40" t="s">
        <v>361</v>
      </c>
      <c r="F67" s="40" t="str">
        <f aca="true" t="shared" si="4" ref="F67:F97">CONCATENATE(D67,E67)</f>
        <v>110000　貸金業，クレジットカード業等非預金信用機関</v>
      </c>
      <c r="G67" s="43" t="s">
        <v>362</v>
      </c>
      <c r="H67" s="40" t="str">
        <f aca="true" t="shared" si="5" ref="H67:H97">CONCATENATE(D67,I67)</f>
        <v>110000管理，補助的経済活動を行う事業所（64貸金業，クレジットカード業等非預金信用機関） </v>
      </c>
      <c r="I67" s="38" t="s">
        <v>363</v>
      </c>
    </row>
    <row r="68" spans="1:9" ht="30.75" customHeight="1">
      <c r="A68" s="43" t="s">
        <v>364</v>
      </c>
      <c r="B68" s="40" t="s">
        <v>365</v>
      </c>
      <c r="C68" s="41" t="str">
        <f t="shared" si="3"/>
        <v>65　金融商品取引業，商品先物取引業</v>
      </c>
      <c r="D68" s="44" t="s">
        <v>354</v>
      </c>
      <c r="E68" s="40" t="s">
        <v>365</v>
      </c>
      <c r="F68" s="40" t="str">
        <f t="shared" si="4"/>
        <v>110000　金融商品取引業，商品先物取引業</v>
      </c>
      <c r="G68" s="43" t="s">
        <v>366</v>
      </c>
      <c r="H68" s="40" t="str">
        <f t="shared" si="5"/>
        <v>110000管理，補助的経済活動を行う事業所（65金融商品取引業，商品先物取引業） </v>
      </c>
      <c r="I68" s="38" t="s">
        <v>367</v>
      </c>
    </row>
    <row r="69" spans="1:9" ht="30.75" customHeight="1">
      <c r="A69" s="43" t="s">
        <v>368</v>
      </c>
      <c r="B69" s="40" t="s">
        <v>369</v>
      </c>
      <c r="C69" s="41" t="str">
        <f t="shared" si="3"/>
        <v>66　補助的金融業等</v>
      </c>
      <c r="D69" s="44" t="s">
        <v>354</v>
      </c>
      <c r="E69" s="40" t="s">
        <v>369</v>
      </c>
      <c r="F69" s="40" t="str">
        <f t="shared" si="4"/>
        <v>110000　補助的金融業等</v>
      </c>
      <c r="G69" s="43" t="s">
        <v>370</v>
      </c>
      <c r="H69" s="40" t="str">
        <f t="shared" si="5"/>
        <v>110000管理，補助的経済活動を行う事業所（66補助的金融業等） </v>
      </c>
      <c r="I69" s="38" t="s">
        <v>371</v>
      </c>
    </row>
    <row r="70" spans="1:9" ht="30.75" customHeight="1">
      <c r="A70" s="43" t="s">
        <v>372</v>
      </c>
      <c r="B70" s="40" t="s">
        <v>373</v>
      </c>
      <c r="C70" s="41" t="str">
        <f t="shared" si="3"/>
        <v>67　保険業（保険媒介代理業，保険サービス業を含む）</v>
      </c>
      <c r="D70" s="44" t="s">
        <v>354</v>
      </c>
      <c r="E70" s="40" t="s">
        <v>373</v>
      </c>
      <c r="F70" s="40" t="str">
        <f t="shared" si="4"/>
        <v>110000　保険業（保険媒介代理業，保険サービス業を含む）</v>
      </c>
      <c r="G70" s="43" t="s">
        <v>374</v>
      </c>
      <c r="H70" s="40" t="str">
        <f t="shared" si="5"/>
        <v>110000管理，補助的経済活動を行う事業所（67保険業） </v>
      </c>
      <c r="I70" s="38" t="s">
        <v>375</v>
      </c>
    </row>
    <row r="71" spans="1:9" ht="30.75" customHeight="1">
      <c r="A71" s="43" t="s">
        <v>376</v>
      </c>
      <c r="B71" s="40" t="s">
        <v>377</v>
      </c>
      <c r="C71" s="41" t="str">
        <f t="shared" si="3"/>
        <v>68　不動産取引業</v>
      </c>
      <c r="D71" s="44" t="s">
        <v>378</v>
      </c>
      <c r="E71" s="40" t="s">
        <v>377</v>
      </c>
      <c r="F71" s="40" t="str">
        <f t="shared" si="4"/>
        <v>120000　不動産取引業</v>
      </c>
      <c r="G71" s="43" t="s">
        <v>379</v>
      </c>
      <c r="H71" s="40" t="str">
        <f t="shared" si="5"/>
        <v>120000管理，補助的経済活動を行う事業所（68不動産取引業） </v>
      </c>
      <c r="I71" s="38" t="s">
        <v>380</v>
      </c>
    </row>
    <row r="72" spans="1:9" ht="30.75" customHeight="1">
      <c r="A72" s="43" t="s">
        <v>381</v>
      </c>
      <c r="B72" s="40" t="s">
        <v>382</v>
      </c>
      <c r="C72" s="41" t="str">
        <f t="shared" si="3"/>
        <v>69　不動産賃貸業・管理業</v>
      </c>
      <c r="D72" s="44" t="s">
        <v>378</v>
      </c>
      <c r="E72" s="40" t="s">
        <v>382</v>
      </c>
      <c r="F72" s="40" t="str">
        <f t="shared" si="4"/>
        <v>120000　不動産賃貸業・管理業</v>
      </c>
      <c r="G72" s="43" t="s">
        <v>383</v>
      </c>
      <c r="H72" s="40" t="str">
        <f t="shared" si="5"/>
        <v>120000管理，補助的経済活動を行う事業所（69不動産賃貸業・管理業） </v>
      </c>
      <c r="I72" s="38" t="s">
        <v>384</v>
      </c>
    </row>
    <row r="73" spans="1:9" ht="30.75" customHeight="1">
      <c r="A73" s="43" t="s">
        <v>385</v>
      </c>
      <c r="B73" s="40" t="s">
        <v>386</v>
      </c>
      <c r="C73" s="41" t="str">
        <f t="shared" si="3"/>
        <v>70　物品賃貸業</v>
      </c>
      <c r="D73" s="44" t="s">
        <v>387</v>
      </c>
      <c r="E73" s="40" t="s">
        <v>386</v>
      </c>
      <c r="F73" s="40" t="str">
        <f t="shared" si="4"/>
        <v>171700　物品賃貸業</v>
      </c>
      <c r="G73" s="43" t="s">
        <v>388</v>
      </c>
      <c r="H73" s="40" t="str">
        <f t="shared" si="5"/>
        <v>171700管理，補助的経済活動を行う事業所（70物品賃貸業） </v>
      </c>
      <c r="I73" s="38" t="s">
        <v>389</v>
      </c>
    </row>
    <row r="74" spans="1:9" ht="30.75" customHeight="1">
      <c r="A74" s="43" t="s">
        <v>390</v>
      </c>
      <c r="B74" s="40" t="s">
        <v>391</v>
      </c>
      <c r="C74" s="41" t="str">
        <f t="shared" si="3"/>
        <v>71　学術・開発研究機関</v>
      </c>
      <c r="D74" s="44" t="s">
        <v>392</v>
      </c>
      <c r="E74" s="40" t="s">
        <v>391</v>
      </c>
      <c r="F74" s="40" t="str">
        <f t="shared" si="4"/>
        <v>170300　学術・開発研究機関</v>
      </c>
      <c r="G74" s="43" t="s">
        <v>393</v>
      </c>
      <c r="H74" s="40" t="str">
        <f t="shared" si="5"/>
        <v>170300管理，補助的経済活動を行う事業所（71学術・開発研究機関） </v>
      </c>
      <c r="I74" s="38" t="s">
        <v>394</v>
      </c>
    </row>
    <row r="75" spans="1:9" ht="30.75" customHeight="1">
      <c r="A75" s="43">
        <v>72</v>
      </c>
      <c r="B75" s="45" t="s">
        <v>395</v>
      </c>
      <c r="C75" s="41" t="str">
        <f t="shared" si="3"/>
        <v>72専門サービス業</v>
      </c>
      <c r="D75" s="44" t="s">
        <v>396</v>
      </c>
      <c r="E75" s="40" t="s">
        <v>395</v>
      </c>
      <c r="F75" s="40" t="str">
        <f t="shared" si="4"/>
        <v>170100専門サービス業</v>
      </c>
      <c r="G75" s="43" t="s">
        <v>397</v>
      </c>
      <c r="H75" s="40" t="str">
        <f t="shared" si="5"/>
        <v>170100管理，補助的経済活動を行う事業所（72専門サービス業） </v>
      </c>
      <c r="I75" s="38" t="s">
        <v>398</v>
      </c>
    </row>
    <row r="76" spans="1:9" ht="30.75" customHeight="1">
      <c r="A76" s="43">
        <v>73</v>
      </c>
      <c r="B76" s="45" t="s">
        <v>399</v>
      </c>
      <c r="C76" s="41" t="str">
        <f t="shared" si="3"/>
        <v>73広告業</v>
      </c>
      <c r="D76" s="44" t="s">
        <v>400</v>
      </c>
      <c r="E76" s="40" t="s">
        <v>401</v>
      </c>
      <c r="F76" s="40" t="str">
        <f t="shared" si="4"/>
        <v>171900　広告業</v>
      </c>
      <c r="G76" s="43" t="s">
        <v>402</v>
      </c>
      <c r="H76" s="40" t="str">
        <f t="shared" si="5"/>
        <v>171900管理，補助的経済活動を行う事業所（73広告業） </v>
      </c>
      <c r="I76" s="38" t="s">
        <v>403</v>
      </c>
    </row>
    <row r="77" spans="1:9" ht="30.75" customHeight="1">
      <c r="A77" s="43" t="s">
        <v>404</v>
      </c>
      <c r="B77" s="40" t="s">
        <v>405</v>
      </c>
      <c r="C77" s="41" t="str">
        <f t="shared" si="3"/>
        <v>74　技術サービス業（他に分類されないもの）</v>
      </c>
      <c r="D77" s="44" t="s">
        <v>396</v>
      </c>
      <c r="E77" s="45" t="s">
        <v>406</v>
      </c>
      <c r="F77" s="40" t="str">
        <f t="shared" si="4"/>
        <v>170100専門サービス業</v>
      </c>
      <c r="G77" s="43" t="s">
        <v>407</v>
      </c>
      <c r="H77" s="40" t="str">
        <f t="shared" si="5"/>
        <v>170100管理，補助的経済活動を行う事業所（74技術サービス業） </v>
      </c>
      <c r="I77" s="38" t="s">
        <v>408</v>
      </c>
    </row>
    <row r="78" spans="1:9" ht="30.75" customHeight="1">
      <c r="A78" s="43">
        <v>75</v>
      </c>
      <c r="B78" s="40" t="s">
        <v>409</v>
      </c>
      <c r="C78" s="41" t="str">
        <f t="shared" si="3"/>
        <v>75　宿泊業</v>
      </c>
      <c r="D78" s="44" t="s">
        <v>410</v>
      </c>
      <c r="E78" s="40" t="s">
        <v>409</v>
      </c>
      <c r="F78" s="40" t="str">
        <f t="shared" si="4"/>
        <v>130500　宿泊業</v>
      </c>
      <c r="G78" s="43" t="s">
        <v>411</v>
      </c>
      <c r="H78" s="40" t="str">
        <f t="shared" si="5"/>
        <v>130500管理，補助的経済活動を行う事業所（75宿泊業） </v>
      </c>
      <c r="I78" s="38" t="s">
        <v>412</v>
      </c>
    </row>
    <row r="79" spans="1:9" ht="30.75" customHeight="1">
      <c r="A79" s="43">
        <v>76</v>
      </c>
      <c r="B79" s="40" t="s">
        <v>413</v>
      </c>
      <c r="C79" s="41" t="str">
        <f t="shared" si="3"/>
        <v>76　飲食店</v>
      </c>
      <c r="D79" s="44" t="s">
        <v>414</v>
      </c>
      <c r="E79" s="40" t="s">
        <v>415</v>
      </c>
      <c r="F79" s="40" t="str">
        <f t="shared" si="4"/>
        <v>130100一般飲食店　</v>
      </c>
      <c r="G79" s="43" t="s">
        <v>416</v>
      </c>
      <c r="H79" s="40" t="str">
        <f t="shared" si="5"/>
        <v>130100管理，補助的経済活動を行う事業所（76飲食店） </v>
      </c>
      <c r="I79" s="38" t="s">
        <v>417</v>
      </c>
    </row>
    <row r="80" spans="1:9" ht="30.75" customHeight="1">
      <c r="A80" s="43" t="s">
        <v>418</v>
      </c>
      <c r="B80" s="40" t="s">
        <v>419</v>
      </c>
      <c r="C80" s="41" t="str">
        <f t="shared" si="3"/>
        <v>77　持ち帰り・配達飲食サービス業</v>
      </c>
      <c r="D80" s="44" t="s">
        <v>332</v>
      </c>
      <c r="E80" s="40" t="s">
        <v>331</v>
      </c>
      <c r="F80" s="40" t="str">
        <f t="shared" si="4"/>
        <v>105500　飲食料品小売業</v>
      </c>
      <c r="G80" s="43" t="s">
        <v>420</v>
      </c>
      <c r="H80" s="40" t="str">
        <f t="shared" si="5"/>
        <v>105500管理，補助的経済活動を行う事業所（77持ち帰り・配達飲食サービス業） </v>
      </c>
      <c r="I80" s="38" t="s">
        <v>421</v>
      </c>
    </row>
    <row r="81" spans="1:9" ht="30.75" customHeight="1">
      <c r="A81" s="43">
        <v>78</v>
      </c>
      <c r="B81" s="40" t="s">
        <v>422</v>
      </c>
      <c r="C81" s="41" t="str">
        <f t="shared" si="3"/>
        <v>78　洗濯・理容・美容・浴場業</v>
      </c>
      <c r="D81" s="44" t="s">
        <v>423</v>
      </c>
      <c r="E81" s="40" t="s">
        <v>422</v>
      </c>
      <c r="F81" s="40" t="str">
        <f t="shared" si="4"/>
        <v>170500　洗濯・理容・美容・浴場業</v>
      </c>
      <c r="G81" s="43" t="s">
        <v>424</v>
      </c>
      <c r="H81" s="40" t="str">
        <f t="shared" si="5"/>
        <v>170500管理，補助的経済活動を行う事業所（78洗濯・理容・美容・浴場業） </v>
      </c>
      <c r="I81" s="38" t="s">
        <v>425</v>
      </c>
    </row>
    <row r="82" spans="1:9" ht="30.75" customHeight="1">
      <c r="A82" s="43" t="s">
        <v>426</v>
      </c>
      <c r="B82" s="40" t="s">
        <v>427</v>
      </c>
      <c r="C82" s="41" t="str">
        <f t="shared" si="3"/>
        <v>79　その他の生活関連サービス業</v>
      </c>
      <c r="D82" s="44" t="s">
        <v>428</v>
      </c>
      <c r="E82" s="40" t="s">
        <v>427</v>
      </c>
      <c r="F82" s="40" t="str">
        <f t="shared" si="4"/>
        <v>170700　その他の生活関連サービス業</v>
      </c>
      <c r="G82" s="43" t="s">
        <v>429</v>
      </c>
      <c r="H82" s="40" t="str">
        <f t="shared" si="5"/>
        <v>170700管理，補助的経済活動を行う事業所（79その他の生活関連サービス業） </v>
      </c>
      <c r="I82" s="38" t="s">
        <v>430</v>
      </c>
    </row>
    <row r="83" spans="1:9" ht="30.75" customHeight="1">
      <c r="A83" s="43" t="s">
        <v>431</v>
      </c>
      <c r="B83" s="40" t="s">
        <v>432</v>
      </c>
      <c r="C83" s="41" t="str">
        <f t="shared" si="3"/>
        <v>80　娯楽業</v>
      </c>
      <c r="D83" s="44" t="s">
        <v>433</v>
      </c>
      <c r="E83" s="40" t="s">
        <v>432</v>
      </c>
      <c r="F83" s="40" t="str">
        <f t="shared" si="4"/>
        <v>170900　娯楽業</v>
      </c>
      <c r="G83" s="43" t="s">
        <v>434</v>
      </c>
      <c r="H83" s="40" t="str">
        <f t="shared" si="5"/>
        <v>170900管理，補助的経済活動を行う事業所（80娯楽業） </v>
      </c>
      <c r="I83" s="38" t="s">
        <v>435</v>
      </c>
    </row>
    <row r="84" spans="1:9" ht="30.75" customHeight="1">
      <c r="A84" s="43" t="s">
        <v>436</v>
      </c>
      <c r="B84" s="40" t="s">
        <v>437</v>
      </c>
      <c r="C84" s="41" t="str">
        <f t="shared" si="3"/>
        <v>81　学校教育</v>
      </c>
      <c r="D84" s="44" t="s">
        <v>438</v>
      </c>
      <c r="E84" s="40" t="s">
        <v>437</v>
      </c>
      <c r="F84" s="40" t="str">
        <f t="shared" si="4"/>
        <v>150000　学校教育</v>
      </c>
      <c r="G84" s="43" t="s">
        <v>439</v>
      </c>
      <c r="H84" s="40" t="str">
        <f t="shared" si="5"/>
        <v>150000管理，補助的経済活動を行う事業所（81学校教育） </v>
      </c>
      <c r="I84" s="38" t="s">
        <v>440</v>
      </c>
    </row>
    <row r="85" spans="1:9" ht="30.75" customHeight="1">
      <c r="A85" s="43">
        <v>82</v>
      </c>
      <c r="B85" s="40" t="s">
        <v>441</v>
      </c>
      <c r="C85" s="41" t="str">
        <f t="shared" si="3"/>
        <v>82　その他の教育，学習支援業</v>
      </c>
      <c r="D85" s="44" t="s">
        <v>438</v>
      </c>
      <c r="E85" s="40" t="s">
        <v>441</v>
      </c>
      <c r="F85" s="40" t="str">
        <f t="shared" si="4"/>
        <v>150000　その他の教育，学習支援業</v>
      </c>
      <c r="G85" s="43" t="s">
        <v>442</v>
      </c>
      <c r="H85" s="40" t="str">
        <f t="shared" si="5"/>
        <v>150000管理，補助的経済活動を行う事業所（82その他の教育，学習支援業） </v>
      </c>
      <c r="I85" s="38" t="s">
        <v>443</v>
      </c>
    </row>
    <row r="86" spans="1:9" ht="30.75" customHeight="1">
      <c r="A86" s="43" t="s">
        <v>444</v>
      </c>
      <c r="B86" s="40" t="s">
        <v>445</v>
      </c>
      <c r="C86" s="41" t="str">
        <f t="shared" si="3"/>
        <v>83　医療業</v>
      </c>
      <c r="D86" s="44" t="s">
        <v>446</v>
      </c>
      <c r="E86" s="40" t="s">
        <v>445</v>
      </c>
      <c r="F86" s="40" t="str">
        <f t="shared" si="4"/>
        <v>140100　医療業</v>
      </c>
      <c r="G86" s="43" t="s">
        <v>447</v>
      </c>
      <c r="H86" s="40" t="str">
        <f t="shared" si="5"/>
        <v>140100管理，補助的経済活動を行う事業所（83医療業） </v>
      </c>
      <c r="I86" s="38" t="s">
        <v>448</v>
      </c>
    </row>
    <row r="87" spans="1:9" ht="30.75" customHeight="1">
      <c r="A87" s="43" t="s">
        <v>449</v>
      </c>
      <c r="B87" s="40" t="s">
        <v>450</v>
      </c>
      <c r="C87" s="41" t="str">
        <f t="shared" si="3"/>
        <v>84　保健衛生</v>
      </c>
      <c r="D87" s="44" t="s">
        <v>451</v>
      </c>
      <c r="E87" s="40" t="s">
        <v>450</v>
      </c>
      <c r="F87" s="40" t="str">
        <f t="shared" si="4"/>
        <v>140300　保健衛生</v>
      </c>
      <c r="G87" s="43" t="s">
        <v>452</v>
      </c>
      <c r="H87" s="40" t="str">
        <f t="shared" si="5"/>
        <v>140300管理，補助的経済活動を行う事業所（84保健衛生） </v>
      </c>
      <c r="I87" s="38" t="s">
        <v>453</v>
      </c>
    </row>
    <row r="88" spans="1:9" ht="30.75" customHeight="1">
      <c r="A88" s="43" t="s">
        <v>454</v>
      </c>
      <c r="B88" s="40" t="s">
        <v>455</v>
      </c>
      <c r="C88" s="41" t="str">
        <f t="shared" si="3"/>
        <v>85　社会保険・社会福祉・介護事業</v>
      </c>
      <c r="D88" s="44" t="s">
        <v>456</v>
      </c>
      <c r="E88" s="40" t="s">
        <v>455</v>
      </c>
      <c r="F88" s="40" t="str">
        <f t="shared" si="4"/>
        <v>140500　社会保険・社会福祉・介護事業</v>
      </c>
      <c r="G88" s="43" t="s">
        <v>457</v>
      </c>
      <c r="H88" s="40" t="str">
        <f t="shared" si="5"/>
        <v>140500管理，補助的経済活動を行う事業所（85社会保険・社会福祉・介護事業） </v>
      </c>
      <c r="I88" s="38" t="s">
        <v>458</v>
      </c>
    </row>
    <row r="89" spans="1:9" ht="30.75" customHeight="1">
      <c r="A89" s="43" t="s">
        <v>459</v>
      </c>
      <c r="B89" s="40" t="s">
        <v>460</v>
      </c>
      <c r="C89" s="41" t="str">
        <f t="shared" si="3"/>
        <v>86　郵便局</v>
      </c>
      <c r="D89" s="44" t="s">
        <v>461</v>
      </c>
      <c r="E89" s="40" t="s">
        <v>460</v>
      </c>
      <c r="F89" s="40" t="str">
        <f t="shared" si="4"/>
        <v>160000　郵便局</v>
      </c>
      <c r="G89" s="43" t="s">
        <v>462</v>
      </c>
      <c r="H89" s="40" t="str">
        <f t="shared" si="5"/>
        <v>160000管理，補助的経済活動を行う事業所（86郵便局） </v>
      </c>
      <c r="I89" s="38" t="s">
        <v>463</v>
      </c>
    </row>
    <row r="90" spans="1:9" ht="30.75" customHeight="1">
      <c r="A90" s="43" t="s">
        <v>464</v>
      </c>
      <c r="B90" s="40" t="s">
        <v>465</v>
      </c>
      <c r="C90" s="41" t="str">
        <f t="shared" si="3"/>
        <v>87　協同組合（他に分類されないもの）</v>
      </c>
      <c r="D90" s="44" t="s">
        <v>461</v>
      </c>
      <c r="E90" s="40" t="s">
        <v>465</v>
      </c>
      <c r="F90" s="40" t="str">
        <f t="shared" si="4"/>
        <v>160000　協同組合（他に分類されないもの）</v>
      </c>
      <c r="G90" s="43" t="s">
        <v>466</v>
      </c>
      <c r="H90" s="40" t="str">
        <f t="shared" si="5"/>
        <v>160000管理，補助的経済活動を行う事業所（87協同組合） </v>
      </c>
      <c r="I90" s="38" t="s">
        <v>467</v>
      </c>
    </row>
    <row r="91" spans="1:9" ht="30.75" customHeight="1">
      <c r="A91" s="43" t="s">
        <v>468</v>
      </c>
      <c r="B91" s="40" t="s">
        <v>469</v>
      </c>
      <c r="C91" s="41" t="str">
        <f t="shared" si="3"/>
        <v>88　廃棄物処理業</v>
      </c>
      <c r="D91" s="44" t="s">
        <v>470</v>
      </c>
      <c r="E91" s="40" t="s">
        <v>469</v>
      </c>
      <c r="F91" s="40" t="str">
        <f t="shared" si="4"/>
        <v>171100　廃棄物処理業</v>
      </c>
      <c r="G91" s="43" t="s">
        <v>471</v>
      </c>
      <c r="H91" s="40" t="str">
        <f t="shared" si="5"/>
        <v>171100管理，補助的経済活動を行う事業所（88廃棄物処理業） </v>
      </c>
      <c r="I91" s="38" t="s">
        <v>472</v>
      </c>
    </row>
    <row r="92" spans="1:9" ht="30.75" customHeight="1">
      <c r="A92" s="43" t="s">
        <v>473</v>
      </c>
      <c r="B92" s="40" t="s">
        <v>474</v>
      </c>
      <c r="C92" s="41" t="str">
        <f t="shared" si="3"/>
        <v>89　自動車整備業</v>
      </c>
      <c r="D92" s="44" t="s">
        <v>475</v>
      </c>
      <c r="E92" s="40" t="s">
        <v>474</v>
      </c>
      <c r="F92" s="40" t="str">
        <f t="shared" si="4"/>
        <v>171300　自動車整備業</v>
      </c>
      <c r="G92" s="43" t="s">
        <v>476</v>
      </c>
      <c r="H92" s="40" t="str">
        <f t="shared" si="5"/>
        <v>171300管理，補助的経済活動を行う事業所（89自動車整備業） </v>
      </c>
      <c r="I92" s="38" t="s">
        <v>477</v>
      </c>
    </row>
    <row r="93" spans="1:9" ht="30.75" customHeight="1">
      <c r="A93" s="43" t="s">
        <v>478</v>
      </c>
      <c r="B93" s="40" t="s">
        <v>479</v>
      </c>
      <c r="C93" s="41" t="str">
        <f t="shared" si="3"/>
        <v>90　機械等修理業（別掲を除く）</v>
      </c>
      <c r="D93" s="44" t="s">
        <v>480</v>
      </c>
      <c r="E93" s="40" t="s">
        <v>479</v>
      </c>
      <c r="F93" s="40" t="str">
        <f t="shared" si="4"/>
        <v>171500　機械等修理業（別掲を除く）</v>
      </c>
      <c r="G93" s="43" t="s">
        <v>481</v>
      </c>
      <c r="H93" s="40" t="str">
        <f t="shared" si="5"/>
        <v>171500管理，補助的経済活動を行う事業所（90機械等修理業） </v>
      </c>
      <c r="I93" s="38" t="s">
        <v>482</v>
      </c>
    </row>
    <row r="94" spans="1:9" ht="30.75" customHeight="1">
      <c r="A94" s="43">
        <v>91</v>
      </c>
      <c r="B94" s="46" t="s">
        <v>483</v>
      </c>
      <c r="C94" s="41" t="str">
        <f t="shared" si="3"/>
        <v>91　職業紹介・労働者派遣業</v>
      </c>
      <c r="D94" s="44" t="s">
        <v>484</v>
      </c>
      <c r="E94" s="40" t="s">
        <v>485</v>
      </c>
      <c r="F94" s="40" t="str">
        <f t="shared" si="4"/>
        <v>172100　その他の事業サービス業</v>
      </c>
      <c r="G94" s="43" t="s">
        <v>486</v>
      </c>
      <c r="H94" s="40" t="str">
        <f t="shared" si="5"/>
        <v>172100管理，補助的経済活動を行う事業所（91職業紹介・労働者派遣業） </v>
      </c>
      <c r="I94" s="38" t="s">
        <v>487</v>
      </c>
    </row>
    <row r="95" spans="1:9" ht="30.75" customHeight="1">
      <c r="A95" s="43" t="s">
        <v>488</v>
      </c>
      <c r="B95" s="40" t="s">
        <v>485</v>
      </c>
      <c r="C95" s="41" t="str">
        <f t="shared" si="3"/>
        <v>92　その他の事業サービス業</v>
      </c>
      <c r="D95" s="44" t="s">
        <v>484</v>
      </c>
      <c r="E95" s="40" t="s">
        <v>485</v>
      </c>
      <c r="F95" s="40" t="str">
        <f t="shared" si="4"/>
        <v>172100　その他の事業サービス業</v>
      </c>
      <c r="G95" s="43" t="s">
        <v>489</v>
      </c>
      <c r="H95" s="40" t="str">
        <f t="shared" si="5"/>
        <v>172100管理，補助的経済活動を行う事業所（92その他の事業サービス業） </v>
      </c>
      <c r="I95" s="38" t="s">
        <v>490</v>
      </c>
    </row>
    <row r="96" spans="1:9" ht="30.75" customHeight="1">
      <c r="A96" s="43" t="s">
        <v>491</v>
      </c>
      <c r="B96" s="40" t="s">
        <v>492</v>
      </c>
      <c r="C96" s="41" t="str">
        <f t="shared" si="3"/>
        <v>93　政治・経済・文化団体</v>
      </c>
      <c r="D96" s="44" t="s">
        <v>493</v>
      </c>
      <c r="E96" s="40" t="s">
        <v>492</v>
      </c>
      <c r="F96" s="40" t="str">
        <f t="shared" si="4"/>
        <v>172300　政治・経済・文化団体</v>
      </c>
      <c r="G96" s="43" t="s">
        <v>494</v>
      </c>
      <c r="H96" s="40" t="str">
        <f t="shared" si="5"/>
        <v>172300経済団体 </v>
      </c>
      <c r="I96" s="38" t="s">
        <v>495</v>
      </c>
    </row>
    <row r="97" spans="1:9" ht="30.75" customHeight="1">
      <c r="A97" s="43" t="s">
        <v>496</v>
      </c>
      <c r="B97" s="40" t="s">
        <v>497</v>
      </c>
      <c r="C97" s="41" t="str">
        <f t="shared" si="3"/>
        <v>94　宗教</v>
      </c>
      <c r="D97" s="44" t="s">
        <v>493</v>
      </c>
      <c r="E97" s="40" t="s">
        <v>497</v>
      </c>
      <c r="F97" s="40" t="str">
        <f t="shared" si="4"/>
        <v>172300　宗教</v>
      </c>
      <c r="G97" s="43" t="s">
        <v>498</v>
      </c>
      <c r="H97" s="40" t="str">
        <f t="shared" si="5"/>
        <v>172300神道系宗教 </v>
      </c>
      <c r="I97" s="38" t="s">
        <v>499</v>
      </c>
    </row>
    <row r="98" spans="1:9" ht="30.75" customHeight="1">
      <c r="A98" s="43" t="s">
        <v>500</v>
      </c>
      <c r="B98" s="40" t="s">
        <v>501</v>
      </c>
      <c r="C98" s="41" t="str">
        <f>CONCATENATE(A98,B98)</f>
        <v>95　その他のサービス業</v>
      </c>
      <c r="D98" s="44" t="s">
        <v>493</v>
      </c>
      <c r="E98" s="40" t="s">
        <v>501</v>
      </c>
      <c r="F98" s="40" t="str">
        <f>CONCATENATE(D98,E98)</f>
        <v>172300　その他のサービス業</v>
      </c>
      <c r="G98" s="43" t="s">
        <v>502</v>
      </c>
      <c r="H98" s="40" t="str">
        <f>CONCATENATE(D98,I98)</f>
        <v>172300管理，補助的経済活動を行う事業所（95その他のサービス業） </v>
      </c>
      <c r="I98" s="38" t="s">
        <v>503</v>
      </c>
    </row>
    <row r="99" spans="1:9" ht="30.75" customHeight="1">
      <c r="A99" s="43" t="s">
        <v>504</v>
      </c>
      <c r="B99" s="40" t="s">
        <v>505</v>
      </c>
      <c r="C99" s="41" t="str">
        <f>CONCATENATE(A99,B99)</f>
        <v>96　外国公務</v>
      </c>
      <c r="D99" s="44" t="s">
        <v>493</v>
      </c>
      <c r="E99" s="40" t="s">
        <v>505</v>
      </c>
      <c r="F99" s="40" t="str">
        <f>CONCATENATE(D99,E99)</f>
        <v>172300　外国公務</v>
      </c>
      <c r="G99" s="43" t="s">
        <v>506</v>
      </c>
      <c r="H99" s="40" t="str">
        <f>CONCATENATE(D99,I99)</f>
        <v>172300外国公館 </v>
      </c>
      <c r="I99" s="38" t="s">
        <v>507</v>
      </c>
    </row>
    <row r="100" spans="1:9" ht="30.75" customHeight="1">
      <c r="A100" s="43">
        <v>97</v>
      </c>
      <c r="B100" s="40" t="s">
        <v>508</v>
      </c>
      <c r="C100" s="41" t="str">
        <f>CONCATENATE(A100,B100)</f>
        <v>97　国家公務</v>
      </c>
      <c r="D100" s="44" t="s">
        <v>493</v>
      </c>
      <c r="E100" s="40" t="s">
        <v>508</v>
      </c>
      <c r="F100" s="40" t="str">
        <f>CONCATENATE(D100,E100)</f>
        <v>172300　国家公務</v>
      </c>
      <c r="G100" s="43" t="s">
        <v>509</v>
      </c>
      <c r="H100" s="40" t="str">
        <f>CONCATENATE(D100,I100)</f>
        <v>172300立法機関 </v>
      </c>
      <c r="I100" s="38" t="s">
        <v>510</v>
      </c>
    </row>
    <row r="101" spans="1:9" ht="30.75" customHeight="1">
      <c r="A101" s="43" t="s">
        <v>511</v>
      </c>
      <c r="B101" s="40" t="s">
        <v>512</v>
      </c>
      <c r="C101" s="41" t="str">
        <f>CONCATENATE(A101,B101)</f>
        <v>98　地方公務</v>
      </c>
      <c r="D101" s="44" t="s">
        <v>493</v>
      </c>
      <c r="E101" s="40" t="s">
        <v>512</v>
      </c>
      <c r="F101" s="40" t="str">
        <f>CONCATENATE(D101,E101)</f>
        <v>172300　地方公務</v>
      </c>
      <c r="G101" s="43" t="s">
        <v>513</v>
      </c>
      <c r="H101" s="40" t="str">
        <f>CONCATENATE(D101,I101)</f>
        <v>172300都道府県機関 </v>
      </c>
      <c r="I101" s="38" t="s">
        <v>514</v>
      </c>
    </row>
    <row r="102" spans="1:9" ht="30.75" customHeight="1">
      <c r="A102" s="43" t="s">
        <v>515</v>
      </c>
      <c r="B102" s="40" t="s">
        <v>516</v>
      </c>
      <c r="C102" s="41" t="str">
        <f>CONCATENATE(A102,B102)</f>
        <v>99分類不能の産業</v>
      </c>
      <c r="D102" s="44" t="s">
        <v>517</v>
      </c>
      <c r="E102" s="40" t="s">
        <v>516</v>
      </c>
      <c r="F102" s="40" t="str">
        <f>CONCATENATE(D102,E102)</f>
        <v>990000分類不能の産業</v>
      </c>
      <c r="G102" s="43" t="s">
        <v>518</v>
      </c>
      <c r="H102" s="40" t="str">
        <f>CONCATENATE(D102,I102)</f>
        <v>990000分類不能の産業 </v>
      </c>
      <c r="I102" s="38" t="s">
        <v>519</v>
      </c>
    </row>
  </sheetData>
  <sheetProtection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pageSetUpPr fitToPage="1"/>
  </sheetPr>
  <dimension ref="A2:U39"/>
  <sheetViews>
    <sheetView showGridLines="0" zoomScaleSheetLayoutView="80" zoomScalePageLayoutView="0" workbookViewId="0" topLeftCell="A1">
      <pane ySplit="3" topLeftCell="A4" activePane="bottomLeft" state="frozen"/>
      <selection pane="topLeft" activeCell="H47" sqref="H47"/>
      <selection pane="bottomLeft" activeCell="A1" sqref="A1"/>
    </sheetView>
  </sheetViews>
  <sheetFormatPr defaultColWidth="9.140625" defaultRowHeight="15"/>
  <cols>
    <col min="1" max="1" width="3.7109375" style="8" customWidth="1"/>
    <col min="2" max="4" width="3.7109375" style="3" customWidth="1"/>
    <col min="5" max="5" width="16.421875" style="235" customWidth="1"/>
    <col min="6" max="6" width="16.140625" style="222" customWidth="1"/>
    <col min="7" max="7" width="9.140625" style="56" customWidth="1"/>
    <col min="8" max="8" width="6.421875" style="8" customWidth="1"/>
    <col min="9" max="9" width="12.7109375" style="3" bestFit="1" customWidth="1"/>
    <col min="10" max="10" width="11.57421875" style="3" customWidth="1"/>
    <col min="11" max="13" width="15.140625" style="3" customWidth="1"/>
    <col min="14" max="15" width="3.8515625" style="8" customWidth="1"/>
    <col min="16" max="16" width="9.00390625" style="8" customWidth="1"/>
    <col min="17" max="19" width="15.140625" style="3" customWidth="1"/>
    <col min="20" max="16384" width="9.00390625" style="3" customWidth="1"/>
  </cols>
  <sheetData>
    <row r="1" ht="13.5"/>
    <row r="2" ht="13.5">
      <c r="B2" s="271" t="s">
        <v>656</v>
      </c>
    </row>
    <row r="3" ht="13.5"/>
    <row r="4" spans="1:6" ht="13.5" customHeight="1">
      <c r="A4" s="852" t="s">
        <v>18</v>
      </c>
      <c r="B4" s="852"/>
      <c r="C4" s="852"/>
      <c r="D4" s="852"/>
      <c r="E4" s="852"/>
      <c r="F4" s="8"/>
    </row>
    <row r="5" spans="1:14" ht="13.5" customHeight="1">
      <c r="A5" s="17"/>
      <c r="B5" s="17"/>
      <c r="C5" s="17"/>
      <c r="D5" s="17"/>
      <c r="E5" s="253"/>
      <c r="F5" s="8"/>
      <c r="N5" s="17"/>
    </row>
    <row r="6" spans="1:14" ht="13.5" customHeight="1">
      <c r="A6" s="17"/>
      <c r="B6" s="17"/>
      <c r="C6" s="237" t="s">
        <v>764</v>
      </c>
      <c r="D6" s="17"/>
      <c r="E6" s="253"/>
      <c r="F6" s="238" t="s">
        <v>17</v>
      </c>
      <c r="N6" s="17"/>
    </row>
    <row r="7" spans="1:14" ht="13.5" customHeight="1">
      <c r="A7" s="17"/>
      <c r="B7" s="17"/>
      <c r="C7" s="17"/>
      <c r="D7" s="17"/>
      <c r="E7" s="253"/>
      <c r="F7" s="270" t="s">
        <v>671</v>
      </c>
      <c r="N7" s="17"/>
    </row>
    <row r="8" spans="1:15" ht="13.5" customHeight="1">
      <c r="A8" s="17"/>
      <c r="B8" s="17"/>
      <c r="C8" s="17"/>
      <c r="D8" s="17"/>
      <c r="E8" s="253"/>
      <c r="F8" s="8"/>
      <c r="M8" s="3" t="s">
        <v>20</v>
      </c>
      <c r="N8" s="17"/>
      <c r="O8" s="239"/>
    </row>
    <row r="9" spans="1:14" ht="13.5" customHeight="1">
      <c r="A9" s="17"/>
      <c r="F9" s="8"/>
      <c r="K9" s="4" t="s">
        <v>34</v>
      </c>
      <c r="L9" s="12" t="str">
        <f>IF(OR('基本情報入力（使い方）'!C12="",'基本情報入力（使い方）'!C12=0),"",'基本情報入力（使い方）'!C12)</f>
        <v>Ｂ金属株式会社</v>
      </c>
      <c r="N9" s="17"/>
    </row>
    <row r="10" spans="1:14" ht="13.5" customHeight="1" thickBot="1">
      <c r="A10" s="17"/>
      <c r="F10" s="8"/>
      <c r="N10" s="17"/>
    </row>
    <row r="11" spans="1:19" ht="27" customHeight="1">
      <c r="A11" s="853" t="s">
        <v>2</v>
      </c>
      <c r="B11" s="855" t="s">
        <v>3</v>
      </c>
      <c r="C11" s="855"/>
      <c r="D11" s="856"/>
      <c r="E11" s="254" t="s">
        <v>4</v>
      </c>
      <c r="F11" s="5" t="s">
        <v>5</v>
      </c>
      <c r="G11" s="5" t="s">
        <v>6</v>
      </c>
      <c r="H11" s="225" t="s">
        <v>7</v>
      </c>
      <c r="I11" s="5" t="s">
        <v>0</v>
      </c>
      <c r="J11" s="5" t="s">
        <v>0</v>
      </c>
      <c r="K11" s="855" t="s">
        <v>8</v>
      </c>
      <c r="L11" s="856"/>
      <c r="M11" s="225" t="s">
        <v>634</v>
      </c>
      <c r="N11" s="861" t="s">
        <v>2</v>
      </c>
      <c r="O11" s="863" t="s">
        <v>37</v>
      </c>
      <c r="Q11" s="314" t="s">
        <v>674</v>
      </c>
      <c r="R11" s="857" t="s">
        <v>675</v>
      </c>
      <c r="S11" s="858"/>
    </row>
    <row r="12" spans="1:19" ht="42" customHeight="1" thickBot="1">
      <c r="A12" s="854"/>
      <c r="B12" s="242" t="s">
        <v>10</v>
      </c>
      <c r="C12" s="242" t="s">
        <v>11</v>
      </c>
      <c r="D12" s="243" t="s">
        <v>12</v>
      </c>
      <c r="E12" s="255"/>
      <c r="F12" s="245"/>
      <c r="G12" s="291"/>
      <c r="H12" s="6"/>
      <c r="I12" s="223" t="s">
        <v>13</v>
      </c>
      <c r="J12" s="223" t="s">
        <v>24</v>
      </c>
      <c r="K12" s="48" t="s">
        <v>14</v>
      </c>
      <c r="L12" s="6" t="s">
        <v>23</v>
      </c>
      <c r="M12" s="6" t="s">
        <v>15</v>
      </c>
      <c r="N12" s="862"/>
      <c r="O12" s="864"/>
      <c r="Q12" s="315" t="s">
        <v>676</v>
      </c>
      <c r="R12" s="316" t="s">
        <v>677</v>
      </c>
      <c r="S12" s="317" t="s">
        <v>678</v>
      </c>
    </row>
    <row r="13" spans="1:19" ht="30.75" customHeight="1">
      <c r="A13" s="306">
        <v>1</v>
      </c>
      <c r="B13" s="865">
        <v>42704</v>
      </c>
      <c r="C13" s="866"/>
      <c r="D13" s="866"/>
      <c r="E13" s="211" t="s">
        <v>640</v>
      </c>
      <c r="F13" s="211" t="s">
        <v>641</v>
      </c>
      <c r="G13" s="301">
        <v>1</v>
      </c>
      <c r="H13" s="292" t="s">
        <v>642</v>
      </c>
      <c r="I13" s="14">
        <f>IF(J13="","",ROUNDDOWN(J13*(1+O13/100),0))</f>
        <v>10259136</v>
      </c>
      <c r="J13" s="298">
        <v>9499200</v>
      </c>
      <c r="K13" s="14">
        <f>IF(L13="","",ROUNDDOWN(L13*(1+O13/100),0))</f>
        <v>10259136</v>
      </c>
      <c r="L13" s="14">
        <f>IF(OR(J13="",G13=""),"",ROUNDDOWN(J13*G13,0))</f>
        <v>9499200</v>
      </c>
      <c r="M13" s="15">
        <f>L13</f>
        <v>9499200</v>
      </c>
      <c r="N13" s="532">
        <f>IF(A13="","",A13)</f>
        <v>1</v>
      </c>
      <c r="O13" s="533">
        <v>8</v>
      </c>
      <c r="P13" s="534"/>
      <c r="Q13" s="318">
        <f>IF(M13="","",ROUNDDOWN(M13/G13*2/3,0)*G13)</f>
        <v>6332800</v>
      </c>
      <c r="R13" s="319">
        <f>IF(M13="","",ROUNDDOWN((Q13/$Q$33*$Q$36),0))</f>
        <v>6332800</v>
      </c>
      <c r="S13" s="320">
        <f>R13+Q37</f>
        <v>6332800</v>
      </c>
    </row>
    <row r="14" spans="1:19" ht="30.75" customHeight="1">
      <c r="A14" s="307"/>
      <c r="B14" s="867"/>
      <c r="C14" s="868"/>
      <c r="D14" s="868"/>
      <c r="E14" s="375" t="s">
        <v>711</v>
      </c>
      <c r="F14" s="213"/>
      <c r="G14" s="302"/>
      <c r="H14" s="293"/>
      <c r="I14" s="14">
        <f aca="true" t="shared" si="0" ref="I14:I32">IF(J14="","",ROUNDDOWN(J14*(1+O14/100),0))</f>
      </c>
      <c r="J14" s="298"/>
      <c r="K14" s="14">
        <f aca="true" t="shared" si="1" ref="K14:K32">IF(L14="","",ROUNDDOWN(L14*(1+O14/100),0))</f>
      </c>
      <c r="L14" s="14">
        <f aca="true" t="shared" si="2" ref="L14:L32">IF(OR(J14="",G14=""),"",ROUNDDOWN(J14*G14,0))</f>
      </c>
      <c r="M14" s="15">
        <f aca="true" t="shared" si="3" ref="M14:M32">L14</f>
      </c>
      <c r="N14" s="532">
        <f aca="true" t="shared" si="4" ref="N14:N32">IF(A14="","",A14)</f>
      </c>
      <c r="O14" s="533">
        <v>8</v>
      </c>
      <c r="P14" s="535"/>
      <c r="Q14" s="267">
        <f>IF(M14="","",ROUNDDOWN(M14/G14*2/3,0)*G14)</f>
      </c>
      <c r="R14" s="319">
        <f>IF(M14="","",ROUNDDOWN((Q14/$Q$33*$Q$36),0))</f>
      </c>
      <c r="S14" s="321">
        <f>R14</f>
      </c>
    </row>
    <row r="15" spans="1:19" ht="30.75" customHeight="1">
      <c r="A15" s="306">
        <v>2</v>
      </c>
      <c r="B15" s="848">
        <v>42729</v>
      </c>
      <c r="C15" s="849"/>
      <c r="D15" s="849"/>
      <c r="E15" s="213" t="s">
        <v>740</v>
      </c>
      <c r="F15" s="213" t="s">
        <v>741</v>
      </c>
      <c r="G15" s="391">
        <v>1</v>
      </c>
      <c r="H15" s="392" t="s">
        <v>642</v>
      </c>
      <c r="I15" s="393">
        <f t="shared" si="0"/>
        <v>1080000</v>
      </c>
      <c r="J15" s="394">
        <v>1000000</v>
      </c>
      <c r="K15" s="14">
        <f t="shared" si="1"/>
        <v>1080000</v>
      </c>
      <c r="L15" s="14">
        <f t="shared" si="2"/>
        <v>1000000</v>
      </c>
      <c r="M15" s="15">
        <f t="shared" si="3"/>
        <v>1000000</v>
      </c>
      <c r="N15" s="532">
        <f t="shared" si="4"/>
        <v>2</v>
      </c>
      <c r="O15" s="533">
        <v>8</v>
      </c>
      <c r="P15" s="536"/>
      <c r="Q15" s="267">
        <f>IF(M15="","",ROUNDDOWN(M15/G15*2/3,0)*G15)</f>
        <v>666666</v>
      </c>
      <c r="R15" s="319">
        <f aca="true" t="shared" si="5" ref="R15:R32">IF(M15="","",ROUNDDOWN((Q15/$Q$33*$Q$36),0))</f>
        <v>666666</v>
      </c>
      <c r="S15" s="321">
        <f aca="true" t="shared" si="6" ref="S15:S32">R15</f>
        <v>666666</v>
      </c>
    </row>
    <row r="16" spans="1:19" s="16" customFormat="1" ht="30.75" customHeight="1">
      <c r="A16" s="307"/>
      <c r="B16" s="848"/>
      <c r="C16" s="849"/>
      <c r="D16" s="849"/>
      <c r="E16" s="213"/>
      <c r="F16" s="213"/>
      <c r="G16" s="302"/>
      <c r="H16" s="295"/>
      <c r="I16" s="14">
        <f t="shared" si="0"/>
      </c>
      <c r="J16" s="216"/>
      <c r="K16" s="14">
        <f t="shared" si="1"/>
      </c>
      <c r="L16" s="14">
        <f t="shared" si="2"/>
      </c>
      <c r="M16" s="15">
        <f t="shared" si="3"/>
      </c>
      <c r="N16" s="532">
        <f t="shared" si="4"/>
      </c>
      <c r="O16" s="533">
        <v>8</v>
      </c>
      <c r="P16" s="536"/>
      <c r="Q16" s="267">
        <f>IF(M16="","",ROUNDDOWN(M16/G16*2/3,0)*G16)</f>
      </c>
      <c r="R16" s="319">
        <f t="shared" si="5"/>
      </c>
      <c r="S16" s="321">
        <f t="shared" si="6"/>
      </c>
    </row>
    <row r="17" spans="1:19" ht="30.75" customHeight="1">
      <c r="A17" s="306"/>
      <c r="B17" s="848"/>
      <c r="C17" s="849"/>
      <c r="D17" s="849"/>
      <c r="E17" s="213"/>
      <c r="F17" s="213"/>
      <c r="G17" s="302"/>
      <c r="H17" s="295"/>
      <c r="I17" s="14">
        <f t="shared" si="0"/>
      </c>
      <c r="J17" s="216"/>
      <c r="K17" s="14">
        <f t="shared" si="1"/>
      </c>
      <c r="L17" s="14">
        <f t="shared" si="2"/>
      </c>
      <c r="M17" s="15">
        <f t="shared" si="3"/>
      </c>
      <c r="N17" s="532">
        <f t="shared" si="4"/>
      </c>
      <c r="O17" s="533">
        <v>8</v>
      </c>
      <c r="P17" s="536"/>
      <c r="Q17" s="267">
        <f aca="true" t="shared" si="7" ref="Q17:Q32">IF(M17="","",ROUNDDOWN(M17/G17*2/3,0)*G17)</f>
      </c>
      <c r="R17" s="319">
        <f t="shared" si="5"/>
      </c>
      <c r="S17" s="321">
        <f t="shared" si="6"/>
      </c>
    </row>
    <row r="18" spans="1:19" ht="30.75" customHeight="1">
      <c r="A18" s="307"/>
      <c r="B18" s="848"/>
      <c r="C18" s="849"/>
      <c r="D18" s="849"/>
      <c r="E18" s="213"/>
      <c r="F18" s="213"/>
      <c r="G18" s="302"/>
      <c r="H18" s="295"/>
      <c r="I18" s="14">
        <f t="shared" si="0"/>
      </c>
      <c r="J18" s="216"/>
      <c r="K18" s="14">
        <f t="shared" si="1"/>
      </c>
      <c r="L18" s="14">
        <f t="shared" si="2"/>
      </c>
      <c r="M18" s="15">
        <f t="shared" si="3"/>
      </c>
      <c r="N18" s="532">
        <f t="shared" si="4"/>
      </c>
      <c r="O18" s="533">
        <v>8</v>
      </c>
      <c r="P18" s="536"/>
      <c r="Q18" s="267">
        <f t="shared" si="7"/>
      </c>
      <c r="R18" s="319">
        <f t="shared" si="5"/>
      </c>
      <c r="S18" s="321">
        <f t="shared" si="6"/>
      </c>
    </row>
    <row r="19" spans="1:19" ht="30.75" customHeight="1">
      <c r="A19" s="306"/>
      <c r="B19" s="848"/>
      <c r="C19" s="849"/>
      <c r="D19" s="849"/>
      <c r="E19" s="213"/>
      <c r="F19" s="248"/>
      <c r="G19" s="302"/>
      <c r="H19" s="295"/>
      <c r="I19" s="14">
        <f t="shared" si="0"/>
      </c>
      <c r="J19" s="216"/>
      <c r="K19" s="14">
        <f t="shared" si="1"/>
      </c>
      <c r="L19" s="14">
        <f t="shared" si="2"/>
      </c>
      <c r="M19" s="15">
        <f t="shared" si="3"/>
      </c>
      <c r="N19" s="532">
        <f t="shared" si="4"/>
      </c>
      <c r="O19" s="533">
        <v>8</v>
      </c>
      <c r="P19" s="536"/>
      <c r="Q19" s="267">
        <f t="shared" si="7"/>
      </c>
      <c r="R19" s="319">
        <f t="shared" si="5"/>
      </c>
      <c r="S19" s="321">
        <f t="shared" si="6"/>
      </c>
    </row>
    <row r="20" spans="1:19" s="16" customFormat="1" ht="30.75" customHeight="1">
      <c r="A20" s="307"/>
      <c r="B20" s="848"/>
      <c r="C20" s="849"/>
      <c r="D20" s="849"/>
      <c r="E20" s="213"/>
      <c r="F20" s="213"/>
      <c r="G20" s="302"/>
      <c r="H20" s="295"/>
      <c r="I20" s="14">
        <f t="shared" si="0"/>
      </c>
      <c r="J20" s="216"/>
      <c r="K20" s="14">
        <f t="shared" si="1"/>
      </c>
      <c r="L20" s="14">
        <f t="shared" si="2"/>
      </c>
      <c r="M20" s="15">
        <f t="shared" si="3"/>
      </c>
      <c r="N20" s="537">
        <f t="shared" si="4"/>
      </c>
      <c r="O20" s="533">
        <v>8</v>
      </c>
      <c r="P20" s="538"/>
      <c r="Q20" s="267">
        <f t="shared" si="7"/>
      </c>
      <c r="R20" s="319">
        <f t="shared" si="5"/>
      </c>
      <c r="S20" s="321">
        <f t="shared" si="6"/>
      </c>
    </row>
    <row r="21" spans="1:19" ht="30.75" customHeight="1">
      <c r="A21" s="306"/>
      <c r="B21" s="848"/>
      <c r="C21" s="849"/>
      <c r="D21" s="849"/>
      <c r="E21" s="213"/>
      <c r="F21" s="213"/>
      <c r="G21" s="302"/>
      <c r="H21" s="295"/>
      <c r="I21" s="14">
        <f t="shared" si="0"/>
      </c>
      <c r="J21" s="216"/>
      <c r="K21" s="14">
        <f t="shared" si="1"/>
      </c>
      <c r="L21" s="14">
        <f t="shared" si="2"/>
      </c>
      <c r="M21" s="15">
        <f t="shared" si="3"/>
      </c>
      <c r="N21" s="532">
        <f t="shared" si="4"/>
      </c>
      <c r="O21" s="533">
        <v>8</v>
      </c>
      <c r="P21" s="535"/>
      <c r="Q21" s="267">
        <f t="shared" si="7"/>
      </c>
      <c r="R21" s="319">
        <f t="shared" si="5"/>
      </c>
      <c r="S21" s="321">
        <f t="shared" si="6"/>
      </c>
    </row>
    <row r="22" spans="1:19" ht="30.75" customHeight="1">
      <c r="A22" s="307"/>
      <c r="B22" s="848"/>
      <c r="C22" s="849"/>
      <c r="D22" s="849"/>
      <c r="E22" s="213"/>
      <c r="F22" s="213"/>
      <c r="G22" s="302"/>
      <c r="H22" s="295"/>
      <c r="I22" s="14">
        <f t="shared" si="0"/>
      </c>
      <c r="J22" s="216"/>
      <c r="K22" s="14">
        <f t="shared" si="1"/>
      </c>
      <c r="L22" s="14">
        <f t="shared" si="2"/>
      </c>
      <c r="M22" s="15">
        <f t="shared" si="3"/>
      </c>
      <c r="N22" s="532">
        <f t="shared" si="4"/>
      </c>
      <c r="O22" s="533">
        <v>8</v>
      </c>
      <c r="P22" s="535"/>
      <c r="Q22" s="267">
        <f t="shared" si="7"/>
      </c>
      <c r="R22" s="319">
        <f t="shared" si="5"/>
      </c>
      <c r="S22" s="321">
        <f t="shared" si="6"/>
      </c>
    </row>
    <row r="23" spans="1:19" ht="30.75" customHeight="1">
      <c r="A23" s="306"/>
      <c r="B23" s="848"/>
      <c r="C23" s="849"/>
      <c r="D23" s="849"/>
      <c r="E23" s="213"/>
      <c r="F23" s="213"/>
      <c r="G23" s="302"/>
      <c r="H23" s="295"/>
      <c r="I23" s="14">
        <f t="shared" si="0"/>
      </c>
      <c r="J23" s="216"/>
      <c r="K23" s="14">
        <f t="shared" si="1"/>
      </c>
      <c r="L23" s="14">
        <f t="shared" si="2"/>
      </c>
      <c r="M23" s="15">
        <f t="shared" si="3"/>
      </c>
      <c r="N23" s="532">
        <f t="shared" si="4"/>
      </c>
      <c r="O23" s="533">
        <v>8</v>
      </c>
      <c r="P23" s="535"/>
      <c r="Q23" s="267">
        <f t="shared" si="7"/>
      </c>
      <c r="R23" s="319">
        <f t="shared" si="5"/>
      </c>
      <c r="S23" s="321">
        <f t="shared" si="6"/>
      </c>
    </row>
    <row r="24" spans="1:19" ht="30.75" customHeight="1">
      <c r="A24" s="307"/>
      <c r="B24" s="848"/>
      <c r="C24" s="849"/>
      <c r="D24" s="849"/>
      <c r="E24" s="213"/>
      <c r="F24" s="213"/>
      <c r="G24" s="302"/>
      <c r="H24" s="295"/>
      <c r="I24" s="14">
        <f t="shared" si="0"/>
      </c>
      <c r="J24" s="216"/>
      <c r="K24" s="14">
        <f t="shared" si="1"/>
      </c>
      <c r="L24" s="14">
        <f t="shared" si="2"/>
      </c>
      <c r="M24" s="15">
        <f t="shared" si="3"/>
      </c>
      <c r="N24" s="532">
        <f t="shared" si="4"/>
      </c>
      <c r="O24" s="533">
        <v>8</v>
      </c>
      <c r="P24" s="535"/>
      <c r="Q24" s="267">
        <f t="shared" si="7"/>
      </c>
      <c r="R24" s="319">
        <f t="shared" si="5"/>
      </c>
      <c r="S24" s="321">
        <f t="shared" si="6"/>
      </c>
    </row>
    <row r="25" spans="1:19" ht="30.75" customHeight="1">
      <c r="A25" s="306"/>
      <c r="B25" s="848"/>
      <c r="C25" s="849"/>
      <c r="D25" s="849"/>
      <c r="E25" s="213"/>
      <c r="F25" s="213"/>
      <c r="G25" s="302"/>
      <c r="H25" s="295"/>
      <c r="I25" s="14">
        <f t="shared" si="0"/>
      </c>
      <c r="J25" s="216"/>
      <c r="K25" s="14">
        <f t="shared" si="1"/>
      </c>
      <c r="L25" s="14">
        <f t="shared" si="2"/>
      </c>
      <c r="M25" s="15">
        <f t="shared" si="3"/>
      </c>
      <c r="N25" s="532">
        <f t="shared" si="4"/>
      </c>
      <c r="O25" s="533">
        <v>8</v>
      </c>
      <c r="P25" s="535"/>
      <c r="Q25" s="267">
        <f t="shared" si="7"/>
      </c>
      <c r="R25" s="319">
        <f t="shared" si="5"/>
      </c>
      <c r="S25" s="321">
        <f t="shared" si="6"/>
      </c>
    </row>
    <row r="26" spans="1:19" ht="30.75" customHeight="1">
      <c r="A26" s="307"/>
      <c r="B26" s="848"/>
      <c r="C26" s="849"/>
      <c r="D26" s="849"/>
      <c r="E26" s="214"/>
      <c r="F26" s="213"/>
      <c r="G26" s="302"/>
      <c r="H26" s="295"/>
      <c r="I26" s="14">
        <f t="shared" si="0"/>
      </c>
      <c r="J26" s="216"/>
      <c r="K26" s="14">
        <f t="shared" si="1"/>
      </c>
      <c r="L26" s="14">
        <f t="shared" si="2"/>
      </c>
      <c r="M26" s="15">
        <f t="shared" si="3"/>
      </c>
      <c r="N26" s="532">
        <f t="shared" si="4"/>
      </c>
      <c r="O26" s="533">
        <v>8</v>
      </c>
      <c r="P26" s="535"/>
      <c r="Q26" s="267">
        <f t="shared" si="7"/>
      </c>
      <c r="R26" s="319">
        <f t="shared" si="5"/>
      </c>
      <c r="S26" s="321">
        <f t="shared" si="6"/>
      </c>
    </row>
    <row r="27" spans="1:19" ht="30.75" customHeight="1">
      <c r="A27" s="306"/>
      <c r="B27" s="848"/>
      <c r="C27" s="849"/>
      <c r="D27" s="849"/>
      <c r="E27" s="214"/>
      <c r="F27" s="213"/>
      <c r="G27" s="302"/>
      <c r="H27" s="295"/>
      <c r="I27" s="14">
        <f t="shared" si="0"/>
      </c>
      <c r="J27" s="216"/>
      <c r="K27" s="14">
        <f t="shared" si="1"/>
      </c>
      <c r="L27" s="14">
        <f t="shared" si="2"/>
      </c>
      <c r="M27" s="15">
        <f t="shared" si="3"/>
      </c>
      <c r="N27" s="532">
        <f t="shared" si="4"/>
      </c>
      <c r="O27" s="533">
        <v>8</v>
      </c>
      <c r="P27" s="535"/>
      <c r="Q27" s="267">
        <f t="shared" si="7"/>
      </c>
      <c r="R27" s="319">
        <f t="shared" si="5"/>
      </c>
      <c r="S27" s="321">
        <f t="shared" si="6"/>
      </c>
    </row>
    <row r="28" spans="1:19" ht="30.75" customHeight="1">
      <c r="A28" s="307"/>
      <c r="B28" s="848"/>
      <c r="C28" s="849"/>
      <c r="D28" s="849"/>
      <c r="E28" s="213"/>
      <c r="F28" s="213"/>
      <c r="G28" s="302"/>
      <c r="H28" s="295"/>
      <c r="I28" s="14">
        <f t="shared" si="0"/>
      </c>
      <c r="J28" s="216"/>
      <c r="K28" s="14">
        <f t="shared" si="1"/>
      </c>
      <c r="L28" s="14">
        <f t="shared" si="2"/>
      </c>
      <c r="M28" s="15">
        <f t="shared" si="3"/>
      </c>
      <c r="N28" s="532">
        <f t="shared" si="4"/>
      </c>
      <c r="O28" s="533">
        <v>8</v>
      </c>
      <c r="P28" s="535"/>
      <c r="Q28" s="267">
        <f t="shared" si="7"/>
      </c>
      <c r="R28" s="319">
        <f t="shared" si="5"/>
      </c>
      <c r="S28" s="321">
        <f t="shared" si="6"/>
      </c>
    </row>
    <row r="29" spans="1:19" ht="30.75" customHeight="1">
      <c r="A29" s="306"/>
      <c r="B29" s="848"/>
      <c r="C29" s="849"/>
      <c r="D29" s="849"/>
      <c r="E29" s="213"/>
      <c r="F29" s="213"/>
      <c r="G29" s="302"/>
      <c r="H29" s="295"/>
      <c r="I29" s="14">
        <f t="shared" si="0"/>
      </c>
      <c r="J29" s="216"/>
      <c r="K29" s="14">
        <f t="shared" si="1"/>
      </c>
      <c r="L29" s="14">
        <f t="shared" si="2"/>
      </c>
      <c r="M29" s="15">
        <f t="shared" si="3"/>
      </c>
      <c r="N29" s="532">
        <f t="shared" si="4"/>
      </c>
      <c r="O29" s="533">
        <v>8</v>
      </c>
      <c r="P29" s="535"/>
      <c r="Q29" s="267">
        <f t="shared" si="7"/>
      </c>
      <c r="R29" s="319">
        <f t="shared" si="5"/>
      </c>
      <c r="S29" s="321">
        <f t="shared" si="6"/>
      </c>
    </row>
    <row r="30" spans="1:19" ht="30.75" customHeight="1">
      <c r="A30" s="307"/>
      <c r="B30" s="848"/>
      <c r="C30" s="849"/>
      <c r="D30" s="849"/>
      <c r="E30" s="213"/>
      <c r="F30" s="213"/>
      <c r="G30" s="302"/>
      <c r="H30" s="295"/>
      <c r="I30" s="14">
        <f t="shared" si="0"/>
      </c>
      <c r="J30" s="216"/>
      <c r="K30" s="14">
        <f t="shared" si="1"/>
      </c>
      <c r="L30" s="14">
        <f t="shared" si="2"/>
      </c>
      <c r="M30" s="15">
        <f t="shared" si="3"/>
      </c>
      <c r="N30" s="532">
        <f t="shared" si="4"/>
      </c>
      <c r="O30" s="533">
        <v>8</v>
      </c>
      <c r="P30" s="535"/>
      <c r="Q30" s="267">
        <f t="shared" si="7"/>
      </c>
      <c r="R30" s="319">
        <f t="shared" si="5"/>
      </c>
      <c r="S30" s="321">
        <f t="shared" si="6"/>
      </c>
    </row>
    <row r="31" spans="1:19" ht="30.75" customHeight="1">
      <c r="A31" s="306"/>
      <c r="B31" s="848"/>
      <c r="C31" s="849"/>
      <c r="D31" s="849"/>
      <c r="E31" s="214"/>
      <c r="F31" s="213"/>
      <c r="G31" s="302"/>
      <c r="H31" s="295"/>
      <c r="I31" s="14">
        <f t="shared" si="0"/>
      </c>
      <c r="J31" s="216"/>
      <c r="K31" s="14">
        <f t="shared" si="1"/>
      </c>
      <c r="L31" s="14">
        <f t="shared" si="2"/>
      </c>
      <c r="M31" s="15">
        <f t="shared" si="3"/>
      </c>
      <c r="N31" s="532">
        <f t="shared" si="4"/>
      </c>
      <c r="O31" s="533">
        <v>8</v>
      </c>
      <c r="P31" s="535"/>
      <c r="Q31" s="267">
        <f t="shared" si="7"/>
      </c>
      <c r="R31" s="319">
        <f t="shared" si="5"/>
      </c>
      <c r="S31" s="321">
        <f t="shared" si="6"/>
      </c>
    </row>
    <row r="32" spans="1:19" ht="30.75" customHeight="1" thickBot="1">
      <c r="A32" s="308"/>
      <c r="B32" s="850"/>
      <c r="C32" s="851"/>
      <c r="D32" s="851"/>
      <c r="E32" s="218"/>
      <c r="F32" s="218"/>
      <c r="G32" s="302"/>
      <c r="H32" s="296"/>
      <c r="I32" s="32">
        <f t="shared" si="0"/>
      </c>
      <c r="J32" s="215"/>
      <c r="K32" s="31">
        <f t="shared" si="1"/>
      </c>
      <c r="L32" s="31">
        <f t="shared" si="2"/>
      </c>
      <c r="M32" s="32">
        <f t="shared" si="3"/>
      </c>
      <c r="N32" s="539">
        <f t="shared" si="4"/>
      </c>
      <c r="O32" s="540">
        <v>8</v>
      </c>
      <c r="P32" s="535"/>
      <c r="Q32" s="313">
        <f t="shared" si="7"/>
      </c>
      <c r="R32" s="322">
        <f t="shared" si="5"/>
      </c>
      <c r="S32" s="323">
        <f t="shared" si="6"/>
      </c>
    </row>
    <row r="33" spans="1:19" ht="21" customHeight="1" thickBot="1">
      <c r="A33" s="846" t="s">
        <v>16</v>
      </c>
      <c r="B33" s="847"/>
      <c r="C33" s="847"/>
      <c r="D33" s="847"/>
      <c r="E33" s="847"/>
      <c r="F33" s="847"/>
      <c r="G33" s="847"/>
      <c r="H33" s="847"/>
      <c r="I33" s="847"/>
      <c r="J33" s="224"/>
      <c r="K33" s="47">
        <f>SUM(K13:K32)</f>
        <v>11339136</v>
      </c>
      <c r="L33" s="47">
        <f>SUM(L13:L32)</f>
        <v>10499200</v>
      </c>
      <c r="M33" s="49">
        <f>SUM(M13:M32)</f>
        <v>10499200</v>
      </c>
      <c r="N33" s="541"/>
      <c r="O33" s="535"/>
      <c r="P33" s="542" t="s">
        <v>30</v>
      </c>
      <c r="Q33" s="312">
        <f>SUM(Q13:Q32)</f>
        <v>6999466</v>
      </c>
      <c r="R33" s="324">
        <f>SUM(R13:R32)</f>
        <v>6999466</v>
      </c>
      <c r="S33" s="325">
        <f>SUM(S13:S32)</f>
        <v>6999466</v>
      </c>
    </row>
    <row r="34" spans="1:19" ht="23.25" customHeight="1" thickBot="1">
      <c r="A34" s="17"/>
      <c r="K34" s="534"/>
      <c r="L34" s="534"/>
      <c r="M34" s="534"/>
      <c r="N34" s="543"/>
      <c r="O34" s="535"/>
      <c r="P34" s="542" t="s">
        <v>666</v>
      </c>
      <c r="Q34" s="844">
        <f>経費明細表!補助上限額</f>
        <v>10000000</v>
      </c>
      <c r="R34" s="845"/>
      <c r="S34" s="544"/>
    </row>
    <row r="35" spans="4:21" ht="23.25" customHeight="1" thickBot="1">
      <c r="D35" s="240"/>
      <c r="E35" s="390"/>
      <c r="H35" s="3"/>
      <c r="K35" s="534"/>
      <c r="L35" s="534"/>
      <c r="M35" s="545"/>
      <c r="N35" s="543"/>
      <c r="O35" s="535"/>
      <c r="P35" s="546" t="s">
        <v>670</v>
      </c>
      <c r="Q35" s="844">
        <f>'経費明細表'!F19</f>
        <v>6999999</v>
      </c>
      <c r="R35" s="845"/>
      <c r="S35" s="544"/>
      <c r="T35" s="222"/>
      <c r="U35" s="222"/>
    </row>
    <row r="36" spans="1:19" s="222" customFormat="1" ht="23.25" customHeight="1" thickBot="1">
      <c r="A36" s="8"/>
      <c r="B36" s="3"/>
      <c r="C36" s="3"/>
      <c r="D36" s="3"/>
      <c r="G36" s="56"/>
      <c r="H36" s="3"/>
      <c r="I36" s="3"/>
      <c r="J36" s="3"/>
      <c r="K36" s="534"/>
      <c r="L36" s="534"/>
      <c r="M36" s="12"/>
      <c r="N36" s="547"/>
      <c r="O36" s="535"/>
      <c r="P36" s="546" t="s">
        <v>679</v>
      </c>
      <c r="Q36" s="842">
        <f>'経費明細表'!Y54</f>
        <v>6999466</v>
      </c>
      <c r="R36" s="843"/>
      <c r="S36" s="544"/>
    </row>
    <row r="37" spans="1:19" s="222" customFormat="1" ht="23.25" customHeight="1" thickBot="1">
      <c r="A37" s="8"/>
      <c r="B37" s="3"/>
      <c r="C37" s="3"/>
      <c r="D37" s="3"/>
      <c r="G37" s="56"/>
      <c r="H37" s="3"/>
      <c r="I37" s="3"/>
      <c r="J37" s="3"/>
      <c r="K37" s="534"/>
      <c r="L37" s="534"/>
      <c r="M37" s="545"/>
      <c r="N37" s="535"/>
      <c r="O37" s="535"/>
      <c r="P37" s="546" t="s">
        <v>673</v>
      </c>
      <c r="Q37" s="859">
        <f>Q36-R33</f>
        <v>0</v>
      </c>
      <c r="R37" s="860"/>
      <c r="S37" s="544"/>
    </row>
    <row r="38" spans="1:21" s="222" customFormat="1" ht="23.25" customHeight="1">
      <c r="A38" s="8"/>
      <c r="B38" s="3"/>
      <c r="C38" s="3"/>
      <c r="D38" s="3"/>
      <c r="G38" s="56"/>
      <c r="H38" s="3"/>
      <c r="I38" s="3"/>
      <c r="J38" s="3"/>
      <c r="K38" s="3"/>
      <c r="L38" s="3"/>
      <c r="M38" s="251"/>
      <c r="N38" s="8"/>
      <c r="O38" s="8"/>
      <c r="P38" s="8"/>
      <c r="Q38" s="13"/>
      <c r="R38" s="3"/>
      <c r="S38" s="3"/>
      <c r="T38" s="3"/>
      <c r="U38" s="3"/>
    </row>
    <row r="39" ht="13.5">
      <c r="M39" s="13"/>
    </row>
  </sheetData>
  <sheetProtection sheet="1"/>
  <mergeCells count="32">
    <mergeCell ref="R11:S11"/>
    <mergeCell ref="Q37:R37"/>
    <mergeCell ref="Q34:R34"/>
    <mergeCell ref="B31:D31"/>
    <mergeCell ref="K11:L11"/>
    <mergeCell ref="N11:N12"/>
    <mergeCell ref="O11:O12"/>
    <mergeCell ref="B13:D13"/>
    <mergeCell ref="B14:D14"/>
    <mergeCell ref="B18:D18"/>
    <mergeCell ref="A4:E4"/>
    <mergeCell ref="A11:A12"/>
    <mergeCell ref="B11:D11"/>
    <mergeCell ref="B15:D15"/>
    <mergeCell ref="B16:D16"/>
    <mergeCell ref="B17:D17"/>
    <mergeCell ref="B22:D22"/>
    <mergeCell ref="B23:D23"/>
    <mergeCell ref="B24:D24"/>
    <mergeCell ref="B25:D25"/>
    <mergeCell ref="B26:D26"/>
    <mergeCell ref="B19:D19"/>
    <mergeCell ref="Q36:R36"/>
    <mergeCell ref="Q35:R35"/>
    <mergeCell ref="A33:I33"/>
    <mergeCell ref="B29:D29"/>
    <mergeCell ref="B30:D30"/>
    <mergeCell ref="B20:D20"/>
    <mergeCell ref="B21:D21"/>
    <mergeCell ref="B27:D27"/>
    <mergeCell ref="B28:D28"/>
    <mergeCell ref="B32:D32"/>
  </mergeCells>
  <dataValidations count="4">
    <dataValidation allowBlank="1" showInputMessage="1" showErrorMessage="1" imeMode="halfAlpha" sqref="R14:R32 R13:S13 Q13:Q32 I13:M32"/>
    <dataValidation type="list" allowBlank="1" showInputMessage="1" showErrorMessage="1" sqref="P18:P19 P15:P16">
      <formula1>$Q$12:$Q$14</formula1>
    </dataValidation>
    <dataValidation type="list" allowBlank="1" showInputMessage="1" showErrorMessage="1" sqref="P20:P32">
      <formula1>$Q$12:$Q$13</formula1>
    </dataValidation>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1" r:id="rId3"/>
  <legacyDrawing r:id="rId2"/>
</worksheet>
</file>

<file path=xl/worksheets/sheet7.xml><?xml version="1.0" encoding="utf-8"?>
<worksheet xmlns="http://schemas.openxmlformats.org/spreadsheetml/2006/main" xmlns:r="http://schemas.openxmlformats.org/officeDocument/2006/relationships">
  <sheetPr codeName="Sheet29">
    <tabColor rgb="FF92D050"/>
    <pageSetUpPr fitToPage="1"/>
  </sheetPr>
  <dimension ref="A2:S39"/>
  <sheetViews>
    <sheetView showGridLines="0" zoomScaleSheetLayoutView="80" zoomScalePageLayoutView="0" workbookViewId="0" topLeftCell="A1">
      <pane ySplit="3" topLeftCell="A4" activePane="bottomLeft" state="frozen"/>
      <selection pane="topLeft" activeCell="A13" sqref="A13"/>
      <selection pane="bottomLeft" activeCell="A1" sqref="A1"/>
    </sheetView>
  </sheetViews>
  <sheetFormatPr defaultColWidth="9.140625" defaultRowHeight="15"/>
  <cols>
    <col min="1" max="1" width="3.7109375" style="8" customWidth="1"/>
    <col min="2" max="4" width="3.7109375" style="3" customWidth="1"/>
    <col min="5" max="5" width="16.421875" style="235" customWidth="1"/>
    <col min="6" max="6" width="16.140625" style="222" customWidth="1"/>
    <col min="7" max="7" width="9.140625" style="3" customWidth="1"/>
    <col min="8" max="8" width="6.421875" style="8" customWidth="1"/>
    <col min="9" max="10" width="11.57421875" style="3" customWidth="1"/>
    <col min="11" max="13" width="15.140625" style="3" customWidth="1"/>
    <col min="14" max="15" width="3.8515625" style="8" customWidth="1"/>
    <col min="16" max="16" width="9.00390625" style="8" customWidth="1"/>
    <col min="17" max="17" width="15.140625" style="3" customWidth="1"/>
    <col min="18" max="16384" width="9.00390625" style="3" customWidth="1"/>
  </cols>
  <sheetData>
    <row r="1" ht="13.5"/>
    <row r="2" ht="13.5">
      <c r="B2" s="271" t="s">
        <v>656</v>
      </c>
    </row>
    <row r="3" ht="13.5"/>
    <row r="4" spans="1:6" ht="13.5" customHeight="1">
      <c r="A4" s="852" t="s">
        <v>18</v>
      </c>
      <c r="B4" s="852"/>
      <c r="C4" s="852"/>
      <c r="D4" s="852"/>
      <c r="E4" s="852"/>
      <c r="F4" s="8"/>
    </row>
    <row r="5" spans="1:14" ht="13.5" customHeight="1">
      <c r="A5" s="17"/>
      <c r="B5" s="17"/>
      <c r="C5" s="17"/>
      <c r="D5" s="17"/>
      <c r="E5" s="253"/>
      <c r="F5" s="8"/>
      <c r="N5" s="17"/>
    </row>
    <row r="6" spans="1:14" ht="13.5" customHeight="1">
      <c r="A6" s="17"/>
      <c r="B6" s="17"/>
      <c r="C6" s="237" t="s">
        <v>764</v>
      </c>
      <c r="D6" s="17"/>
      <c r="E6" s="253"/>
      <c r="F6" s="238" t="s">
        <v>17</v>
      </c>
      <c r="N6" s="17"/>
    </row>
    <row r="7" spans="1:14" ht="13.5" customHeight="1">
      <c r="A7" s="17"/>
      <c r="B7" s="17"/>
      <c r="C7" s="17"/>
      <c r="D7" s="17"/>
      <c r="E7" s="253"/>
      <c r="F7" s="270" t="s">
        <v>672</v>
      </c>
      <c r="N7" s="17"/>
    </row>
    <row r="8" spans="1:15" ht="13.5" customHeight="1">
      <c r="A8" s="17"/>
      <c r="B8" s="17"/>
      <c r="C8" s="17"/>
      <c r="D8" s="17"/>
      <c r="E8" s="253"/>
      <c r="F8" s="8"/>
      <c r="M8" s="3" t="s">
        <v>20</v>
      </c>
      <c r="N8" s="17"/>
      <c r="O8" s="239"/>
    </row>
    <row r="9" spans="1:14" ht="13.5" customHeight="1">
      <c r="A9" s="17"/>
      <c r="F9" s="8"/>
      <c r="K9" s="4" t="s">
        <v>34</v>
      </c>
      <c r="L9" s="12" t="str">
        <f>IF(OR('基本情報入力（使い方）'!C12="",'基本情報入力（使い方）'!C12=0),"",'基本情報入力（使い方）'!C12)</f>
        <v>Ｂ金属株式会社</v>
      </c>
      <c r="N9" s="17"/>
    </row>
    <row r="10" spans="1:14" ht="13.5" customHeight="1" thickBot="1">
      <c r="A10" s="17"/>
      <c r="F10" s="8"/>
      <c r="N10" s="17"/>
    </row>
    <row r="11" spans="1:17" ht="27" customHeight="1">
      <c r="A11" s="853" t="s">
        <v>2</v>
      </c>
      <c r="B11" s="855" t="s">
        <v>3</v>
      </c>
      <c r="C11" s="855"/>
      <c r="D11" s="856"/>
      <c r="E11" s="254" t="s">
        <v>4</v>
      </c>
      <c r="F11" s="5" t="s">
        <v>5</v>
      </c>
      <c r="G11" s="5" t="s">
        <v>6</v>
      </c>
      <c r="H11" s="225" t="s">
        <v>7</v>
      </c>
      <c r="I11" s="5" t="s">
        <v>0</v>
      </c>
      <c r="J11" s="5" t="s">
        <v>0</v>
      </c>
      <c r="K11" s="855" t="s">
        <v>8</v>
      </c>
      <c r="L11" s="856"/>
      <c r="M11" s="225" t="s">
        <v>9</v>
      </c>
      <c r="N11" s="861" t="s">
        <v>2</v>
      </c>
      <c r="O11" s="863" t="s">
        <v>37</v>
      </c>
      <c r="Q11" s="286" t="s">
        <v>635</v>
      </c>
    </row>
    <row r="12" spans="1:17" ht="42" customHeight="1" thickBot="1">
      <c r="A12" s="854"/>
      <c r="B12" s="242" t="s">
        <v>10</v>
      </c>
      <c r="C12" s="242" t="s">
        <v>11</v>
      </c>
      <c r="D12" s="243" t="s">
        <v>12</v>
      </c>
      <c r="E12" s="255"/>
      <c r="F12" s="245"/>
      <c r="G12" s="223"/>
      <c r="H12" s="6"/>
      <c r="I12" s="223" t="s">
        <v>13</v>
      </c>
      <c r="J12" s="223" t="s">
        <v>24</v>
      </c>
      <c r="K12" s="48" t="s">
        <v>14</v>
      </c>
      <c r="L12" s="6" t="s">
        <v>23</v>
      </c>
      <c r="M12" s="6" t="s">
        <v>15</v>
      </c>
      <c r="N12" s="862"/>
      <c r="O12" s="864"/>
      <c r="Q12" s="266" t="s">
        <v>633</v>
      </c>
    </row>
    <row r="13" spans="1:17" ht="30.75" customHeight="1">
      <c r="A13" s="306">
        <v>3</v>
      </c>
      <c r="B13" s="848">
        <v>42729</v>
      </c>
      <c r="C13" s="849"/>
      <c r="D13" s="849"/>
      <c r="E13" s="211" t="s">
        <v>643</v>
      </c>
      <c r="F13" s="211" t="s">
        <v>644</v>
      </c>
      <c r="G13" s="301">
        <v>1</v>
      </c>
      <c r="H13" s="292" t="s">
        <v>642</v>
      </c>
      <c r="I13" s="14">
        <f aca="true" t="shared" si="0" ref="I13:I32">IF(J13="","",ROUNDDOWN(J13*(1+O13/100),0))</f>
        <v>432000</v>
      </c>
      <c r="J13" s="300">
        <v>400000</v>
      </c>
      <c r="K13" s="14">
        <f>IF(L13="","",ROUNDDOWN(L13*(1+O13/100),0))</f>
        <v>432000</v>
      </c>
      <c r="L13" s="14">
        <f>IF(OR(J13="",G13=""),"",ROUNDDOWN(J13*G13,0))</f>
        <v>400000</v>
      </c>
      <c r="M13" s="15">
        <f>L13</f>
        <v>400000</v>
      </c>
      <c r="N13" s="532">
        <f aca="true" t="shared" si="1" ref="N13:N32">IF(A13="","",A13)</f>
        <v>3</v>
      </c>
      <c r="O13" s="533">
        <v>8</v>
      </c>
      <c r="P13" s="534"/>
      <c r="Q13" s="267">
        <f>IF(M13="","",ROUNDDOWN(M13/G13*2/3,0)*G13)</f>
        <v>266666</v>
      </c>
    </row>
    <row r="14" spans="1:17" ht="30.75" customHeight="1">
      <c r="A14" s="307">
        <v>4</v>
      </c>
      <c r="B14" s="848">
        <v>42704</v>
      </c>
      <c r="C14" s="849"/>
      <c r="D14" s="849"/>
      <c r="E14" s="213" t="s">
        <v>645</v>
      </c>
      <c r="F14" s="213" t="s">
        <v>646</v>
      </c>
      <c r="G14" s="302">
        <v>1</v>
      </c>
      <c r="H14" s="293" t="s">
        <v>642</v>
      </c>
      <c r="I14" s="14">
        <f t="shared" si="0"/>
        <v>432000</v>
      </c>
      <c r="J14" s="300">
        <v>400000</v>
      </c>
      <c r="K14" s="14">
        <f aca="true" t="shared" si="2" ref="K14:K32">IF(L14="","",ROUNDDOWN(L14*(1+O14/100),0))</f>
        <v>432000</v>
      </c>
      <c r="L14" s="14">
        <f aca="true" t="shared" si="3" ref="L14:L32">IF(OR(J14="",G14=""),"",ROUNDDOWN(J14*G14,0))</f>
        <v>400000</v>
      </c>
      <c r="M14" s="15">
        <f aca="true" t="shared" si="4" ref="M14:M32">L14</f>
        <v>400000</v>
      </c>
      <c r="N14" s="532">
        <f t="shared" si="1"/>
        <v>4</v>
      </c>
      <c r="O14" s="533">
        <v>8</v>
      </c>
      <c r="P14" s="535"/>
      <c r="Q14" s="267">
        <f>IF(M14="","",ROUNDDOWN(M14/G14*2/3,0)*G14)</f>
        <v>266666</v>
      </c>
    </row>
    <row r="15" spans="1:17" ht="30.75" customHeight="1">
      <c r="A15" s="306">
        <v>5</v>
      </c>
      <c r="B15" s="848">
        <v>42704</v>
      </c>
      <c r="C15" s="849"/>
      <c r="D15" s="849"/>
      <c r="E15" s="213" t="s">
        <v>645</v>
      </c>
      <c r="F15" s="213" t="s">
        <v>647</v>
      </c>
      <c r="G15" s="302">
        <v>1</v>
      </c>
      <c r="H15" s="293" t="s">
        <v>642</v>
      </c>
      <c r="I15" s="14">
        <f t="shared" si="0"/>
        <v>432000</v>
      </c>
      <c r="J15" s="300">
        <v>400000</v>
      </c>
      <c r="K15" s="14">
        <f t="shared" si="2"/>
        <v>432000</v>
      </c>
      <c r="L15" s="14">
        <f t="shared" si="3"/>
        <v>400000</v>
      </c>
      <c r="M15" s="15">
        <f t="shared" si="4"/>
        <v>400000</v>
      </c>
      <c r="N15" s="532">
        <f t="shared" si="1"/>
        <v>5</v>
      </c>
      <c r="O15" s="533">
        <v>8</v>
      </c>
      <c r="P15" s="536"/>
      <c r="Q15" s="267">
        <f>IF(M15="","",ROUNDDOWN(M15/G15*2/3,0)*G15)</f>
        <v>266666</v>
      </c>
    </row>
    <row r="16" spans="1:17" s="16" customFormat="1" ht="30.75" customHeight="1">
      <c r="A16" s="307"/>
      <c r="B16" s="848"/>
      <c r="C16" s="849"/>
      <c r="D16" s="849"/>
      <c r="E16" s="213"/>
      <c r="F16" s="213"/>
      <c r="G16" s="302"/>
      <c r="H16" s="293"/>
      <c r="I16" s="14">
        <f t="shared" si="0"/>
      </c>
      <c r="J16" s="300"/>
      <c r="K16" s="14">
        <f t="shared" si="2"/>
      </c>
      <c r="L16" s="14">
        <f t="shared" si="3"/>
      </c>
      <c r="M16" s="15">
        <f t="shared" si="4"/>
      </c>
      <c r="N16" s="532">
        <f t="shared" si="1"/>
      </c>
      <c r="O16" s="533">
        <v>8</v>
      </c>
      <c r="P16" s="536"/>
      <c r="Q16" s="267">
        <f>IF(M16="","",ROUNDDOWN(M16/G16*2/3,0)*G16)</f>
      </c>
    </row>
    <row r="17" spans="1:17" ht="30.75" customHeight="1">
      <c r="A17" s="306"/>
      <c r="B17" s="848"/>
      <c r="C17" s="849"/>
      <c r="D17" s="849"/>
      <c r="E17" s="213"/>
      <c r="F17" s="213"/>
      <c r="G17" s="302"/>
      <c r="H17" s="293"/>
      <c r="I17" s="14">
        <f t="shared" si="0"/>
      </c>
      <c r="J17" s="300"/>
      <c r="K17" s="14">
        <f t="shared" si="2"/>
      </c>
      <c r="L17" s="14">
        <f t="shared" si="3"/>
      </c>
      <c r="M17" s="15">
        <f t="shared" si="4"/>
      </c>
      <c r="N17" s="532">
        <f t="shared" si="1"/>
      </c>
      <c r="O17" s="533">
        <v>8</v>
      </c>
      <c r="P17" s="536"/>
      <c r="Q17" s="267">
        <f aca="true" t="shared" si="5" ref="Q17:Q32">IF(M17="","",ROUNDDOWN(M17/G17*2/3,0)*G17)</f>
      </c>
    </row>
    <row r="18" spans="1:17" ht="30.75" customHeight="1">
      <c r="A18" s="307"/>
      <c r="B18" s="848"/>
      <c r="C18" s="849"/>
      <c r="D18" s="849"/>
      <c r="E18" s="213"/>
      <c r="F18" s="213"/>
      <c r="G18" s="302"/>
      <c r="H18" s="293"/>
      <c r="I18" s="14">
        <f t="shared" si="0"/>
      </c>
      <c r="J18" s="300"/>
      <c r="K18" s="14">
        <f t="shared" si="2"/>
      </c>
      <c r="L18" s="14">
        <f t="shared" si="3"/>
      </c>
      <c r="M18" s="15">
        <f t="shared" si="4"/>
      </c>
      <c r="N18" s="532">
        <f t="shared" si="1"/>
      </c>
      <c r="O18" s="533">
        <v>8</v>
      </c>
      <c r="P18" s="536"/>
      <c r="Q18" s="267">
        <f t="shared" si="5"/>
      </c>
    </row>
    <row r="19" spans="1:17" ht="30.75" customHeight="1">
      <c r="A19" s="306"/>
      <c r="B19" s="848"/>
      <c r="C19" s="849"/>
      <c r="D19" s="849"/>
      <c r="E19" s="213"/>
      <c r="F19" s="213"/>
      <c r="G19" s="302"/>
      <c r="H19" s="293"/>
      <c r="I19" s="14">
        <f t="shared" si="0"/>
      </c>
      <c r="J19" s="300"/>
      <c r="K19" s="14">
        <f t="shared" si="2"/>
      </c>
      <c r="L19" s="14">
        <f t="shared" si="3"/>
      </c>
      <c r="M19" s="15">
        <f t="shared" si="4"/>
      </c>
      <c r="N19" s="532">
        <f t="shared" si="1"/>
      </c>
      <c r="O19" s="533">
        <v>8</v>
      </c>
      <c r="P19" s="536"/>
      <c r="Q19" s="267">
        <f t="shared" si="5"/>
      </c>
    </row>
    <row r="20" spans="1:17" s="16" customFormat="1" ht="30.75" customHeight="1">
      <c r="A20" s="307"/>
      <c r="B20" s="848"/>
      <c r="C20" s="849"/>
      <c r="D20" s="849"/>
      <c r="E20" s="213"/>
      <c r="F20" s="213"/>
      <c r="G20" s="302"/>
      <c r="H20" s="293"/>
      <c r="I20" s="14">
        <f t="shared" si="0"/>
      </c>
      <c r="J20" s="300"/>
      <c r="K20" s="14">
        <f t="shared" si="2"/>
      </c>
      <c r="L20" s="14">
        <f t="shared" si="3"/>
      </c>
      <c r="M20" s="15">
        <f t="shared" si="4"/>
      </c>
      <c r="N20" s="532">
        <f t="shared" si="1"/>
      </c>
      <c r="O20" s="533">
        <v>8</v>
      </c>
      <c r="P20" s="538"/>
      <c r="Q20" s="267">
        <f t="shared" si="5"/>
      </c>
    </row>
    <row r="21" spans="1:17" ht="30.75" customHeight="1">
      <c r="A21" s="306"/>
      <c r="B21" s="848"/>
      <c r="C21" s="849"/>
      <c r="D21" s="849"/>
      <c r="E21" s="213"/>
      <c r="F21" s="213"/>
      <c r="G21" s="302"/>
      <c r="H21" s="295"/>
      <c r="I21" s="14">
        <f t="shared" si="0"/>
      </c>
      <c r="J21" s="216"/>
      <c r="K21" s="14">
        <f t="shared" si="2"/>
      </c>
      <c r="L21" s="14">
        <f t="shared" si="3"/>
      </c>
      <c r="M21" s="15">
        <f t="shared" si="4"/>
      </c>
      <c r="N21" s="532">
        <f t="shared" si="1"/>
      </c>
      <c r="O21" s="533">
        <v>8</v>
      </c>
      <c r="P21" s="535"/>
      <c r="Q21" s="267">
        <f t="shared" si="5"/>
      </c>
    </row>
    <row r="22" spans="1:17" ht="30.75" customHeight="1">
      <c r="A22" s="307"/>
      <c r="B22" s="848"/>
      <c r="C22" s="849"/>
      <c r="D22" s="849"/>
      <c r="E22" s="213"/>
      <c r="F22" s="213"/>
      <c r="G22" s="302"/>
      <c r="H22" s="295"/>
      <c r="I22" s="14">
        <f t="shared" si="0"/>
      </c>
      <c r="J22" s="216"/>
      <c r="K22" s="14">
        <f t="shared" si="2"/>
      </c>
      <c r="L22" s="14">
        <f t="shared" si="3"/>
      </c>
      <c r="M22" s="15">
        <f t="shared" si="4"/>
      </c>
      <c r="N22" s="532">
        <f t="shared" si="1"/>
      </c>
      <c r="O22" s="533">
        <v>8</v>
      </c>
      <c r="P22" s="535"/>
      <c r="Q22" s="267">
        <f t="shared" si="5"/>
      </c>
    </row>
    <row r="23" spans="1:17" ht="30.75" customHeight="1">
      <c r="A23" s="306"/>
      <c r="B23" s="848"/>
      <c r="C23" s="849"/>
      <c r="D23" s="849"/>
      <c r="E23" s="213"/>
      <c r="F23" s="213"/>
      <c r="G23" s="302"/>
      <c r="H23" s="295"/>
      <c r="I23" s="14">
        <f t="shared" si="0"/>
      </c>
      <c r="J23" s="216"/>
      <c r="K23" s="14">
        <f t="shared" si="2"/>
      </c>
      <c r="L23" s="14">
        <f t="shared" si="3"/>
      </c>
      <c r="M23" s="15">
        <f t="shared" si="4"/>
      </c>
      <c r="N23" s="532">
        <f t="shared" si="1"/>
      </c>
      <c r="O23" s="533">
        <v>8</v>
      </c>
      <c r="P23" s="535"/>
      <c r="Q23" s="267">
        <f t="shared" si="5"/>
      </c>
    </row>
    <row r="24" spans="1:17" ht="30.75" customHeight="1">
      <c r="A24" s="307"/>
      <c r="B24" s="848"/>
      <c r="C24" s="849"/>
      <c r="D24" s="849"/>
      <c r="E24" s="213"/>
      <c r="F24" s="213"/>
      <c r="G24" s="302"/>
      <c r="H24" s="295"/>
      <c r="I24" s="14">
        <f t="shared" si="0"/>
      </c>
      <c r="J24" s="216"/>
      <c r="K24" s="14">
        <f t="shared" si="2"/>
      </c>
      <c r="L24" s="14">
        <f t="shared" si="3"/>
      </c>
      <c r="M24" s="15">
        <f t="shared" si="4"/>
      </c>
      <c r="N24" s="532">
        <f t="shared" si="1"/>
      </c>
      <c r="O24" s="533">
        <v>8</v>
      </c>
      <c r="P24" s="535"/>
      <c r="Q24" s="267">
        <f t="shared" si="5"/>
      </c>
    </row>
    <row r="25" spans="1:17" ht="30.75" customHeight="1">
      <c r="A25" s="306"/>
      <c r="B25" s="848"/>
      <c r="C25" s="849"/>
      <c r="D25" s="849"/>
      <c r="E25" s="213"/>
      <c r="F25" s="213"/>
      <c r="G25" s="302"/>
      <c r="H25" s="295"/>
      <c r="I25" s="14">
        <f t="shared" si="0"/>
      </c>
      <c r="J25" s="216"/>
      <c r="K25" s="14">
        <f t="shared" si="2"/>
      </c>
      <c r="L25" s="14">
        <f t="shared" si="3"/>
      </c>
      <c r="M25" s="15">
        <f t="shared" si="4"/>
      </c>
      <c r="N25" s="532">
        <f t="shared" si="1"/>
      </c>
      <c r="O25" s="533">
        <v>8</v>
      </c>
      <c r="P25" s="535"/>
      <c r="Q25" s="267">
        <f t="shared" si="5"/>
      </c>
    </row>
    <row r="26" spans="1:17" ht="30.75" customHeight="1">
      <c r="A26" s="307"/>
      <c r="B26" s="848"/>
      <c r="C26" s="849"/>
      <c r="D26" s="849"/>
      <c r="E26" s="214"/>
      <c r="F26" s="213"/>
      <c r="G26" s="302"/>
      <c r="H26" s="295"/>
      <c r="I26" s="14">
        <f t="shared" si="0"/>
      </c>
      <c r="J26" s="216"/>
      <c r="K26" s="14">
        <f t="shared" si="2"/>
      </c>
      <c r="L26" s="14">
        <f t="shared" si="3"/>
      </c>
      <c r="M26" s="15">
        <f t="shared" si="4"/>
      </c>
      <c r="N26" s="532">
        <f t="shared" si="1"/>
      </c>
      <c r="O26" s="533">
        <v>8</v>
      </c>
      <c r="P26" s="535"/>
      <c r="Q26" s="267">
        <f t="shared" si="5"/>
      </c>
    </row>
    <row r="27" spans="1:17" ht="30.75" customHeight="1">
      <c r="A27" s="306"/>
      <c r="B27" s="848"/>
      <c r="C27" s="849"/>
      <c r="D27" s="849"/>
      <c r="E27" s="214"/>
      <c r="F27" s="213"/>
      <c r="G27" s="302"/>
      <c r="H27" s="295"/>
      <c r="I27" s="14">
        <f t="shared" si="0"/>
      </c>
      <c r="J27" s="216"/>
      <c r="K27" s="14">
        <f t="shared" si="2"/>
      </c>
      <c r="L27" s="14">
        <f t="shared" si="3"/>
      </c>
      <c r="M27" s="15">
        <f t="shared" si="4"/>
      </c>
      <c r="N27" s="532">
        <f t="shared" si="1"/>
      </c>
      <c r="O27" s="533">
        <v>8</v>
      </c>
      <c r="P27" s="535"/>
      <c r="Q27" s="267">
        <f t="shared" si="5"/>
      </c>
    </row>
    <row r="28" spans="1:17" ht="30.75" customHeight="1">
      <c r="A28" s="307"/>
      <c r="B28" s="848"/>
      <c r="C28" s="849"/>
      <c r="D28" s="849"/>
      <c r="E28" s="213"/>
      <c r="F28" s="213"/>
      <c r="G28" s="302"/>
      <c r="H28" s="295"/>
      <c r="I28" s="14">
        <f t="shared" si="0"/>
      </c>
      <c r="J28" s="216"/>
      <c r="K28" s="14">
        <f t="shared" si="2"/>
      </c>
      <c r="L28" s="14">
        <f t="shared" si="3"/>
      </c>
      <c r="M28" s="15">
        <f t="shared" si="4"/>
      </c>
      <c r="N28" s="532">
        <f t="shared" si="1"/>
      </c>
      <c r="O28" s="533">
        <v>8</v>
      </c>
      <c r="P28" s="535"/>
      <c r="Q28" s="267">
        <f t="shared" si="5"/>
      </c>
    </row>
    <row r="29" spans="1:17" ht="30.75" customHeight="1">
      <c r="A29" s="306"/>
      <c r="B29" s="848"/>
      <c r="C29" s="849"/>
      <c r="D29" s="849"/>
      <c r="E29" s="213"/>
      <c r="F29" s="213"/>
      <c r="G29" s="302"/>
      <c r="H29" s="295"/>
      <c r="I29" s="14">
        <f t="shared" si="0"/>
      </c>
      <c r="J29" s="216"/>
      <c r="K29" s="14">
        <f t="shared" si="2"/>
      </c>
      <c r="L29" s="14">
        <f t="shared" si="3"/>
      </c>
      <c r="M29" s="15">
        <f t="shared" si="4"/>
      </c>
      <c r="N29" s="532">
        <f t="shared" si="1"/>
      </c>
      <c r="O29" s="533">
        <v>8</v>
      </c>
      <c r="P29" s="535"/>
      <c r="Q29" s="267">
        <f t="shared" si="5"/>
      </c>
    </row>
    <row r="30" spans="1:17" ht="30.75" customHeight="1">
      <c r="A30" s="307"/>
      <c r="B30" s="848"/>
      <c r="C30" s="849"/>
      <c r="D30" s="849"/>
      <c r="E30" s="213"/>
      <c r="F30" s="213"/>
      <c r="G30" s="302"/>
      <c r="H30" s="295"/>
      <c r="I30" s="14">
        <f t="shared" si="0"/>
      </c>
      <c r="J30" s="216"/>
      <c r="K30" s="14">
        <f t="shared" si="2"/>
      </c>
      <c r="L30" s="14">
        <f t="shared" si="3"/>
      </c>
      <c r="M30" s="15">
        <f t="shared" si="4"/>
      </c>
      <c r="N30" s="532">
        <f t="shared" si="1"/>
      </c>
      <c r="O30" s="533">
        <v>8</v>
      </c>
      <c r="P30" s="535"/>
      <c r="Q30" s="267">
        <f t="shared" si="5"/>
      </c>
    </row>
    <row r="31" spans="1:17" ht="30.75" customHeight="1">
      <c r="A31" s="306"/>
      <c r="B31" s="848"/>
      <c r="C31" s="849"/>
      <c r="D31" s="849"/>
      <c r="E31" s="214"/>
      <c r="F31" s="213"/>
      <c r="G31" s="302"/>
      <c r="H31" s="295"/>
      <c r="I31" s="14">
        <f t="shared" si="0"/>
      </c>
      <c r="J31" s="216"/>
      <c r="K31" s="14">
        <f t="shared" si="2"/>
      </c>
      <c r="L31" s="14">
        <f t="shared" si="3"/>
      </c>
      <c r="M31" s="15">
        <f t="shared" si="4"/>
      </c>
      <c r="N31" s="532">
        <f t="shared" si="1"/>
      </c>
      <c r="O31" s="533">
        <v>8</v>
      </c>
      <c r="P31" s="535"/>
      <c r="Q31" s="267">
        <f t="shared" si="5"/>
      </c>
    </row>
    <row r="32" spans="1:17" ht="30.75" customHeight="1" thickBot="1">
      <c r="A32" s="308"/>
      <c r="B32" s="850"/>
      <c r="C32" s="851"/>
      <c r="D32" s="851"/>
      <c r="E32" s="218"/>
      <c r="F32" s="218"/>
      <c r="G32" s="302"/>
      <c r="H32" s="296"/>
      <c r="I32" s="32">
        <f t="shared" si="0"/>
      </c>
      <c r="J32" s="215"/>
      <c r="K32" s="31">
        <f t="shared" si="2"/>
      </c>
      <c r="L32" s="31">
        <f t="shared" si="3"/>
      </c>
      <c r="M32" s="32">
        <f t="shared" si="4"/>
      </c>
      <c r="N32" s="539">
        <f t="shared" si="1"/>
      </c>
      <c r="O32" s="540">
        <v>8</v>
      </c>
      <c r="P32" s="535"/>
      <c r="Q32" s="267">
        <f t="shared" si="5"/>
      </c>
    </row>
    <row r="33" spans="1:17" ht="21" customHeight="1" thickBot="1">
      <c r="A33" s="846" t="s">
        <v>16</v>
      </c>
      <c r="B33" s="847"/>
      <c r="C33" s="847"/>
      <c r="D33" s="847"/>
      <c r="E33" s="847"/>
      <c r="F33" s="847"/>
      <c r="G33" s="847"/>
      <c r="H33" s="847"/>
      <c r="I33" s="847"/>
      <c r="J33" s="287"/>
      <c r="K33" s="47">
        <f>SUM(K13:K32)</f>
        <v>1296000</v>
      </c>
      <c r="L33" s="47">
        <f>SUM(L13:L32)</f>
        <v>1200000</v>
      </c>
      <c r="M33" s="49">
        <f>SUM(M13:M32)</f>
        <v>1200000</v>
      </c>
      <c r="N33" s="541"/>
      <c r="O33" s="535"/>
      <c r="P33" s="542"/>
      <c r="Q33" s="285">
        <f>SUM(Q13:Q32)</f>
        <v>799998</v>
      </c>
    </row>
    <row r="34" spans="1:16" ht="23.25" customHeight="1">
      <c r="A34" s="17"/>
      <c r="F34" s="234"/>
      <c r="N34" s="17"/>
      <c r="P34" s="3"/>
    </row>
    <row r="35" spans="4:19" ht="23.25" customHeight="1">
      <c r="D35" s="240"/>
      <c r="E35" s="390"/>
      <c r="F35" s="234"/>
      <c r="H35" s="3"/>
      <c r="M35" s="251"/>
      <c r="N35" s="17"/>
      <c r="Q35" s="234"/>
      <c r="R35" s="234"/>
      <c r="S35" s="234"/>
    </row>
    <row r="36" spans="1:17" s="234" customFormat="1" ht="23.25" customHeight="1">
      <c r="A36" s="8"/>
      <c r="B36" s="3"/>
      <c r="C36" s="3"/>
      <c r="D36" s="3"/>
      <c r="G36" s="3"/>
      <c r="H36" s="3"/>
      <c r="I36" s="3"/>
      <c r="J36" s="3"/>
      <c r="K36" s="3"/>
      <c r="L36" s="3"/>
      <c r="N36" s="19"/>
      <c r="O36" s="8"/>
      <c r="P36" s="8"/>
      <c r="Q36" s="251"/>
    </row>
    <row r="37" spans="1:17" s="234" customFormat="1" ht="23.25" customHeight="1">
      <c r="A37" s="8"/>
      <c r="B37" s="3"/>
      <c r="C37" s="3"/>
      <c r="D37" s="3"/>
      <c r="G37" s="3"/>
      <c r="H37" s="3"/>
      <c r="I37" s="3"/>
      <c r="J37" s="3"/>
      <c r="K37" s="3"/>
      <c r="L37" s="3"/>
      <c r="M37" s="251"/>
      <c r="N37" s="8"/>
      <c r="O37" s="8"/>
      <c r="P37" s="8"/>
      <c r="Q37" s="251"/>
    </row>
    <row r="38" spans="1:19" s="234" customFormat="1" ht="23.25" customHeight="1">
      <c r="A38" s="8"/>
      <c r="B38" s="3"/>
      <c r="C38" s="3"/>
      <c r="D38" s="3"/>
      <c r="G38" s="3"/>
      <c r="H38" s="3"/>
      <c r="I38" s="3"/>
      <c r="J38" s="3"/>
      <c r="K38" s="3"/>
      <c r="L38" s="3"/>
      <c r="M38" s="251"/>
      <c r="N38" s="8"/>
      <c r="O38" s="8"/>
      <c r="P38" s="8"/>
      <c r="Q38" s="13"/>
      <c r="R38" s="3"/>
      <c r="S38" s="3"/>
    </row>
    <row r="39" ht="13.5">
      <c r="M39" s="13"/>
    </row>
  </sheetData>
  <sheetProtection sheet="1" objects="1" scenarios="1"/>
  <mergeCells count="27">
    <mergeCell ref="A4:E4"/>
    <mergeCell ref="A11:A12"/>
    <mergeCell ref="B11:D11"/>
    <mergeCell ref="K11:L11"/>
    <mergeCell ref="N11:N12"/>
    <mergeCell ref="O11:O12"/>
    <mergeCell ref="B13:D13"/>
    <mergeCell ref="B14:D14"/>
    <mergeCell ref="B15:D15"/>
    <mergeCell ref="B16:D16"/>
    <mergeCell ref="B17:D17"/>
    <mergeCell ref="B18:D18"/>
    <mergeCell ref="B19:D19"/>
    <mergeCell ref="B20:D20"/>
    <mergeCell ref="B21:D21"/>
    <mergeCell ref="B22:D22"/>
    <mergeCell ref="B23:D23"/>
    <mergeCell ref="B24:D24"/>
    <mergeCell ref="B31:D31"/>
    <mergeCell ref="B32:D32"/>
    <mergeCell ref="A33:I33"/>
    <mergeCell ref="B25:D25"/>
    <mergeCell ref="B26:D26"/>
    <mergeCell ref="B27:D27"/>
    <mergeCell ref="B28:D28"/>
    <mergeCell ref="B29:D29"/>
    <mergeCell ref="B30:D30"/>
  </mergeCells>
  <dataValidations count="4">
    <dataValidation allowBlank="1" showInputMessage="1" showErrorMessage="1" imeMode="hiragana" sqref="L9"/>
    <dataValidation type="list" allowBlank="1" showInputMessage="1" showErrorMessage="1" sqref="P20:P32">
      <formula1>$Q$12:$Q$13</formula1>
    </dataValidation>
    <dataValidation type="list" allowBlank="1" showInputMessage="1" showErrorMessage="1" sqref="P18:P19 P15:P16">
      <formula1>$Q$12:$Q$14</formula1>
    </dataValidation>
    <dataValidation allowBlank="1" showInputMessage="1" showErrorMessage="1" imeMode="halfAlpha" sqref="I13:M32 Q13:Q32"/>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3"/>
  <legacyDrawing r:id="rId2"/>
</worksheet>
</file>

<file path=xl/worksheets/sheet8.xml><?xml version="1.0" encoding="utf-8"?>
<worksheet xmlns="http://schemas.openxmlformats.org/spreadsheetml/2006/main" xmlns:r="http://schemas.openxmlformats.org/officeDocument/2006/relationships">
  <sheetPr codeName="Sheet5">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3" sqref="A13"/>
      <selection pane="bottomLeft" activeCell="A1" sqref="A1"/>
    </sheetView>
  </sheetViews>
  <sheetFormatPr defaultColWidth="9.140625" defaultRowHeight="15"/>
  <cols>
    <col min="1" max="4" width="3.7109375" style="3" customWidth="1"/>
    <col min="5" max="5" width="16.421875" style="235" customWidth="1"/>
    <col min="6" max="6" width="16.140625" style="222"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3.57421875" style="8" customWidth="1"/>
    <col min="17" max="17" width="15.140625" style="3" customWidth="1"/>
    <col min="18" max="16384" width="9.00390625" style="3" customWidth="1"/>
  </cols>
  <sheetData>
    <row r="1" spans="1:18" ht="13.5">
      <c r="A1" s="8"/>
      <c r="H1" s="8"/>
      <c r="Q1" s="236"/>
      <c r="R1" s="236"/>
    </row>
    <row r="2" spans="1:18" ht="13.5">
      <c r="A2" s="8"/>
      <c r="B2" s="271" t="s">
        <v>656</v>
      </c>
      <c r="H2" s="8"/>
      <c r="Q2" s="236"/>
      <c r="R2" s="236"/>
    </row>
    <row r="3" spans="1:18" ht="13.5">
      <c r="A3" s="8"/>
      <c r="H3" s="8"/>
      <c r="Q3" s="236"/>
      <c r="R3" s="236"/>
    </row>
    <row r="4" spans="1:6" ht="13.5" customHeight="1">
      <c r="A4" s="852" t="s">
        <v>18</v>
      </c>
      <c r="B4" s="852"/>
      <c r="C4" s="852"/>
      <c r="D4" s="852"/>
      <c r="E4" s="852"/>
      <c r="F4" s="8"/>
    </row>
    <row r="5" spans="1:16" ht="13.5" customHeight="1">
      <c r="A5" s="17"/>
      <c r="B5" s="17"/>
      <c r="C5" s="17"/>
      <c r="D5" s="17"/>
      <c r="E5" s="253"/>
      <c r="F5" s="8"/>
      <c r="N5" s="17"/>
      <c r="P5" s="17"/>
    </row>
    <row r="6" spans="1:16" ht="13.5" customHeight="1">
      <c r="A6" s="17"/>
      <c r="B6" s="17"/>
      <c r="C6" s="237" t="s">
        <v>764</v>
      </c>
      <c r="D6" s="17"/>
      <c r="E6" s="253"/>
      <c r="F6" s="238" t="s">
        <v>17</v>
      </c>
      <c r="N6" s="17"/>
      <c r="P6" s="17"/>
    </row>
    <row r="7" spans="1:16" ht="13.5" customHeight="1">
      <c r="A7" s="17"/>
      <c r="B7" s="17"/>
      <c r="C7" s="17"/>
      <c r="D7" s="17"/>
      <c r="E7" s="253"/>
      <c r="F7" s="270" t="s">
        <v>31</v>
      </c>
      <c r="N7" s="17"/>
      <c r="P7" s="17"/>
    </row>
    <row r="8" spans="1:16" ht="13.5" customHeight="1">
      <c r="A8" s="17"/>
      <c r="B8" s="17"/>
      <c r="C8" s="17"/>
      <c r="D8" s="17"/>
      <c r="E8" s="253"/>
      <c r="F8" s="8"/>
      <c r="M8" s="3" t="s">
        <v>20</v>
      </c>
      <c r="N8" s="17"/>
      <c r="O8" s="239"/>
      <c r="P8" s="17"/>
    </row>
    <row r="9" spans="1:16" ht="13.5" customHeight="1">
      <c r="A9" s="240"/>
      <c r="F9" s="8"/>
      <c r="K9" s="4" t="s">
        <v>34</v>
      </c>
      <c r="L9" s="12" t="str">
        <f>IF(OR('基本情報入力（使い方）'!C12="",'基本情報入力（使い方）'!C12=0),"",'基本情報入力（使い方）'!C12)</f>
        <v>Ｂ金属株式会社</v>
      </c>
      <c r="N9" s="17"/>
      <c r="P9" s="17"/>
    </row>
    <row r="10" spans="1:16" ht="13.5" customHeight="1" thickBot="1">
      <c r="A10" s="240"/>
      <c r="F10" s="8"/>
      <c r="N10" s="17"/>
      <c r="P10" s="17"/>
    </row>
    <row r="11" spans="1:16" ht="27" customHeight="1">
      <c r="A11" s="853" t="s">
        <v>2</v>
      </c>
      <c r="B11" s="855" t="s">
        <v>3</v>
      </c>
      <c r="C11" s="855"/>
      <c r="D11" s="856"/>
      <c r="E11" s="254" t="s">
        <v>4</v>
      </c>
      <c r="F11" s="5" t="s">
        <v>5</v>
      </c>
      <c r="G11" s="5" t="s">
        <v>6</v>
      </c>
      <c r="H11" s="5" t="s">
        <v>7</v>
      </c>
      <c r="I11" s="5" t="s">
        <v>0</v>
      </c>
      <c r="J11" s="5" t="s">
        <v>0</v>
      </c>
      <c r="K11" s="869" t="s">
        <v>8</v>
      </c>
      <c r="L11" s="856"/>
      <c r="M11" s="225" t="s">
        <v>9</v>
      </c>
      <c r="N11" s="861" t="s">
        <v>2</v>
      </c>
      <c r="O11" s="863" t="s">
        <v>37</v>
      </c>
      <c r="P11" s="252"/>
    </row>
    <row r="12" spans="1:16" ht="42" customHeight="1" thickBot="1">
      <c r="A12" s="854"/>
      <c r="B12" s="242" t="s">
        <v>10</v>
      </c>
      <c r="C12" s="242" t="s">
        <v>11</v>
      </c>
      <c r="D12" s="243" t="s">
        <v>12</v>
      </c>
      <c r="E12" s="255"/>
      <c r="F12" s="245"/>
      <c r="G12" s="223"/>
      <c r="H12" s="223"/>
      <c r="I12" s="223" t="s">
        <v>13</v>
      </c>
      <c r="J12" s="223" t="s">
        <v>24</v>
      </c>
      <c r="K12" s="223" t="s">
        <v>14</v>
      </c>
      <c r="L12" s="6" t="s">
        <v>23</v>
      </c>
      <c r="M12" s="6" t="s">
        <v>15</v>
      </c>
      <c r="N12" s="862"/>
      <c r="O12" s="864"/>
      <c r="P12" s="252"/>
    </row>
    <row r="13" spans="1:16" ht="30.75" customHeight="1">
      <c r="A13" s="20">
        <v>1</v>
      </c>
      <c r="B13" s="865">
        <v>42689</v>
      </c>
      <c r="C13" s="866"/>
      <c r="D13" s="866"/>
      <c r="E13" s="211" t="s">
        <v>648</v>
      </c>
      <c r="F13" s="212" t="s">
        <v>649</v>
      </c>
      <c r="G13" s="303">
        <v>21</v>
      </c>
      <c r="H13" s="294" t="s">
        <v>650</v>
      </c>
      <c r="I13" s="14">
        <f>IF(J13="","",ROUNDDOWN(J13*(1+O13/100),0))</f>
        <v>54000</v>
      </c>
      <c r="J13" s="298">
        <v>50000</v>
      </c>
      <c r="K13" s="14">
        <f>IF(L13="","",ROUNDDOWN(L13*(1+O13/100),0))</f>
        <v>1134000</v>
      </c>
      <c r="L13" s="14">
        <f>IF(OR(J13="",G13=""),"",ROUNDDOWN(J13*G13,0))</f>
        <v>1050000</v>
      </c>
      <c r="M13" s="50">
        <f>L13-149200</f>
        <v>900800</v>
      </c>
      <c r="N13" s="548">
        <v>1</v>
      </c>
      <c r="O13" s="549">
        <v>8</v>
      </c>
      <c r="P13" s="3"/>
    </row>
    <row r="14" spans="1:16" ht="30.75" customHeight="1">
      <c r="A14" s="21">
        <v>2</v>
      </c>
      <c r="B14" s="848">
        <v>42729</v>
      </c>
      <c r="C14" s="849"/>
      <c r="D14" s="849"/>
      <c r="E14" s="247" t="s">
        <v>742</v>
      </c>
      <c r="F14" s="213" t="s">
        <v>743</v>
      </c>
      <c r="G14" s="269">
        <v>1</v>
      </c>
      <c r="H14" s="295" t="s">
        <v>744</v>
      </c>
      <c r="I14" s="14">
        <f aca="true" t="shared" si="0" ref="I14:I32">IF(J14="","",ROUNDDOWN(J14*(1+O14/100),0))</f>
        <v>864000</v>
      </c>
      <c r="J14" s="216">
        <v>800000</v>
      </c>
      <c r="K14" s="14">
        <f aca="true" t="shared" si="1" ref="K14:K32">IF(L14="","",ROUNDDOWN(L14*(1+O14/100),0))</f>
        <v>864000</v>
      </c>
      <c r="L14" s="14">
        <f aca="true" t="shared" si="2" ref="L14:L32">IF(OR(J14="",G14=""),"",ROUNDDOWN(J14*G14,0))</f>
        <v>800000</v>
      </c>
      <c r="M14" s="50">
        <f aca="true" t="shared" si="3" ref="M14:M32">L14</f>
        <v>800000</v>
      </c>
      <c r="N14" s="550">
        <v>2</v>
      </c>
      <c r="O14" s="549">
        <v>8</v>
      </c>
      <c r="P14" s="252"/>
    </row>
    <row r="15" spans="1:16" ht="30.75" customHeight="1">
      <c r="A15" s="20">
        <v>3</v>
      </c>
      <c r="B15" s="848"/>
      <c r="C15" s="849"/>
      <c r="D15" s="849"/>
      <c r="E15" s="247"/>
      <c r="F15" s="213"/>
      <c r="G15" s="269"/>
      <c r="H15" s="295"/>
      <c r="I15" s="14">
        <f t="shared" si="0"/>
      </c>
      <c r="J15" s="216"/>
      <c r="K15" s="14">
        <f t="shared" si="1"/>
      </c>
      <c r="L15" s="14">
        <f t="shared" si="2"/>
      </c>
      <c r="M15" s="50">
        <f t="shared" si="3"/>
      </c>
      <c r="N15" s="548">
        <v>3</v>
      </c>
      <c r="O15" s="549">
        <v>8</v>
      </c>
      <c r="P15" s="252"/>
    </row>
    <row r="16" spans="1:16" s="16" customFormat="1" ht="30.75" customHeight="1">
      <c r="A16" s="258">
        <v>4</v>
      </c>
      <c r="B16" s="848"/>
      <c r="C16" s="849"/>
      <c r="D16" s="849"/>
      <c r="E16" s="247"/>
      <c r="F16" s="213"/>
      <c r="G16" s="269"/>
      <c r="H16" s="295"/>
      <c r="I16" s="14">
        <f t="shared" si="0"/>
      </c>
      <c r="J16" s="216"/>
      <c r="K16" s="14">
        <f t="shared" si="1"/>
      </c>
      <c r="L16" s="14">
        <f t="shared" si="2"/>
      </c>
      <c r="M16" s="50">
        <f t="shared" si="3"/>
      </c>
      <c r="N16" s="551">
        <v>4</v>
      </c>
      <c r="O16" s="549">
        <v>8</v>
      </c>
      <c r="P16" s="256"/>
    </row>
    <row r="17" spans="1:16" s="16" customFormat="1" ht="30.75" customHeight="1">
      <c r="A17" s="259">
        <v>5</v>
      </c>
      <c r="B17" s="848"/>
      <c r="C17" s="849"/>
      <c r="D17" s="849"/>
      <c r="E17" s="247"/>
      <c r="F17" s="213"/>
      <c r="G17" s="269"/>
      <c r="H17" s="295"/>
      <c r="I17" s="14">
        <f t="shared" si="0"/>
      </c>
      <c r="J17" s="216"/>
      <c r="K17" s="14">
        <f t="shared" si="1"/>
      </c>
      <c r="L17" s="14">
        <f>IF(OR(J17="",G17=""),"",ROUNDDOWN(J17*G17,0))</f>
      </c>
      <c r="M17" s="50">
        <f t="shared" si="3"/>
      </c>
      <c r="N17" s="552">
        <v>5</v>
      </c>
      <c r="O17" s="549">
        <v>8</v>
      </c>
      <c r="P17" s="256"/>
    </row>
    <row r="18" spans="1:16" ht="30.75" customHeight="1">
      <c r="A18" s="21">
        <v>6</v>
      </c>
      <c r="B18" s="848"/>
      <c r="C18" s="849"/>
      <c r="D18" s="849"/>
      <c r="E18" s="247"/>
      <c r="F18" s="213"/>
      <c r="G18" s="269"/>
      <c r="H18" s="295"/>
      <c r="I18" s="14">
        <f t="shared" si="0"/>
      </c>
      <c r="J18" s="216"/>
      <c r="K18" s="14">
        <f t="shared" si="1"/>
      </c>
      <c r="L18" s="14">
        <f t="shared" si="2"/>
      </c>
      <c r="M18" s="50">
        <f t="shared" si="3"/>
      </c>
      <c r="N18" s="550">
        <v>6</v>
      </c>
      <c r="O18" s="549">
        <v>8</v>
      </c>
      <c r="P18" s="252"/>
    </row>
    <row r="19" spans="1:16" ht="30.75" customHeight="1">
      <c r="A19" s="20">
        <v>7</v>
      </c>
      <c r="B19" s="848"/>
      <c r="C19" s="849"/>
      <c r="D19" s="849"/>
      <c r="E19" s="247"/>
      <c r="F19" s="248"/>
      <c r="G19" s="269"/>
      <c r="H19" s="295"/>
      <c r="I19" s="14">
        <f t="shared" si="0"/>
      </c>
      <c r="J19" s="216"/>
      <c r="K19" s="14">
        <f t="shared" si="1"/>
      </c>
      <c r="L19" s="14">
        <f t="shared" si="2"/>
      </c>
      <c r="M19" s="50">
        <f t="shared" si="3"/>
      </c>
      <c r="N19" s="548">
        <v>7</v>
      </c>
      <c r="O19" s="549">
        <v>8</v>
      </c>
      <c r="P19" s="252"/>
    </row>
    <row r="20" spans="1:16" ht="30.75" customHeight="1">
      <c r="A20" s="21">
        <v>8</v>
      </c>
      <c r="B20" s="848"/>
      <c r="C20" s="849"/>
      <c r="D20" s="849"/>
      <c r="E20" s="247"/>
      <c r="F20" s="213"/>
      <c r="G20" s="269"/>
      <c r="H20" s="295"/>
      <c r="I20" s="14">
        <f t="shared" si="0"/>
      </c>
      <c r="J20" s="216"/>
      <c r="K20" s="14">
        <f t="shared" si="1"/>
      </c>
      <c r="L20" s="14">
        <f t="shared" si="2"/>
      </c>
      <c r="M20" s="50">
        <f t="shared" si="3"/>
      </c>
      <c r="N20" s="550">
        <v>8</v>
      </c>
      <c r="O20" s="549">
        <v>8</v>
      </c>
      <c r="P20" s="252"/>
    </row>
    <row r="21" spans="1:16" ht="30.75" customHeight="1">
      <c r="A21" s="20">
        <v>9</v>
      </c>
      <c r="B21" s="848"/>
      <c r="C21" s="849"/>
      <c r="D21" s="849"/>
      <c r="E21" s="247"/>
      <c r="F21" s="213"/>
      <c r="G21" s="269"/>
      <c r="H21" s="295"/>
      <c r="I21" s="14">
        <f t="shared" si="0"/>
      </c>
      <c r="J21" s="216"/>
      <c r="K21" s="14">
        <f t="shared" si="1"/>
      </c>
      <c r="L21" s="14">
        <f t="shared" si="2"/>
      </c>
      <c r="M21" s="50">
        <f t="shared" si="3"/>
      </c>
      <c r="N21" s="548">
        <v>9</v>
      </c>
      <c r="O21" s="549">
        <v>8</v>
      </c>
      <c r="P21" s="252"/>
    </row>
    <row r="22" spans="1:16" ht="30.75" customHeight="1">
      <c r="A22" s="21">
        <v>10</v>
      </c>
      <c r="B22" s="848"/>
      <c r="C22" s="849"/>
      <c r="D22" s="849"/>
      <c r="E22" s="247"/>
      <c r="F22" s="213"/>
      <c r="G22" s="269"/>
      <c r="H22" s="295"/>
      <c r="I22" s="14">
        <f t="shared" si="0"/>
      </c>
      <c r="J22" s="216"/>
      <c r="K22" s="14">
        <f t="shared" si="1"/>
      </c>
      <c r="L22" s="14">
        <f t="shared" si="2"/>
      </c>
      <c r="M22" s="50">
        <f t="shared" si="3"/>
      </c>
      <c r="N22" s="550">
        <v>10</v>
      </c>
      <c r="O22" s="549">
        <v>8</v>
      </c>
      <c r="P22" s="252"/>
    </row>
    <row r="23" spans="1:16" ht="30.75" customHeight="1">
      <c r="A23" s="20">
        <v>11</v>
      </c>
      <c r="B23" s="848"/>
      <c r="C23" s="849"/>
      <c r="D23" s="849"/>
      <c r="E23" s="247"/>
      <c r="F23" s="213"/>
      <c r="G23" s="269"/>
      <c r="H23" s="295"/>
      <c r="I23" s="14">
        <f t="shared" si="0"/>
      </c>
      <c r="J23" s="216"/>
      <c r="K23" s="14">
        <f t="shared" si="1"/>
      </c>
      <c r="L23" s="14">
        <f t="shared" si="2"/>
      </c>
      <c r="M23" s="50">
        <f t="shared" si="3"/>
      </c>
      <c r="N23" s="548">
        <v>11</v>
      </c>
      <c r="O23" s="549">
        <v>8</v>
      </c>
      <c r="P23" s="252"/>
    </row>
    <row r="24" spans="1:16" ht="30.75" customHeight="1">
      <c r="A24" s="21">
        <v>12</v>
      </c>
      <c r="B24" s="848"/>
      <c r="C24" s="849"/>
      <c r="D24" s="849"/>
      <c r="E24" s="247"/>
      <c r="F24" s="213"/>
      <c r="G24" s="269"/>
      <c r="H24" s="295"/>
      <c r="I24" s="14">
        <f t="shared" si="0"/>
      </c>
      <c r="J24" s="216"/>
      <c r="K24" s="14">
        <f t="shared" si="1"/>
      </c>
      <c r="L24" s="14">
        <f t="shared" si="2"/>
      </c>
      <c r="M24" s="50">
        <f t="shared" si="3"/>
      </c>
      <c r="N24" s="550">
        <v>12</v>
      </c>
      <c r="O24" s="549">
        <v>8</v>
      </c>
      <c r="P24" s="252"/>
    </row>
    <row r="25" spans="1:16" ht="30.75" customHeight="1">
      <c r="A25" s="20">
        <v>13</v>
      </c>
      <c r="B25" s="848"/>
      <c r="C25" s="849"/>
      <c r="D25" s="849"/>
      <c r="E25" s="247"/>
      <c r="F25" s="213"/>
      <c r="G25" s="269"/>
      <c r="H25" s="295"/>
      <c r="I25" s="14">
        <f t="shared" si="0"/>
      </c>
      <c r="J25" s="216"/>
      <c r="K25" s="14">
        <f t="shared" si="1"/>
      </c>
      <c r="L25" s="14">
        <f t="shared" si="2"/>
      </c>
      <c r="M25" s="50">
        <f t="shared" si="3"/>
      </c>
      <c r="N25" s="548">
        <v>13</v>
      </c>
      <c r="O25" s="549">
        <v>8</v>
      </c>
      <c r="P25" s="252"/>
    </row>
    <row r="26" spans="1:16" ht="30.75" customHeight="1">
      <c r="A26" s="21">
        <v>14</v>
      </c>
      <c r="B26" s="848"/>
      <c r="C26" s="849"/>
      <c r="D26" s="849"/>
      <c r="E26" s="257"/>
      <c r="F26" s="213"/>
      <c r="G26" s="269"/>
      <c r="H26" s="295"/>
      <c r="I26" s="14">
        <f t="shared" si="0"/>
      </c>
      <c r="J26" s="216"/>
      <c r="K26" s="14">
        <f t="shared" si="1"/>
      </c>
      <c r="L26" s="14">
        <f t="shared" si="2"/>
      </c>
      <c r="M26" s="50">
        <f t="shared" si="3"/>
      </c>
      <c r="N26" s="550">
        <v>14</v>
      </c>
      <c r="O26" s="549">
        <v>8</v>
      </c>
      <c r="P26" s="252"/>
    </row>
    <row r="27" spans="1:16" ht="30.75" customHeight="1">
      <c r="A27" s="20">
        <v>15</v>
      </c>
      <c r="B27" s="848"/>
      <c r="C27" s="849"/>
      <c r="D27" s="849"/>
      <c r="E27" s="257"/>
      <c r="F27" s="213"/>
      <c r="G27" s="269"/>
      <c r="H27" s="295"/>
      <c r="I27" s="14">
        <f t="shared" si="0"/>
      </c>
      <c r="J27" s="216"/>
      <c r="K27" s="14">
        <f t="shared" si="1"/>
      </c>
      <c r="L27" s="14">
        <f t="shared" si="2"/>
      </c>
      <c r="M27" s="50">
        <f t="shared" si="3"/>
      </c>
      <c r="N27" s="548">
        <v>15</v>
      </c>
      <c r="O27" s="549">
        <v>8</v>
      </c>
      <c r="P27" s="252"/>
    </row>
    <row r="28" spans="1:16" ht="30.75" customHeight="1">
      <c r="A28" s="21">
        <v>16</v>
      </c>
      <c r="B28" s="848"/>
      <c r="C28" s="849"/>
      <c r="D28" s="849"/>
      <c r="E28" s="247"/>
      <c r="F28" s="213"/>
      <c r="G28" s="269"/>
      <c r="H28" s="295"/>
      <c r="I28" s="14">
        <f t="shared" si="0"/>
      </c>
      <c r="J28" s="216"/>
      <c r="K28" s="14">
        <f t="shared" si="1"/>
      </c>
      <c r="L28" s="14">
        <f t="shared" si="2"/>
      </c>
      <c r="M28" s="50">
        <f t="shared" si="3"/>
      </c>
      <c r="N28" s="550">
        <v>16</v>
      </c>
      <c r="O28" s="549">
        <v>8</v>
      </c>
      <c r="P28" s="252"/>
    </row>
    <row r="29" spans="1:16" ht="30.75" customHeight="1">
      <c r="A29" s="20">
        <v>17</v>
      </c>
      <c r="B29" s="848"/>
      <c r="C29" s="849"/>
      <c r="D29" s="849"/>
      <c r="E29" s="247"/>
      <c r="F29" s="213"/>
      <c r="G29" s="269"/>
      <c r="H29" s="295"/>
      <c r="I29" s="14">
        <f t="shared" si="0"/>
      </c>
      <c r="J29" s="216"/>
      <c r="K29" s="14">
        <f t="shared" si="1"/>
      </c>
      <c r="L29" s="14">
        <f t="shared" si="2"/>
      </c>
      <c r="M29" s="50">
        <f t="shared" si="3"/>
      </c>
      <c r="N29" s="548">
        <v>17</v>
      </c>
      <c r="O29" s="549">
        <v>8</v>
      </c>
      <c r="P29" s="252"/>
    </row>
    <row r="30" spans="1:16" ht="30.75" customHeight="1">
      <c r="A30" s="21">
        <v>18</v>
      </c>
      <c r="B30" s="848"/>
      <c r="C30" s="849"/>
      <c r="D30" s="849"/>
      <c r="E30" s="247"/>
      <c r="F30" s="213"/>
      <c r="G30" s="269"/>
      <c r="H30" s="295"/>
      <c r="I30" s="14">
        <f t="shared" si="0"/>
      </c>
      <c r="J30" s="216"/>
      <c r="K30" s="14">
        <f t="shared" si="1"/>
      </c>
      <c r="L30" s="14">
        <f t="shared" si="2"/>
      </c>
      <c r="M30" s="50">
        <f t="shared" si="3"/>
      </c>
      <c r="N30" s="550">
        <v>18</v>
      </c>
      <c r="O30" s="549">
        <v>8</v>
      </c>
      <c r="P30" s="252"/>
    </row>
    <row r="31" spans="1:16" ht="30.75" customHeight="1">
      <c r="A31" s="20">
        <v>19</v>
      </c>
      <c r="B31" s="848"/>
      <c r="C31" s="849"/>
      <c r="D31" s="849"/>
      <c r="E31" s="257"/>
      <c r="F31" s="213"/>
      <c r="G31" s="269"/>
      <c r="H31" s="295"/>
      <c r="I31" s="14">
        <f t="shared" si="0"/>
      </c>
      <c r="J31" s="216"/>
      <c r="K31" s="14">
        <f t="shared" si="1"/>
      </c>
      <c r="L31" s="14">
        <f t="shared" si="2"/>
      </c>
      <c r="M31" s="50">
        <f t="shared" si="3"/>
      </c>
      <c r="N31" s="548">
        <v>19</v>
      </c>
      <c r="O31" s="549">
        <v>8</v>
      </c>
      <c r="P31" s="252"/>
    </row>
    <row r="32" spans="1:16" ht="30.75" customHeight="1" thickBot="1">
      <c r="A32" s="30">
        <v>20</v>
      </c>
      <c r="B32" s="850"/>
      <c r="C32" s="851"/>
      <c r="D32" s="851"/>
      <c r="E32" s="250"/>
      <c r="F32" s="218"/>
      <c r="G32" s="269"/>
      <c r="H32" s="297"/>
      <c r="I32" s="31">
        <f t="shared" si="0"/>
      </c>
      <c r="J32" s="217"/>
      <c r="K32" s="31">
        <f t="shared" si="1"/>
      </c>
      <c r="L32" s="31">
        <f t="shared" si="2"/>
      </c>
      <c r="M32" s="51">
        <f t="shared" si="3"/>
      </c>
      <c r="N32" s="553">
        <v>20</v>
      </c>
      <c r="O32" s="554">
        <v>8</v>
      </c>
      <c r="P32" s="252"/>
    </row>
    <row r="33" spans="1:16" ht="21" customHeight="1" thickBot="1">
      <c r="A33" s="846" t="s">
        <v>16</v>
      </c>
      <c r="B33" s="847"/>
      <c r="C33" s="847"/>
      <c r="D33" s="847"/>
      <c r="E33" s="847"/>
      <c r="F33" s="847"/>
      <c r="G33" s="847"/>
      <c r="H33" s="847"/>
      <c r="I33" s="847"/>
      <c r="J33" s="224"/>
      <c r="K33" s="33">
        <f>SUM(K13:K32)</f>
        <v>1998000</v>
      </c>
      <c r="L33" s="47">
        <f>SUM(L13:L32)</f>
        <v>1850000</v>
      </c>
      <c r="M33" s="49">
        <f>SUM(M13:M32)</f>
        <v>1700800</v>
      </c>
      <c r="N33" s="541"/>
      <c r="O33" s="535"/>
      <c r="P33" s="18"/>
    </row>
    <row r="34" spans="1:16" ht="23.25" customHeight="1">
      <c r="A34" s="240"/>
      <c r="N34" s="17"/>
      <c r="P34" s="17"/>
    </row>
    <row r="35" spans="4:16" ht="23.25" customHeight="1">
      <c r="D35" s="240"/>
      <c r="E35" s="390"/>
      <c r="N35" s="17"/>
      <c r="P35" s="17"/>
    </row>
    <row r="36" spans="1:16" s="222" customFormat="1" ht="23.25" customHeight="1">
      <c r="A36" s="3"/>
      <c r="B36" s="3"/>
      <c r="C36" s="3"/>
      <c r="D36" s="3"/>
      <c r="E36" s="234"/>
      <c r="G36" s="3"/>
      <c r="H36" s="3"/>
      <c r="I36" s="3"/>
      <c r="J36" s="3"/>
      <c r="K36" s="3"/>
      <c r="L36" s="3"/>
      <c r="M36" s="3"/>
      <c r="N36" s="19"/>
      <c r="O36" s="8"/>
      <c r="P36" s="19"/>
    </row>
    <row r="37" spans="1:16" s="222" customFormat="1" ht="23.25" customHeight="1">
      <c r="A37" s="3"/>
      <c r="B37" s="3"/>
      <c r="C37" s="3"/>
      <c r="D37" s="3"/>
      <c r="E37" s="234"/>
      <c r="G37" s="3"/>
      <c r="H37" s="3"/>
      <c r="I37" s="3"/>
      <c r="J37" s="3"/>
      <c r="K37" s="3"/>
      <c r="L37" s="3"/>
      <c r="M37" s="3"/>
      <c r="N37" s="8"/>
      <c r="O37" s="8"/>
      <c r="P37" s="8"/>
    </row>
    <row r="38" spans="1:16" s="222" customFormat="1" ht="23.25" customHeight="1">
      <c r="A38" s="3"/>
      <c r="B38" s="3"/>
      <c r="C38" s="3"/>
      <c r="D38" s="3"/>
      <c r="E38" s="234"/>
      <c r="G38" s="3"/>
      <c r="H38" s="3"/>
      <c r="I38" s="3"/>
      <c r="J38" s="3"/>
      <c r="K38" s="3"/>
      <c r="L38" s="3"/>
      <c r="M38" s="3"/>
      <c r="N38" s="8"/>
      <c r="O38" s="8"/>
      <c r="P38" s="8"/>
    </row>
  </sheetData>
  <sheetProtection sheet="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9">
    <tabColor rgb="FF92D050"/>
    <pageSetUpPr fitToPage="1"/>
  </sheetPr>
  <dimension ref="A1:R38"/>
  <sheetViews>
    <sheetView showGridLines="0" zoomScaleSheetLayoutView="80" zoomScalePageLayoutView="0" workbookViewId="0" topLeftCell="A1">
      <pane ySplit="3" topLeftCell="A4" activePane="bottomLeft" state="frozen"/>
      <selection pane="topLeft" activeCell="A13" sqref="A13"/>
      <selection pane="bottomLeft" activeCell="A1" sqref="A1"/>
    </sheetView>
  </sheetViews>
  <sheetFormatPr defaultColWidth="9.140625" defaultRowHeight="15"/>
  <cols>
    <col min="1" max="4" width="3.7109375" style="3" customWidth="1"/>
    <col min="5" max="5" width="16.421875" style="222" customWidth="1"/>
    <col min="6" max="6" width="16.140625" style="222" customWidth="1"/>
    <col min="7" max="7" width="9.140625" style="3" customWidth="1"/>
    <col min="8" max="8" width="6.421875" style="3" customWidth="1"/>
    <col min="9" max="10" width="11.57421875" style="3" customWidth="1"/>
    <col min="11" max="13" width="15.140625" style="3" customWidth="1"/>
    <col min="14" max="15" width="3.8515625" style="8" customWidth="1"/>
    <col min="16" max="16" width="9.00390625" style="3" customWidth="1"/>
    <col min="17" max="17" width="15.140625" style="3" customWidth="1"/>
    <col min="18" max="16384" width="9.00390625" style="3" customWidth="1"/>
  </cols>
  <sheetData>
    <row r="1" spans="1:18" ht="13.5">
      <c r="A1" s="8"/>
      <c r="E1" s="235"/>
      <c r="H1" s="8"/>
      <c r="P1" s="8"/>
      <c r="Q1" s="236"/>
      <c r="R1" s="236"/>
    </row>
    <row r="2" spans="1:18" ht="13.5">
      <c r="A2" s="8"/>
      <c r="B2" s="271" t="s">
        <v>656</v>
      </c>
      <c r="E2" s="235"/>
      <c r="H2" s="8"/>
      <c r="P2" s="8"/>
      <c r="Q2" s="236"/>
      <c r="R2" s="236"/>
    </row>
    <row r="3" spans="1:18" ht="13.5">
      <c r="A3" s="8"/>
      <c r="E3" s="235"/>
      <c r="H3" s="8"/>
      <c r="P3" s="8"/>
      <c r="Q3" s="236"/>
      <c r="R3" s="236"/>
    </row>
    <row r="4" spans="1:6" ht="13.5" customHeight="1">
      <c r="A4" s="852" t="s">
        <v>18</v>
      </c>
      <c r="B4" s="852"/>
      <c r="C4" s="852"/>
      <c r="D4" s="852"/>
      <c r="E4" s="852"/>
      <c r="F4" s="8"/>
    </row>
    <row r="5" spans="1:14" ht="13.5" customHeight="1">
      <c r="A5" s="17"/>
      <c r="B5" s="17"/>
      <c r="C5" s="17"/>
      <c r="D5" s="17"/>
      <c r="E5" s="237"/>
      <c r="F5" s="8"/>
      <c r="N5" s="17"/>
    </row>
    <row r="6" spans="1:14" ht="13.5" customHeight="1">
      <c r="A6" s="17"/>
      <c r="B6" s="17"/>
      <c r="C6" s="237" t="s">
        <v>764</v>
      </c>
      <c r="D6" s="17"/>
      <c r="E6" s="237"/>
      <c r="F6" s="238" t="s">
        <v>17</v>
      </c>
      <c r="N6" s="17"/>
    </row>
    <row r="7" spans="1:14" ht="13.5" customHeight="1">
      <c r="A7" s="17"/>
      <c r="B7" s="17"/>
      <c r="C7" s="17"/>
      <c r="D7" s="17"/>
      <c r="E7" s="237"/>
      <c r="F7" s="270" t="s">
        <v>32</v>
      </c>
      <c r="N7" s="17"/>
    </row>
    <row r="8" spans="1:15" ht="13.5" customHeight="1">
      <c r="A8" s="17"/>
      <c r="B8" s="17"/>
      <c r="C8" s="17"/>
      <c r="D8" s="17"/>
      <c r="E8" s="237"/>
      <c r="F8" s="8"/>
      <c r="M8" s="3" t="s">
        <v>20</v>
      </c>
      <c r="N8" s="17"/>
      <c r="O8" s="239"/>
    </row>
    <row r="9" spans="1:14" ht="13.5" customHeight="1">
      <c r="A9" s="240"/>
      <c r="F9" s="8"/>
      <c r="K9" s="4" t="s">
        <v>34</v>
      </c>
      <c r="L9" s="12" t="str">
        <f>IF(OR('基本情報入力（使い方）'!C12="",'基本情報入力（使い方）'!C12=0),"",'基本情報入力（使い方）'!C12)</f>
        <v>Ｂ金属株式会社</v>
      </c>
      <c r="M9" s="241"/>
      <c r="N9" s="17"/>
    </row>
    <row r="10" spans="1:14" ht="13.5" customHeight="1" thickBot="1">
      <c r="A10" s="240"/>
      <c r="F10" s="8"/>
      <c r="N10" s="17"/>
    </row>
    <row r="11" spans="1:15" ht="27" customHeight="1">
      <c r="A11" s="853" t="s">
        <v>2</v>
      </c>
      <c r="B11" s="855" t="s">
        <v>3</v>
      </c>
      <c r="C11" s="855"/>
      <c r="D11" s="856"/>
      <c r="E11" s="5" t="s">
        <v>4</v>
      </c>
      <c r="F11" s="5" t="s">
        <v>5</v>
      </c>
      <c r="G11" s="5" t="s">
        <v>6</v>
      </c>
      <c r="H11" s="5" t="s">
        <v>7</v>
      </c>
      <c r="I11" s="5" t="s">
        <v>0</v>
      </c>
      <c r="J11" s="5" t="s">
        <v>0</v>
      </c>
      <c r="K11" s="869" t="s">
        <v>8</v>
      </c>
      <c r="L11" s="856"/>
      <c r="M11" s="5" t="s">
        <v>9</v>
      </c>
      <c r="N11" s="861" t="s">
        <v>2</v>
      </c>
      <c r="O11" s="863" t="s">
        <v>37</v>
      </c>
    </row>
    <row r="12" spans="1:15" ht="42" customHeight="1" thickBot="1">
      <c r="A12" s="854"/>
      <c r="B12" s="242" t="s">
        <v>10</v>
      </c>
      <c r="C12" s="242" t="s">
        <v>11</v>
      </c>
      <c r="D12" s="243" t="s">
        <v>12</v>
      </c>
      <c r="E12" s="244"/>
      <c r="F12" s="245"/>
      <c r="G12" s="223"/>
      <c r="H12" s="223"/>
      <c r="I12" s="223" t="s">
        <v>13</v>
      </c>
      <c r="J12" s="223" t="s">
        <v>24</v>
      </c>
      <c r="K12" s="223" t="s">
        <v>14</v>
      </c>
      <c r="L12" s="6" t="s">
        <v>23</v>
      </c>
      <c r="M12" s="223" t="s">
        <v>15</v>
      </c>
      <c r="N12" s="862"/>
      <c r="O12" s="864"/>
    </row>
    <row r="13" spans="1:15" ht="30.75" customHeight="1">
      <c r="A13" s="20">
        <v>1</v>
      </c>
      <c r="B13" s="865">
        <v>42704</v>
      </c>
      <c r="C13" s="866"/>
      <c r="D13" s="866"/>
      <c r="E13" s="246" t="s">
        <v>651</v>
      </c>
      <c r="F13" s="212" t="s">
        <v>652</v>
      </c>
      <c r="G13" s="303">
        <v>150</v>
      </c>
      <c r="H13" s="294" t="s">
        <v>653</v>
      </c>
      <c r="I13" s="14">
        <f>IF(J13="","",ROUNDDOWN(J13*(1+O13/100),0))</f>
        <v>6372</v>
      </c>
      <c r="J13" s="299">
        <v>5900</v>
      </c>
      <c r="K13" s="14">
        <f>IF(L13="","",ROUNDDOWN(L13*(1+O13/100),0))</f>
        <v>955800</v>
      </c>
      <c r="L13" s="14">
        <f>IF(OR(J13="",G13=""),"",ROUNDDOWN(J13*G13,0))</f>
        <v>885000</v>
      </c>
      <c r="M13" s="15">
        <f aca="true" t="shared" si="0" ref="M13:M32">L13</f>
        <v>885000</v>
      </c>
      <c r="N13" s="555">
        <v>1</v>
      </c>
      <c r="O13" s="533">
        <v>8</v>
      </c>
    </row>
    <row r="14" spans="1:15" ht="30.75" customHeight="1">
      <c r="A14" s="21">
        <v>2</v>
      </c>
      <c r="B14" s="848"/>
      <c r="C14" s="849"/>
      <c r="D14" s="849"/>
      <c r="E14" s="247"/>
      <c r="F14" s="213"/>
      <c r="G14" s="269"/>
      <c r="H14" s="295"/>
      <c r="I14" s="14">
        <f aca="true" t="shared" si="1" ref="I14:I32">IF(J14="","",ROUNDDOWN(J14*(1+O14/100),0))</f>
      </c>
      <c r="J14" s="216"/>
      <c r="K14" s="14">
        <f aca="true" t="shared" si="2" ref="K14:K32">IF(L14="","",ROUNDDOWN(L14*(1+O14/100),0))</f>
      </c>
      <c r="L14" s="14">
        <f aca="true" t="shared" si="3" ref="L14:L32">IF(OR(J14="",G14=""),"",ROUNDDOWN(J14*G14,0))</f>
      </c>
      <c r="M14" s="15">
        <f t="shared" si="0"/>
      </c>
      <c r="N14" s="556">
        <v>2</v>
      </c>
      <c r="O14" s="533">
        <v>8</v>
      </c>
    </row>
    <row r="15" spans="1:15" ht="30.75" customHeight="1">
      <c r="A15" s="21">
        <v>3</v>
      </c>
      <c r="B15" s="848"/>
      <c r="C15" s="849"/>
      <c r="D15" s="849"/>
      <c r="E15" s="247"/>
      <c r="F15" s="213"/>
      <c r="G15" s="269"/>
      <c r="H15" s="295"/>
      <c r="I15" s="14">
        <f t="shared" si="1"/>
      </c>
      <c r="J15" s="216"/>
      <c r="K15" s="14">
        <f t="shared" si="2"/>
      </c>
      <c r="L15" s="14">
        <f t="shared" si="3"/>
      </c>
      <c r="M15" s="15">
        <f t="shared" si="0"/>
      </c>
      <c r="N15" s="555">
        <v>3</v>
      </c>
      <c r="O15" s="533">
        <v>8</v>
      </c>
    </row>
    <row r="16" spans="1:15" ht="30.75" customHeight="1">
      <c r="A16" s="21">
        <v>4</v>
      </c>
      <c r="B16" s="848"/>
      <c r="C16" s="849"/>
      <c r="D16" s="849"/>
      <c r="E16" s="247"/>
      <c r="F16" s="213"/>
      <c r="G16" s="269"/>
      <c r="H16" s="295"/>
      <c r="I16" s="14">
        <f t="shared" si="1"/>
      </c>
      <c r="J16" s="216"/>
      <c r="K16" s="14">
        <f t="shared" si="2"/>
      </c>
      <c r="L16" s="14">
        <f t="shared" si="3"/>
      </c>
      <c r="M16" s="15">
        <f t="shared" si="0"/>
      </c>
      <c r="N16" s="556">
        <v>4</v>
      </c>
      <c r="O16" s="533">
        <v>8</v>
      </c>
    </row>
    <row r="17" spans="1:15" ht="30.75" customHeight="1">
      <c r="A17" s="21">
        <v>5</v>
      </c>
      <c r="B17" s="848"/>
      <c r="C17" s="849"/>
      <c r="D17" s="849"/>
      <c r="E17" s="247"/>
      <c r="F17" s="213"/>
      <c r="G17" s="269"/>
      <c r="H17" s="295"/>
      <c r="I17" s="14">
        <f t="shared" si="1"/>
      </c>
      <c r="J17" s="216"/>
      <c r="K17" s="14">
        <f t="shared" si="2"/>
      </c>
      <c r="L17" s="14">
        <f t="shared" si="3"/>
      </c>
      <c r="M17" s="15">
        <f t="shared" si="0"/>
      </c>
      <c r="N17" s="555">
        <v>5</v>
      </c>
      <c r="O17" s="533">
        <v>8</v>
      </c>
    </row>
    <row r="18" spans="1:15" ht="30.75" customHeight="1">
      <c r="A18" s="21">
        <v>6</v>
      </c>
      <c r="B18" s="848"/>
      <c r="C18" s="849"/>
      <c r="D18" s="849"/>
      <c r="E18" s="247"/>
      <c r="F18" s="213"/>
      <c r="G18" s="269"/>
      <c r="H18" s="295"/>
      <c r="I18" s="14">
        <f t="shared" si="1"/>
      </c>
      <c r="J18" s="216"/>
      <c r="K18" s="14">
        <f t="shared" si="2"/>
      </c>
      <c r="L18" s="14">
        <f t="shared" si="3"/>
      </c>
      <c r="M18" s="15">
        <f t="shared" si="0"/>
      </c>
      <c r="N18" s="556">
        <v>6</v>
      </c>
      <c r="O18" s="533">
        <v>8</v>
      </c>
    </row>
    <row r="19" spans="1:15" ht="30.75" customHeight="1">
      <c r="A19" s="21">
        <v>7</v>
      </c>
      <c r="B19" s="848"/>
      <c r="C19" s="849"/>
      <c r="D19" s="849"/>
      <c r="E19" s="247"/>
      <c r="F19" s="248"/>
      <c r="G19" s="269"/>
      <c r="H19" s="295"/>
      <c r="I19" s="14">
        <f t="shared" si="1"/>
      </c>
      <c r="J19" s="216"/>
      <c r="K19" s="14">
        <f t="shared" si="2"/>
      </c>
      <c r="L19" s="14">
        <f t="shared" si="3"/>
      </c>
      <c r="M19" s="15">
        <f t="shared" si="0"/>
      </c>
      <c r="N19" s="555">
        <v>7</v>
      </c>
      <c r="O19" s="533">
        <v>8</v>
      </c>
    </row>
    <row r="20" spans="1:15" ht="30.75" customHeight="1">
      <c r="A20" s="21">
        <v>8</v>
      </c>
      <c r="B20" s="848"/>
      <c r="C20" s="849"/>
      <c r="D20" s="849"/>
      <c r="E20" s="247"/>
      <c r="F20" s="213"/>
      <c r="G20" s="269"/>
      <c r="H20" s="295"/>
      <c r="I20" s="14">
        <f t="shared" si="1"/>
      </c>
      <c r="J20" s="216"/>
      <c r="K20" s="14">
        <f t="shared" si="2"/>
      </c>
      <c r="L20" s="14">
        <f t="shared" si="3"/>
      </c>
      <c r="M20" s="15">
        <f t="shared" si="0"/>
      </c>
      <c r="N20" s="556">
        <v>8</v>
      </c>
      <c r="O20" s="533">
        <v>8</v>
      </c>
    </row>
    <row r="21" spans="1:15" ht="30.75" customHeight="1">
      <c r="A21" s="21">
        <v>9</v>
      </c>
      <c r="B21" s="848"/>
      <c r="C21" s="849"/>
      <c r="D21" s="849"/>
      <c r="E21" s="247"/>
      <c r="F21" s="213"/>
      <c r="G21" s="269"/>
      <c r="H21" s="295"/>
      <c r="I21" s="14">
        <f t="shared" si="1"/>
      </c>
      <c r="J21" s="216"/>
      <c r="K21" s="14">
        <f t="shared" si="2"/>
      </c>
      <c r="L21" s="14">
        <f t="shared" si="3"/>
      </c>
      <c r="M21" s="15">
        <f t="shared" si="0"/>
      </c>
      <c r="N21" s="555">
        <v>9</v>
      </c>
      <c r="O21" s="533">
        <v>8</v>
      </c>
    </row>
    <row r="22" spans="1:15" ht="30.75" customHeight="1">
      <c r="A22" s="21">
        <v>10</v>
      </c>
      <c r="B22" s="848"/>
      <c r="C22" s="849"/>
      <c r="D22" s="849"/>
      <c r="E22" s="247"/>
      <c r="F22" s="213"/>
      <c r="G22" s="269"/>
      <c r="H22" s="295"/>
      <c r="I22" s="14">
        <f t="shared" si="1"/>
      </c>
      <c r="J22" s="216"/>
      <c r="K22" s="14">
        <f t="shared" si="2"/>
      </c>
      <c r="L22" s="14">
        <f t="shared" si="3"/>
      </c>
      <c r="M22" s="15">
        <f t="shared" si="0"/>
      </c>
      <c r="N22" s="556">
        <v>10</v>
      </c>
      <c r="O22" s="533">
        <v>8</v>
      </c>
    </row>
    <row r="23" spans="1:15" ht="30.75" customHeight="1">
      <c r="A23" s="21">
        <v>11</v>
      </c>
      <c r="B23" s="848"/>
      <c r="C23" s="849"/>
      <c r="D23" s="849"/>
      <c r="E23" s="247"/>
      <c r="F23" s="213"/>
      <c r="G23" s="269"/>
      <c r="H23" s="295"/>
      <c r="I23" s="14">
        <f t="shared" si="1"/>
      </c>
      <c r="J23" s="216"/>
      <c r="K23" s="14">
        <f t="shared" si="2"/>
      </c>
      <c r="L23" s="14">
        <f t="shared" si="3"/>
      </c>
      <c r="M23" s="15">
        <f t="shared" si="0"/>
      </c>
      <c r="N23" s="555">
        <v>11</v>
      </c>
      <c r="O23" s="533">
        <v>8</v>
      </c>
    </row>
    <row r="24" spans="1:15" ht="30.75" customHeight="1">
      <c r="A24" s="21">
        <v>12</v>
      </c>
      <c r="B24" s="848"/>
      <c r="C24" s="849"/>
      <c r="D24" s="849"/>
      <c r="E24" s="247"/>
      <c r="F24" s="213"/>
      <c r="G24" s="269"/>
      <c r="H24" s="295"/>
      <c r="I24" s="14">
        <f t="shared" si="1"/>
      </c>
      <c r="J24" s="216"/>
      <c r="K24" s="14">
        <f t="shared" si="2"/>
      </c>
      <c r="L24" s="14">
        <f t="shared" si="3"/>
      </c>
      <c r="M24" s="15">
        <f t="shared" si="0"/>
      </c>
      <c r="N24" s="556">
        <v>12</v>
      </c>
      <c r="O24" s="533">
        <v>8</v>
      </c>
    </row>
    <row r="25" spans="1:15" ht="30.75" customHeight="1">
      <c r="A25" s="21">
        <v>13</v>
      </c>
      <c r="B25" s="848"/>
      <c r="C25" s="849"/>
      <c r="D25" s="849"/>
      <c r="E25" s="247"/>
      <c r="F25" s="213"/>
      <c r="G25" s="269"/>
      <c r="H25" s="295"/>
      <c r="I25" s="14">
        <f t="shared" si="1"/>
      </c>
      <c r="J25" s="216"/>
      <c r="K25" s="14">
        <f t="shared" si="2"/>
      </c>
      <c r="L25" s="14">
        <f t="shared" si="3"/>
      </c>
      <c r="M25" s="15">
        <f t="shared" si="0"/>
      </c>
      <c r="N25" s="555">
        <v>13</v>
      </c>
      <c r="O25" s="533">
        <v>8</v>
      </c>
    </row>
    <row r="26" spans="1:15" ht="30.75" customHeight="1">
      <c r="A26" s="21">
        <v>14</v>
      </c>
      <c r="B26" s="848"/>
      <c r="C26" s="849"/>
      <c r="D26" s="849"/>
      <c r="E26" s="249"/>
      <c r="F26" s="213"/>
      <c r="G26" s="269"/>
      <c r="H26" s="295"/>
      <c r="I26" s="14">
        <f t="shared" si="1"/>
      </c>
      <c r="J26" s="216"/>
      <c r="K26" s="14">
        <f t="shared" si="2"/>
      </c>
      <c r="L26" s="14">
        <f t="shared" si="3"/>
      </c>
      <c r="M26" s="15">
        <f t="shared" si="0"/>
      </c>
      <c r="N26" s="556">
        <v>14</v>
      </c>
      <c r="O26" s="533">
        <v>8</v>
      </c>
    </row>
    <row r="27" spans="1:15" ht="30.75" customHeight="1">
      <c r="A27" s="21">
        <v>15</v>
      </c>
      <c r="B27" s="848"/>
      <c r="C27" s="849"/>
      <c r="D27" s="849"/>
      <c r="E27" s="249"/>
      <c r="F27" s="213"/>
      <c r="G27" s="269"/>
      <c r="H27" s="295"/>
      <c r="I27" s="14">
        <f t="shared" si="1"/>
      </c>
      <c r="J27" s="216"/>
      <c r="K27" s="14">
        <f t="shared" si="2"/>
      </c>
      <c r="L27" s="14">
        <f t="shared" si="3"/>
      </c>
      <c r="M27" s="15">
        <f t="shared" si="0"/>
      </c>
      <c r="N27" s="555">
        <v>15</v>
      </c>
      <c r="O27" s="533">
        <v>8</v>
      </c>
    </row>
    <row r="28" spans="1:15" ht="30.75" customHeight="1">
      <c r="A28" s="21">
        <v>16</v>
      </c>
      <c r="B28" s="848"/>
      <c r="C28" s="849"/>
      <c r="D28" s="849"/>
      <c r="E28" s="247"/>
      <c r="F28" s="213"/>
      <c r="G28" s="269"/>
      <c r="H28" s="295"/>
      <c r="I28" s="14">
        <f t="shared" si="1"/>
      </c>
      <c r="J28" s="216"/>
      <c r="K28" s="14">
        <f t="shared" si="2"/>
      </c>
      <c r="L28" s="14">
        <f t="shared" si="3"/>
      </c>
      <c r="M28" s="15">
        <f t="shared" si="0"/>
      </c>
      <c r="N28" s="556">
        <v>16</v>
      </c>
      <c r="O28" s="533">
        <v>8</v>
      </c>
    </row>
    <row r="29" spans="1:15" ht="30.75" customHeight="1">
      <c r="A29" s="21">
        <v>17</v>
      </c>
      <c r="B29" s="848"/>
      <c r="C29" s="849"/>
      <c r="D29" s="849"/>
      <c r="E29" s="247"/>
      <c r="F29" s="213"/>
      <c r="G29" s="269"/>
      <c r="H29" s="295"/>
      <c r="I29" s="14">
        <f t="shared" si="1"/>
      </c>
      <c r="J29" s="216"/>
      <c r="K29" s="14">
        <f t="shared" si="2"/>
      </c>
      <c r="L29" s="14">
        <f t="shared" si="3"/>
      </c>
      <c r="M29" s="15">
        <f t="shared" si="0"/>
      </c>
      <c r="N29" s="555">
        <v>17</v>
      </c>
      <c r="O29" s="533">
        <v>8</v>
      </c>
    </row>
    <row r="30" spans="1:15" ht="30.75" customHeight="1">
      <c r="A30" s="21">
        <v>18</v>
      </c>
      <c r="B30" s="848"/>
      <c r="C30" s="849"/>
      <c r="D30" s="849"/>
      <c r="E30" s="247"/>
      <c r="F30" s="213"/>
      <c r="G30" s="269"/>
      <c r="H30" s="295"/>
      <c r="I30" s="14">
        <f t="shared" si="1"/>
      </c>
      <c r="J30" s="216"/>
      <c r="K30" s="14">
        <f t="shared" si="2"/>
      </c>
      <c r="L30" s="14">
        <f t="shared" si="3"/>
      </c>
      <c r="M30" s="15">
        <f t="shared" si="0"/>
      </c>
      <c r="N30" s="556">
        <v>18</v>
      </c>
      <c r="O30" s="533">
        <v>8</v>
      </c>
    </row>
    <row r="31" spans="1:15" ht="30.75" customHeight="1">
      <c r="A31" s="21">
        <v>19</v>
      </c>
      <c r="B31" s="848"/>
      <c r="C31" s="849"/>
      <c r="D31" s="849"/>
      <c r="E31" s="249"/>
      <c r="F31" s="213"/>
      <c r="G31" s="269"/>
      <c r="H31" s="295"/>
      <c r="I31" s="14">
        <f t="shared" si="1"/>
      </c>
      <c r="J31" s="216"/>
      <c r="K31" s="14">
        <f t="shared" si="2"/>
      </c>
      <c r="L31" s="14">
        <f t="shared" si="3"/>
      </c>
      <c r="M31" s="15">
        <f t="shared" si="0"/>
      </c>
      <c r="N31" s="555">
        <v>19</v>
      </c>
      <c r="O31" s="533">
        <v>8</v>
      </c>
    </row>
    <row r="32" spans="1:15" ht="30.75" customHeight="1" thickBot="1">
      <c r="A32" s="30">
        <v>20</v>
      </c>
      <c r="B32" s="850"/>
      <c r="C32" s="851"/>
      <c r="D32" s="851"/>
      <c r="E32" s="250"/>
      <c r="F32" s="218"/>
      <c r="G32" s="305"/>
      <c r="H32" s="296"/>
      <c r="I32" s="32">
        <f t="shared" si="1"/>
      </c>
      <c r="J32" s="215"/>
      <c r="K32" s="31">
        <f t="shared" si="2"/>
      </c>
      <c r="L32" s="31">
        <f t="shared" si="3"/>
      </c>
      <c r="M32" s="32">
        <f t="shared" si="0"/>
      </c>
      <c r="N32" s="557">
        <v>20</v>
      </c>
      <c r="O32" s="540">
        <v>8</v>
      </c>
    </row>
    <row r="33" spans="1:15" ht="21" customHeight="1" thickBot="1">
      <c r="A33" s="870" t="s">
        <v>16</v>
      </c>
      <c r="B33" s="871"/>
      <c r="C33" s="871"/>
      <c r="D33" s="871"/>
      <c r="E33" s="871"/>
      <c r="F33" s="871"/>
      <c r="G33" s="871"/>
      <c r="H33" s="871"/>
      <c r="I33" s="871"/>
      <c r="J33" s="224"/>
      <c r="K33" s="33">
        <f>SUM(K13:K32)</f>
        <v>955800</v>
      </c>
      <c r="L33" s="33">
        <f>SUM(L13:L32)</f>
        <v>885000</v>
      </c>
      <c r="M33" s="34">
        <f>SUM(M13:M32)</f>
        <v>885000</v>
      </c>
      <c r="N33" s="541"/>
      <c r="O33" s="535"/>
    </row>
    <row r="34" spans="1:14" ht="23.25" customHeight="1">
      <c r="A34" s="240"/>
      <c r="N34" s="17"/>
    </row>
    <row r="35" spans="1:14" ht="23.25" customHeight="1">
      <c r="A35" s="240"/>
      <c r="D35" s="240"/>
      <c r="E35" s="390"/>
      <c r="N35" s="17"/>
    </row>
    <row r="36" ht="23.25" customHeight="1">
      <c r="E36" s="234"/>
    </row>
    <row r="37" ht="23.25" customHeight="1">
      <c r="E37" s="234"/>
    </row>
    <row r="38" ht="23.25" customHeight="1">
      <c r="E38" s="234"/>
    </row>
  </sheetData>
  <sheetProtection sheet="1"/>
  <mergeCells count="27">
    <mergeCell ref="B31:D31"/>
    <mergeCell ref="B32:D32"/>
    <mergeCell ref="A33:I33"/>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4:E4"/>
    <mergeCell ref="A11:A12"/>
    <mergeCell ref="B11:D11"/>
    <mergeCell ref="K11:L11"/>
    <mergeCell ref="N11:N12"/>
    <mergeCell ref="O11:O12"/>
  </mergeCells>
  <dataValidations count="2">
    <dataValidation allowBlank="1" showInputMessage="1" showErrorMessage="1" imeMode="halfAlpha" sqref="I13:M32"/>
    <dataValidation allowBlank="1" showInputMessage="1" showErrorMessage="1" imeMode="hiragana" sqref="L9"/>
  </dataValidations>
  <hyperlinks>
    <hyperlink ref="B2" location="経費明細表!A1" display="戻る"/>
  </hyperlinks>
  <printOptions/>
  <pageMargins left="0.8661417322834646" right="0.7086614173228347" top="0.7480314960629921" bottom="0.7480314960629921" header="0.31496062992125984" footer="0.31496062992125984"/>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高村 育子</cp:lastModifiedBy>
  <cp:lastPrinted>2016-09-06T07:50:24Z</cp:lastPrinted>
  <dcterms:created xsi:type="dcterms:W3CDTF">2013-05-03T10:01:41Z</dcterms:created>
  <dcterms:modified xsi:type="dcterms:W3CDTF">2016-10-17T08:57:36Z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