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395" windowHeight="6330" tabRatio="857" activeTab="0"/>
  </bookViews>
  <sheets>
    <sheet name="目次" sheetId="1" r:id="rId1"/>
    <sheet name="基本情報入力（使い方）" sheetId="2" r:id="rId2"/>
    <sheet name="設定" sheetId="3" state="hidden" r:id="rId3"/>
    <sheet name="経費明細表" sheetId="4" r:id="rId4"/>
    <sheet name="日本標準産業分類" sheetId="5" r:id="rId5"/>
    <sheet name="機械装置費（50万円以上）" sheetId="6" r:id="rId6"/>
    <sheet name="機械装置費（50万円未満）" sheetId="7" r:id="rId7"/>
    <sheet name="原材料費" sheetId="8" r:id="rId8"/>
    <sheet name="技術導入費" sheetId="9" r:id="rId9"/>
    <sheet name="外注加工費" sheetId="10" r:id="rId10"/>
    <sheet name="委託費" sheetId="11" r:id="rId11"/>
    <sheet name="知的財産権等関連経費" sheetId="12" r:id="rId12"/>
    <sheet name="運搬費" sheetId="13" r:id="rId13"/>
    <sheet name="専門家経費" sheetId="14" r:id="rId14"/>
    <sheet name="クラウド利用費" sheetId="15" r:id="rId15"/>
  </sheets>
  <definedNames>
    <definedName name="_xlfn.IFERROR" hidden="1">#NAME?</definedName>
    <definedName name="_xlfn.SHEETS" hidden="1">#NAME?</definedName>
    <definedName name="_xlfn.SUMIFS" hidden="1">#NAME?</definedName>
    <definedName name="_xlnm.Print_Area" localSheetId="14">'クラウド利用費'!$A$4:$O$38</definedName>
    <definedName name="_xlnm.Print_Area" localSheetId="10">'委託費'!$A$4:$O$38</definedName>
    <definedName name="_xlnm.Print_Area" localSheetId="12">'運搬費'!$A$4:$O$38</definedName>
    <definedName name="_xlnm.Print_Area" localSheetId="9">'外注加工費'!$A$4:$O$38</definedName>
    <definedName name="_xlnm.Print_Area" localSheetId="5">'機械装置費（50万円以上）'!$A$4:$O$38</definedName>
    <definedName name="_xlnm.Print_Area" localSheetId="6">'機械装置費（50万円未満）'!$A$4:$O$38</definedName>
    <definedName name="_xlnm.Print_Area" localSheetId="8">'技術導入費'!$A$4:$O$38</definedName>
    <definedName name="_xlnm.Print_Area" localSheetId="3">'経費明細表'!$N$49:$AA$84</definedName>
    <definedName name="_xlnm.Print_Area" localSheetId="7">'原材料費'!$A$4:$O$38</definedName>
    <definedName name="_xlnm.Print_Area" localSheetId="13">'専門家経費'!$A$4:$O$38</definedName>
    <definedName name="_xlnm.Print_Area" localSheetId="11">'知的財産権等関連経費'!$A$4:$O$38</definedName>
    <definedName name="事業類型" localSheetId="3">'経費明細表'!$AJ$41</definedName>
    <definedName name="消費税率" localSheetId="3">'経費明細表'!$AJ$40</definedName>
    <definedName name="補助下限額" localSheetId="3">'経費明細表'!$AJ$44</definedName>
    <definedName name="補助上限額" localSheetId="3">'経費明細表'!$AJ$43</definedName>
  </definedNames>
  <calcPr fullCalcOnLoad="1"/>
</workbook>
</file>

<file path=xl/comments4.xml><?xml version="1.0" encoding="utf-8"?>
<comments xmlns="http://schemas.openxmlformats.org/spreadsheetml/2006/main">
  <authors>
    <author>PCUser</author>
    <author>mono26</author>
    <author>bara</author>
    <author>EH</author>
    <author>高村 育子</author>
    <author>4516　土岐　満春</author>
  </authors>
  <commentList>
    <comment ref="O30" authorId="0">
      <text>
        <r>
          <rPr>
            <sz val="11"/>
            <rFont val="ＭＳ Ｐゴシック"/>
            <family val="3"/>
          </rPr>
          <t xml:space="preserve">各経費区分ごとに判定。
判定１～判定７に「×」が１つでもあると、「×」と判定。
</t>
        </r>
      </text>
    </comment>
    <comment ref="R30" authorId="1">
      <text>
        <r>
          <rPr>
            <sz val="12"/>
            <rFont val="ＭＳ Ｐゴシック"/>
            <family val="3"/>
          </rPr>
          <t>(1)セルH33～H44：（予算額）補助金交付決定額
(2)セルL33～L44：（実績額）補助金の額
(1)≧(2)の場合について、この経費から他経費へ流用できる上限を計算</t>
        </r>
      </text>
    </comment>
    <comment ref="T30" authorId="0">
      <text>
        <r>
          <rPr>
            <sz val="11"/>
            <rFont val="ＭＳ Ｐゴシック"/>
            <family val="3"/>
          </rPr>
          <t>①予算額にない経費区分を実績で計上することはできない。
②設備投資のみで試作開発がない場合、原材料費、直接人件費、外注加工費、委託費、知的財産等関連経費、雑役務費の計上はできない。</t>
        </r>
      </text>
    </comment>
    <comment ref="U30" authorId="0">
      <text>
        <r>
          <rPr>
            <sz val="11"/>
            <rFont val="ＭＳ Ｐゴシック"/>
            <family val="3"/>
          </rPr>
          <t>＜直接人件費以外の経費区分について＞
補助金交付決定額（予算額）と補助金の額（実績額）の差額は補助金交付決定額×２０%におさまっているか。
実績額が予算額を２０％を超えて増える場合、変更申請が必要になるため、「×」
＜直接人件費について＞
補助金の額（実績額）は補助金交付決定額（予算額）を超えることはできない。超えていたら「×」</t>
        </r>
      </text>
    </comment>
    <comment ref="W30" authorId="2">
      <text>
        <r>
          <rPr>
            <sz val="11"/>
            <rFont val="ＭＳ Ｐゴシック"/>
            <family val="3"/>
          </rPr>
          <t xml:space="preserve">外注加工費、委託費、知的財産関連経費については、補助対象経費総額の1/2、1/2、1/3を超えてはならない。外注加工費＋委託費についても補助対象経費総額の1/2を超えないこと。
</t>
        </r>
      </text>
    </comment>
    <comment ref="X30" authorId="0">
      <text>
        <r>
          <rPr>
            <sz val="11"/>
            <rFont val="ＭＳ Ｐゴシック"/>
            <family val="3"/>
          </rPr>
          <t xml:space="preserve">直接人件費・雑役務費については、給与は消費税課税対象外のため、
</t>
        </r>
        <r>
          <rPr>
            <b/>
            <sz val="12"/>
            <rFont val="ＭＳ Ｐゴシック"/>
            <family val="3"/>
          </rPr>
          <t xml:space="preserve">「補助事業に要した経費（税込）
＝補助事業に要した経費（税抜）」
</t>
        </r>
        <r>
          <rPr>
            <b/>
            <sz val="11"/>
            <rFont val="ＭＳ Ｐゴシック"/>
            <family val="3"/>
          </rPr>
          <t xml:space="preserve">（「≧」ではなく「＝」）
</t>
        </r>
        <r>
          <rPr>
            <sz val="11"/>
            <rFont val="ＭＳ Ｐゴシック"/>
            <family val="3"/>
          </rPr>
          <t>で判定している</t>
        </r>
      </text>
    </comment>
    <comment ref="AB30" authorId="0">
      <text>
        <r>
          <rPr>
            <sz val="11"/>
            <rFont val="ＭＳ Ｐゴシック"/>
            <family val="3"/>
          </rPr>
          <t>判定１～７、「実績額の総額についての判定」がすべて「○」のとき、総合判定は「○」</t>
        </r>
      </text>
    </comment>
    <comment ref="W37" authorId="3">
      <text>
        <r>
          <rPr>
            <b/>
            <sz val="11"/>
            <rFont val="ＭＳ Ｐゴシック"/>
            <family val="3"/>
          </rPr>
          <t>補助対象経費について</t>
        </r>
        <r>
          <rPr>
            <sz val="11"/>
            <rFont val="ＭＳ Ｐゴシック"/>
            <family val="3"/>
          </rPr>
          <t>、「外注加工費≦1/2×総額」と「委託費＋外注加工費≦1/2×総額」の制約がある。（いくつかある制約のうち、委託費に関わる部分のみ抜粋）
ここでは外注加工費に修正が必要な場合に「×」と判定、外注加工費の修正は必要ない場合に「○」と判定している。
①</t>
        </r>
        <r>
          <rPr>
            <b/>
            <sz val="11"/>
            <rFont val="ＭＳ Ｐゴシック"/>
            <family val="3"/>
          </rPr>
          <t>「委託費＋外注加工費≦1/2×総額」のとき</t>
        </r>
        <r>
          <rPr>
            <sz val="11"/>
            <rFont val="ＭＳ Ｐゴシック"/>
            <family val="3"/>
          </rPr>
          <t xml:space="preserve">
（「外注加工費≦1/2×総額」と「委託費＋外注加工費≦1/2×総額」の両方を満たすので、外注加工費の修正は必要ない→外注加工費として「○」と判定）
</t>
        </r>
        <r>
          <rPr>
            <b/>
            <sz val="11"/>
            <rFont val="ＭＳ Ｐゴシック"/>
            <family val="3"/>
          </rPr>
          <t>または</t>
        </r>
        <r>
          <rPr>
            <sz val="11"/>
            <rFont val="ＭＳ Ｐゴシック"/>
            <family val="3"/>
          </rPr>
          <t xml:space="preserve">
②</t>
        </r>
        <r>
          <rPr>
            <b/>
            <sz val="11"/>
            <rFont val="ＭＳ Ｐゴシック"/>
            <family val="3"/>
          </rPr>
          <t>「委託費＞1/2×総額」のとき</t>
        </r>
        <r>
          <rPr>
            <sz val="11"/>
            <rFont val="ＭＳ Ｐゴシック"/>
            <family val="3"/>
          </rPr>
          <t xml:space="preserve">
（「委託費＋外注加工費≦1/2×総額」にならないが、原因は委託費にあり、外注加工費には原因がない。外注加工費の修正は必要ない→外注加工費として「○」と判定）</t>
        </r>
        <r>
          <rPr>
            <sz val="16"/>
            <rFont val="ＭＳ Ｐゴシック"/>
            <family val="3"/>
          </rPr>
          <t xml:space="preserve">
</t>
        </r>
      </text>
    </comment>
    <comment ref="W38" authorId="3">
      <text>
        <r>
          <rPr>
            <b/>
            <sz val="11"/>
            <rFont val="ＭＳ Ｐゴシック"/>
            <family val="3"/>
          </rPr>
          <t>補助対象経費について</t>
        </r>
        <r>
          <rPr>
            <sz val="11"/>
            <rFont val="ＭＳ Ｐゴシック"/>
            <family val="3"/>
          </rPr>
          <t>、「委託費≦1/2×総額」と「委託費＋外注加工費≦1/2×総額」の制約がある。（いくつかある制約のうち、委託費に関わる部分のみ抜粋）
ここでは委託費に修正が必要な場合に「×」と判定、委託費の修正は必要ない場合に「○」と判定している。
①</t>
        </r>
        <r>
          <rPr>
            <b/>
            <sz val="11"/>
            <rFont val="ＭＳ Ｐゴシック"/>
            <family val="3"/>
          </rPr>
          <t xml:space="preserve">「委託費＋外注加工費≦1/2×総額」のとき
</t>
        </r>
        <r>
          <rPr>
            <sz val="11"/>
            <rFont val="ＭＳ Ｐゴシック"/>
            <family val="3"/>
          </rPr>
          <t xml:space="preserve">（「委託費≦1/2×総額」と「委託費＋外注加工費≦1/2×総額」の両方を満たすので、委託費の修正は必要ない→委託費として「○」と判定）
</t>
        </r>
        <r>
          <rPr>
            <b/>
            <sz val="11"/>
            <rFont val="ＭＳ Ｐゴシック"/>
            <family val="3"/>
          </rPr>
          <t>または</t>
        </r>
        <r>
          <rPr>
            <sz val="11"/>
            <rFont val="ＭＳ Ｐゴシック"/>
            <family val="3"/>
          </rPr>
          <t xml:space="preserve">
②</t>
        </r>
        <r>
          <rPr>
            <b/>
            <sz val="11"/>
            <rFont val="ＭＳ Ｐゴシック"/>
            <family val="3"/>
          </rPr>
          <t>「外注加工費＞1/2×総額」のとき</t>
        </r>
        <r>
          <rPr>
            <sz val="11"/>
            <rFont val="ＭＳ Ｐゴシック"/>
            <family val="3"/>
          </rPr>
          <t xml:space="preserve">
（「委託費＋外注加工費≦1/2×総額」にならないが、原因は外注加工費にあり、委託費には原因がない。委託費の修正は必要ない→委託費として「○」と判定）</t>
        </r>
        <r>
          <rPr>
            <sz val="18"/>
            <rFont val="ＭＳ Ｐゴシック"/>
            <family val="3"/>
          </rPr>
          <t xml:space="preserve">
</t>
        </r>
      </text>
    </comment>
    <comment ref="S52" authorId="1">
      <text>
        <r>
          <rPr>
            <sz val="12"/>
            <rFont val="ＭＳ Ｐゴシック"/>
            <family val="3"/>
          </rPr>
          <t>(1)セルH33～H44：（予算額）補助金交付決定額
(2)セルQ54～Q65：（実績額）補助金の額への</t>
        </r>
        <r>
          <rPr>
            <b/>
            <sz val="12"/>
            <rFont val="ＭＳ Ｐゴシック"/>
            <family val="3"/>
          </rPr>
          <t>初期設定値</t>
        </r>
        <r>
          <rPr>
            <sz val="12"/>
            <rFont val="ＭＳ Ｐゴシック"/>
            <family val="3"/>
          </rPr>
          <t xml:space="preserve">
(1)≧(2)の場合について、</t>
        </r>
        <r>
          <rPr>
            <b/>
            <sz val="12"/>
            <rFont val="ＭＳ Ｐゴシック"/>
            <family val="3"/>
          </rPr>
          <t>（実績額）補助金の額が初期設定値の場合に</t>
        </r>
        <r>
          <rPr>
            <sz val="12"/>
            <rFont val="ＭＳ Ｐゴシック"/>
            <family val="3"/>
          </rPr>
          <t>、この経費から他経費へ流用できる上限を計算</t>
        </r>
      </text>
    </comment>
    <comment ref="M17" authorId="4">
      <text>
        <r>
          <rPr>
            <sz val="11"/>
            <rFont val="ＭＳ Ｐゴシック"/>
            <family val="3"/>
          </rPr>
          <t>補助金の額の合計額が補助上限額（ｾﾙL32）に満たない場合、⑨流用額（ｾﾙW54～W63）を適宜加算することが可能です。</t>
        </r>
      </text>
    </comment>
    <comment ref="Y51" authorId="4">
      <text>
        <r>
          <rPr>
            <sz val="11"/>
            <rFont val="ＭＳ Ｐゴシック"/>
            <family val="3"/>
          </rPr>
          <t>流用順序の最上位の費目から順に、⑦各経費区分ごとの流用上限（ｾﾙW54～W63）を考慮し、ｾﾙS64の流用可能金額を手入力により入れてください。</t>
        </r>
      </text>
    </comment>
    <comment ref="Z51" authorId="5">
      <text>
        <r>
          <rPr>
            <sz val="11"/>
            <rFont val="ＭＳ Ｐゴシック"/>
            <family val="3"/>
          </rPr>
          <t>「この額を反映させる」ボタンで、流用計算後の額を実績額の補助金の額（ｾﾙM19～M28）に転記することができます。</t>
        </r>
      </text>
    </comment>
  </commentList>
</comments>
</file>

<file path=xl/comments6.xml><?xml version="1.0" encoding="utf-8"?>
<comments xmlns="http://schemas.openxmlformats.org/spreadsheetml/2006/main">
  <authors>
    <author>高村 育子</author>
  </authors>
  <commentList>
    <comment ref="S12" authorId="0">
      <text>
        <r>
          <rPr>
            <sz val="9"/>
            <rFont val="ＭＳ Ｐゴシック"/>
            <family val="3"/>
          </rPr>
          <t xml:space="preserve">機械装置が複数ある場合、各機械装置毎の
補助金の額が算出されます。
様式第７　取得財産等管理台帳の備考欄（補助金の額）に当該金額を記載してください。
</t>
        </r>
      </text>
    </comment>
    <comment ref="B11" authorId="0">
      <text>
        <r>
          <rPr>
            <sz val="9"/>
            <rFont val="ＭＳ Ｐゴシック"/>
            <family val="3"/>
          </rPr>
          <t>支払年月日の記載もれにご注意ください。</t>
        </r>
      </text>
    </comment>
    <comment ref="F11" authorId="0">
      <text>
        <r>
          <rPr>
            <sz val="9"/>
            <rFont val="ＭＳ Ｐゴシック"/>
            <family val="3"/>
          </rPr>
          <t>型式等を納品書通りに略さず記載してください。</t>
        </r>
      </text>
    </comment>
  </commentList>
</comments>
</file>

<file path=xl/comments7.xml><?xml version="1.0" encoding="utf-8"?>
<comments xmlns="http://schemas.openxmlformats.org/spreadsheetml/2006/main">
  <authors>
    <author>4516　土岐　満春</author>
    <author>高村 育子</author>
  </authors>
  <commentList>
    <comment ref="A11" authorId="0">
      <text>
        <r>
          <rPr>
            <sz val="9"/>
            <rFont val="ＭＳ Ｐゴシック"/>
            <family val="3"/>
          </rPr>
          <t>機械装置費（50万円未満）の管理№は、機械装置費（50万円以上）の管理№からの通番としてください。</t>
        </r>
      </text>
    </comment>
    <comment ref="A32" authorId="1">
      <text>
        <r>
          <rPr>
            <sz val="9"/>
            <rFont val="ＭＳ Ｐゴシック"/>
            <family val="3"/>
          </rPr>
          <t>管理№が20行を超える場合は、適宜、行を増やしてください。
また、その場合は、増やした行のQ列の数式は自動反映されませんので、数式の入っているQ列のセルをコピー＆貼り付けする等しご対応をお願いします。</t>
        </r>
      </text>
    </comment>
    <comment ref="B11" authorId="1">
      <text>
        <r>
          <rPr>
            <sz val="9"/>
            <rFont val="ＭＳ Ｐゴシック"/>
            <family val="3"/>
          </rPr>
          <t>支払年月日の記載もれにご注意ください。</t>
        </r>
      </text>
    </comment>
    <comment ref="F11" authorId="1">
      <text>
        <r>
          <rPr>
            <sz val="9"/>
            <rFont val="ＭＳ Ｐゴシック"/>
            <family val="3"/>
          </rPr>
          <t>型式等を納品書通りに略さず記載してください。</t>
        </r>
      </text>
    </comment>
  </commentList>
</comments>
</file>

<file path=xl/sharedStrings.xml><?xml version="1.0" encoding="utf-8"?>
<sst xmlns="http://schemas.openxmlformats.org/spreadsheetml/2006/main" count="1489" uniqueCount="868">
  <si>
    <t>単価</t>
  </si>
  <si>
    <t>円</t>
  </si>
  <si>
    <t>管理No.</t>
  </si>
  <si>
    <t>支払</t>
  </si>
  <si>
    <t>支払先</t>
  </si>
  <si>
    <t>内容および仕様等詳細</t>
  </si>
  <si>
    <t>数量</t>
  </si>
  <si>
    <t>単位</t>
  </si>
  <si>
    <t>補助事業に要した経費
＜支払額＞</t>
  </si>
  <si>
    <t>補助対象経費</t>
  </si>
  <si>
    <t>年</t>
  </si>
  <si>
    <t>月</t>
  </si>
  <si>
    <t>日</t>
  </si>
  <si>
    <t>(税込み)</t>
  </si>
  <si>
    <t>（税込み）</t>
  </si>
  <si>
    <t>（税抜き）</t>
  </si>
  <si>
    <t>合　　　　計</t>
  </si>
  <si>
    <t>経費区分</t>
  </si>
  <si>
    <t>様式第６の別紙２</t>
  </si>
  <si>
    <t>①</t>
  </si>
  <si>
    <t>月</t>
  </si>
  <si>
    <t>　費目別経費支出明細書</t>
  </si>
  <si>
    <t>(単位:円)</t>
  </si>
  <si>
    <t>B×2/3以内</t>
  </si>
  <si>
    <t>補助金交付申請額</t>
  </si>
  <si>
    <t>（税抜き）</t>
  </si>
  <si>
    <t>原材料費</t>
  </si>
  <si>
    <t>(税抜き)</t>
  </si>
  <si>
    <t>機械装置費</t>
  </si>
  <si>
    <t>区　　　　　分</t>
  </si>
  <si>
    <t>資金の調達先</t>
  </si>
  <si>
    <t>自　己　資　金</t>
  </si>
  <si>
    <t>そ　　の　　他</t>
  </si>
  <si>
    <t>合計</t>
  </si>
  <si>
    <t>技術導入費</t>
  </si>
  <si>
    <t>委託費</t>
  </si>
  <si>
    <t>外注加工費</t>
  </si>
  <si>
    <t>運搬費</t>
  </si>
  <si>
    <t>②</t>
  </si>
  <si>
    <t>事業者名：</t>
  </si>
  <si>
    <t>順位</t>
  </si>
  <si>
    <t>判定</t>
  </si>
  <si>
    <t>加算する金額</t>
  </si>
  <si>
    <t>消費税率(%)</t>
  </si>
  <si>
    <t>①</t>
  </si>
  <si>
    <t>補助上限額</t>
  </si>
  <si>
    <t>設備投資の制限</t>
  </si>
  <si>
    <t>その他の経費の制限</t>
  </si>
  <si>
    <t>外注加工費+委託費</t>
  </si>
  <si>
    <t>知的財産権等関連経費</t>
  </si>
  <si>
    <t>補助事業に要する経費</t>
  </si>
  <si>
    <t>補助対象
経費</t>
  </si>
  <si>
    <t>（税込み）</t>
  </si>
  <si>
    <t>本ワークシートの使い方について</t>
  </si>
  <si>
    <t>知的財産権等関連経費</t>
  </si>
  <si>
    <t>中分類　コード</t>
  </si>
  <si>
    <t>内容</t>
  </si>
  <si>
    <t>全中分類コード</t>
  </si>
  <si>
    <t>小分類コード</t>
  </si>
  <si>
    <t>小分類</t>
  </si>
  <si>
    <t>01</t>
  </si>
  <si>
    <t>　農業</t>
  </si>
  <si>
    <t>010000</t>
  </si>
  <si>
    <t>　　　　010　</t>
  </si>
  <si>
    <t xml:space="preserve">管理，補助的経済活動を行う事業所（01農業） </t>
  </si>
  <si>
    <t>02</t>
  </si>
  <si>
    <t>　林業</t>
  </si>
  <si>
    <t>020000</t>
  </si>
  <si>
    <t>　　　　020　</t>
  </si>
  <si>
    <t xml:space="preserve">管理，補助的経済活動を行う事業所（02林業） </t>
  </si>
  <si>
    <t>03</t>
  </si>
  <si>
    <t>　漁業（水産養殖業を除く）</t>
  </si>
  <si>
    <t>030000</t>
  </si>
  <si>
    <t>　　　　030　</t>
  </si>
  <si>
    <t xml:space="preserve">管理，補助的経済活動を行う事業所（03漁業） </t>
  </si>
  <si>
    <t>04</t>
  </si>
  <si>
    <t>　水産養殖業</t>
  </si>
  <si>
    <t>　　　　040　</t>
  </si>
  <si>
    <t xml:space="preserve">管理，補助的経済活動を行う事業所（04水産養殖業） </t>
  </si>
  <si>
    <t>05</t>
  </si>
  <si>
    <r>
      <t>　鉱業</t>
    </r>
    <r>
      <rPr>
        <sz val="11"/>
        <rFont val="ＭＳ Ｐゴシック"/>
        <family val="3"/>
      </rPr>
      <t>，採石業，砂利採取業</t>
    </r>
  </si>
  <si>
    <t>040000</t>
  </si>
  <si>
    <t>　鉱業</t>
  </si>
  <si>
    <t>　　　　050　</t>
  </si>
  <si>
    <t xml:space="preserve">管理，補助的経済活動を行う事業所（05鉱業，採石業，砂利採取業） </t>
  </si>
  <si>
    <t>06</t>
  </si>
  <si>
    <t>　総合工事業</t>
  </si>
  <si>
    <t>050100</t>
  </si>
  <si>
    <t>　　　　060　</t>
  </si>
  <si>
    <t xml:space="preserve">管理，補助的経済活動を行う事業所（06総合工事業） </t>
  </si>
  <si>
    <t>07</t>
  </si>
  <si>
    <t>　職別工事業(設備工事業を除く)</t>
  </si>
  <si>
    <t>050300</t>
  </si>
  <si>
    <t>　　　　070　</t>
  </si>
  <si>
    <t xml:space="preserve">管理，補助的経済活動を行う事業所（07職別工事業） </t>
  </si>
  <si>
    <t>08</t>
  </si>
  <si>
    <t>　設備工事業</t>
  </si>
  <si>
    <t>050500</t>
  </si>
  <si>
    <t>　　　　080　</t>
  </si>
  <si>
    <t xml:space="preserve">管理，補助的経済活動を行う事業所（08設備工事業） </t>
  </si>
  <si>
    <t>09</t>
  </si>
  <si>
    <t>　食料品製造業</t>
  </si>
  <si>
    <t>060100</t>
  </si>
  <si>
    <t>　　　　090　</t>
  </si>
  <si>
    <t xml:space="preserve">管理，補助的経済活動を行う事業所（09食料品製造業） </t>
  </si>
  <si>
    <t>10</t>
  </si>
  <si>
    <t>　飲料・たばこ・飼料製造業</t>
  </si>
  <si>
    <t>060300</t>
  </si>
  <si>
    <t>　　　　100　</t>
  </si>
  <si>
    <t xml:space="preserve">管理，補助的経済活動を行う事業所（10飲料・たばこ・飼料製造業） </t>
  </si>
  <si>
    <t>11</t>
  </si>
  <si>
    <t>　繊維工業</t>
  </si>
  <si>
    <t>060500</t>
  </si>
  <si>
    <t>繊維工業（衣服、その他の繊維製品を除く）</t>
  </si>
  <si>
    <t>　　　　110　</t>
  </si>
  <si>
    <t xml:space="preserve">管理，補助的経済活動を行う事業所（11繊維工業） </t>
  </si>
  <si>
    <t>12</t>
  </si>
  <si>
    <t>　木材・木製品製造業（家具を除く）</t>
  </si>
  <si>
    <t>060900</t>
  </si>
  <si>
    <t>　　　　120　</t>
  </si>
  <si>
    <t xml:space="preserve">管理，補助的経済活動を行う事業所（12木材・木製品製造業） </t>
  </si>
  <si>
    <t>13</t>
  </si>
  <si>
    <t>　家具・装備品製造業</t>
  </si>
  <si>
    <t>061100</t>
  </si>
  <si>
    <t>　　　　130　</t>
  </si>
  <si>
    <t xml:space="preserve">管理，補助的経済活動を行う事業所（13家具・装備品製造業） </t>
  </si>
  <si>
    <t>14</t>
  </si>
  <si>
    <t>　パルプ・紙・紙加工品製造業</t>
  </si>
  <si>
    <t>061300</t>
  </si>
  <si>
    <t>　　　　140　</t>
  </si>
  <si>
    <t xml:space="preserve">管理，補助的経済活動を行う事業所（14パルプ・紙・紙加工品製造業） </t>
  </si>
  <si>
    <t>15</t>
  </si>
  <si>
    <t>　印刷・同関連業</t>
  </si>
  <si>
    <t>061500</t>
  </si>
  <si>
    <t>　　　　150　</t>
  </si>
  <si>
    <t xml:space="preserve">管理，補助的経済活動を行う事業所（15印刷・同関連業） </t>
  </si>
  <si>
    <t>16</t>
  </si>
  <si>
    <t>　化学工業</t>
  </si>
  <si>
    <t>061700</t>
  </si>
  <si>
    <t>　　　　160　</t>
  </si>
  <si>
    <t xml:space="preserve">管理，補助的経済活動を行う事業所（16化学工業） </t>
  </si>
  <si>
    <t>17</t>
  </si>
  <si>
    <t>　石油製品・石炭製品製造業</t>
  </si>
  <si>
    <t>061900</t>
  </si>
  <si>
    <t>　　　　170　</t>
  </si>
  <si>
    <t xml:space="preserve">管理，補助的経済活動を行う事業所（17石油製品・石炭製品製造業） </t>
  </si>
  <si>
    <t>18</t>
  </si>
  <si>
    <t>　プラスチック製品製造業（別掲を除く）</t>
  </si>
  <si>
    <t>062100</t>
  </si>
  <si>
    <t>　　　　180　</t>
  </si>
  <si>
    <t xml:space="preserve">管理，補助的経済活動を行う事業所（18プラスチック製品製造業） </t>
  </si>
  <si>
    <t>19</t>
  </si>
  <si>
    <t>　ゴム製品製造業</t>
  </si>
  <si>
    <t>062300</t>
  </si>
  <si>
    <t>　　　　190　</t>
  </si>
  <si>
    <t xml:space="preserve">管理，補助的経済活動を行う事業所（19ゴム製品製造業） </t>
  </si>
  <si>
    <t>20</t>
  </si>
  <si>
    <t>　なめし革・同製品・毛皮製造業</t>
  </si>
  <si>
    <t>062500</t>
  </si>
  <si>
    <t>　　　　200　</t>
  </si>
  <si>
    <t xml:space="preserve">管理，補助的経済活動を行う事業所（20なめし革・同製品・毛皮製造業） </t>
  </si>
  <si>
    <t>21</t>
  </si>
  <si>
    <t>　窯業・土石製品製造業</t>
  </si>
  <si>
    <t>062700</t>
  </si>
  <si>
    <t>　　　　210　</t>
  </si>
  <si>
    <t xml:space="preserve">管理，補助的経済活動を行う事業所（21窯業・土石製品製造業） </t>
  </si>
  <si>
    <t>22</t>
  </si>
  <si>
    <t>　鉄鋼業</t>
  </si>
  <si>
    <t>062900</t>
  </si>
  <si>
    <t>　　　　220　</t>
  </si>
  <si>
    <t xml:space="preserve">管理，補助的経済活動を行う事業所（22鉄鋼業） </t>
  </si>
  <si>
    <t>23</t>
  </si>
  <si>
    <t>　非鉄金属製造業</t>
  </si>
  <si>
    <t>063100</t>
  </si>
  <si>
    <t>　　　　230　</t>
  </si>
  <si>
    <t xml:space="preserve">管理，補助的経済活動を行う事業所（23非鉄金属製造業） </t>
  </si>
  <si>
    <t>24</t>
  </si>
  <si>
    <t>　金属製品製造業</t>
  </si>
  <si>
    <t>063300</t>
  </si>
  <si>
    <t>　　　　240　</t>
  </si>
  <si>
    <t xml:space="preserve">管理，補助的経済活動を行う事業所（24金属製品製造業） </t>
  </si>
  <si>
    <t>25</t>
  </si>
  <si>
    <t>　はん用機械器具製造業</t>
  </si>
  <si>
    <t>063500</t>
  </si>
  <si>
    <t xml:space="preserve">一般機械器具製造業　 </t>
  </si>
  <si>
    <t>　　　　250　</t>
  </si>
  <si>
    <t xml:space="preserve">管理，補助的経済活動を行う事業所（25はん用機械器具製造業） </t>
  </si>
  <si>
    <t>26</t>
  </si>
  <si>
    <t>　生産用機械器具製造業</t>
  </si>
  <si>
    <t>　　　　260　</t>
  </si>
  <si>
    <t xml:space="preserve">管理，補助的経済活動を行う事業所（26生産用機械器具製造業） </t>
  </si>
  <si>
    <t>27</t>
  </si>
  <si>
    <t>　業務用機械器具製造業</t>
  </si>
  <si>
    <t>064500</t>
  </si>
  <si>
    <t>精密機械器具製造業   　</t>
  </si>
  <si>
    <t>　　　　270　</t>
  </si>
  <si>
    <t xml:space="preserve">管理，補助的経済活動を行う事業所（27業務用機械器具製造業） </t>
  </si>
  <si>
    <t>28</t>
  </si>
  <si>
    <t>　電子部品・デバイス製造業</t>
  </si>
  <si>
    <t>064100</t>
  </si>
  <si>
    <r>
      <t>　電子部品・デバイス</t>
    </r>
    <r>
      <rPr>
        <sz val="11"/>
        <rFont val="ＭＳ Ｐゴシック"/>
        <family val="3"/>
      </rPr>
      <t>・電子回</t>
    </r>
    <r>
      <rPr>
        <sz val="11"/>
        <rFont val="ＭＳ Ｐゴシック"/>
        <family val="3"/>
      </rPr>
      <t>路製造業</t>
    </r>
  </si>
  <si>
    <t>　　　　280　</t>
  </si>
  <si>
    <t xml:space="preserve">管理，補助的経済活動を行う事業所（28電子部品・デバイス・電子回路製造業） </t>
  </si>
  <si>
    <t>29</t>
  </si>
  <si>
    <t>　電気機械器具製造業</t>
  </si>
  <si>
    <t>063700</t>
  </si>
  <si>
    <t>　　　　290　</t>
  </si>
  <si>
    <t xml:space="preserve">管理，補助的経済活動を行う事業所（29電気機械器具製造業） </t>
  </si>
  <si>
    <t>30</t>
  </si>
  <si>
    <t>　情報通信機械器具製造業</t>
  </si>
  <si>
    <t>063900</t>
  </si>
  <si>
    <t>　　　　300　</t>
  </si>
  <si>
    <t xml:space="preserve">管理，補助的経済活動を行う事業所（30情報通信機械器具製造業） </t>
  </si>
  <si>
    <t>31</t>
  </si>
  <si>
    <t>　輸送用機械器具製造業</t>
  </si>
  <si>
    <t>064300</t>
  </si>
  <si>
    <t>　　　　310　</t>
  </si>
  <si>
    <t xml:space="preserve">管理，補助的経済活動を行う事業所（31輸送用機械器具製造業） </t>
  </si>
  <si>
    <t>32</t>
  </si>
  <si>
    <t>　その他の製造業</t>
  </si>
  <si>
    <t>064700</t>
  </si>
  <si>
    <t>　　　　320　</t>
  </si>
  <si>
    <t xml:space="preserve">管理，補助的経済活動を行う事業所（32その他の製造業） </t>
  </si>
  <si>
    <t>　　　　327　</t>
  </si>
  <si>
    <t xml:space="preserve">漆器製造業 </t>
  </si>
  <si>
    <t>33</t>
  </si>
  <si>
    <t>　電気業</t>
  </si>
  <si>
    <t>070000</t>
  </si>
  <si>
    <t>　　　　330　</t>
  </si>
  <si>
    <t xml:space="preserve">管理，補助的経済活動を行う事業所（33電気業） </t>
  </si>
  <si>
    <t>34</t>
  </si>
  <si>
    <t>　ガス業</t>
  </si>
  <si>
    <t>　　　　340　</t>
  </si>
  <si>
    <t xml:space="preserve">管理，補助的経済活動を行う事業所（34ガス業） </t>
  </si>
  <si>
    <t>35</t>
  </si>
  <si>
    <t>　熱供給業</t>
  </si>
  <si>
    <t>　　　　350　</t>
  </si>
  <si>
    <t xml:space="preserve">管理，補助的経済活動を行う事業所（35熱供給業） </t>
  </si>
  <si>
    <t>36</t>
  </si>
  <si>
    <t>　水道業</t>
  </si>
  <si>
    <t>　　　　360　</t>
  </si>
  <si>
    <t xml:space="preserve">管理，補助的経済活動を行う事業所（36水道業） </t>
  </si>
  <si>
    <t>37</t>
  </si>
  <si>
    <t>　通信業</t>
  </si>
  <si>
    <t>080100</t>
  </si>
  <si>
    <t>　　　　370　</t>
  </si>
  <si>
    <t xml:space="preserve">管理，補助的経済活動を行う事業所（37通信業） </t>
  </si>
  <si>
    <t>38</t>
  </si>
  <si>
    <t>　放送業</t>
  </si>
  <si>
    <t>080300</t>
  </si>
  <si>
    <t>　　　　380　</t>
  </si>
  <si>
    <t xml:space="preserve">管理，補助的経済活動を行う事業所（38放送業） </t>
  </si>
  <si>
    <t>39</t>
  </si>
  <si>
    <t>　情報サービス業</t>
  </si>
  <si>
    <t>080500</t>
  </si>
  <si>
    <t>　　　　390　</t>
  </si>
  <si>
    <t xml:space="preserve">管理，補助的経済活動を行う事業所（39情報サービス業） </t>
  </si>
  <si>
    <t>40</t>
  </si>
  <si>
    <t>　インターネット附随サービス業</t>
  </si>
  <si>
    <t>080700</t>
  </si>
  <si>
    <t>　　　　400　</t>
  </si>
  <si>
    <t xml:space="preserve">管理，補助的経済活動を行う事業所（40インターネット附随サービス業） </t>
  </si>
  <si>
    <t>41</t>
  </si>
  <si>
    <t>　映像・音声・文字情報制作業</t>
  </si>
  <si>
    <t>080900</t>
  </si>
  <si>
    <t>　　　　410　</t>
  </si>
  <si>
    <t xml:space="preserve">管理，補助的経済活動を行う事業所（41映像・音声・文字情報制作業） </t>
  </si>
  <si>
    <t>42</t>
  </si>
  <si>
    <t>　鉄道業</t>
  </si>
  <si>
    <t>090000</t>
  </si>
  <si>
    <t>　　　　420　</t>
  </si>
  <si>
    <t xml:space="preserve">管理，補助的経済活動を行う事業所（42鉄道業） </t>
  </si>
  <si>
    <t>　　　　421　</t>
  </si>
  <si>
    <t xml:space="preserve">鉄道業 </t>
  </si>
  <si>
    <t>43</t>
  </si>
  <si>
    <t>　道路旅客運送業</t>
  </si>
  <si>
    <t>　　　　430　</t>
  </si>
  <si>
    <t xml:space="preserve">管理，補助的経済活動を行う事業所（43道路旅客運送業） </t>
  </si>
  <si>
    <t>44</t>
  </si>
  <si>
    <t>　道路貨物運送業</t>
  </si>
  <si>
    <t>　　　　440　</t>
  </si>
  <si>
    <t xml:space="preserve">管理，補助的経済活動を行う事業所（44道路貨物運送業） </t>
  </si>
  <si>
    <t>45</t>
  </si>
  <si>
    <t>　水運業</t>
  </si>
  <si>
    <t>　　　　450　</t>
  </si>
  <si>
    <t xml:space="preserve">管理，補助的経済活動を行う事業所（45水運業） </t>
  </si>
  <si>
    <t>46</t>
  </si>
  <si>
    <t>　航空運輸業</t>
  </si>
  <si>
    <t>　　　　460　</t>
  </si>
  <si>
    <t xml:space="preserve">管理，補助的経済活動を行う事業所（46航空運輸業） </t>
  </si>
  <si>
    <t>47</t>
  </si>
  <si>
    <t>　倉庫業</t>
  </si>
  <si>
    <t>　　　　470　</t>
  </si>
  <si>
    <t xml:space="preserve">管理，補助的経済活動を行う事業所（47倉庫業） </t>
  </si>
  <si>
    <t>48</t>
  </si>
  <si>
    <t>　運輸に附帯するサービス業</t>
  </si>
  <si>
    <t>　　　　480　</t>
  </si>
  <si>
    <t xml:space="preserve">管理，補助的経済活動を行う事業所（48運輸に附帯するサービス業） </t>
  </si>
  <si>
    <t>49</t>
  </si>
  <si>
    <t>　郵便業（信書便事業を含む）</t>
  </si>
  <si>
    <t>　　　　490　</t>
  </si>
  <si>
    <t xml:space="preserve">管理，補助的経済活動を行う事業所（49郵便業） </t>
  </si>
  <si>
    <t>50</t>
  </si>
  <si>
    <t>　各種商品卸売業</t>
  </si>
  <si>
    <t>100100</t>
  </si>
  <si>
    <t>　　　　500　</t>
  </si>
  <si>
    <t xml:space="preserve">管理，補助的経済活動を行う事業所（50各種商品卸売業） </t>
  </si>
  <si>
    <t>51</t>
  </si>
  <si>
    <t>　繊維・衣服等卸売業</t>
  </si>
  <si>
    <t>100300</t>
  </si>
  <si>
    <t>　　　　510　</t>
  </si>
  <si>
    <t xml:space="preserve">管理，補助的経済活動を行う事業所（51繊維・衣服等卸売業） </t>
  </si>
  <si>
    <t>52</t>
  </si>
  <si>
    <t>　飲食料品卸売業</t>
  </si>
  <si>
    <t>100500</t>
  </si>
  <si>
    <t>　　　　520　</t>
  </si>
  <si>
    <t xml:space="preserve">管理，補助的経済活動を行う事業所（52飲食料品卸売業） </t>
  </si>
  <si>
    <t>53</t>
  </si>
  <si>
    <t>　建築材料，鉱物・金属材料等卸売業</t>
  </si>
  <si>
    <t>100700</t>
  </si>
  <si>
    <t>　　　　530　</t>
  </si>
  <si>
    <t xml:space="preserve">管理，補助的経済活動を行う事業所（53建築材料，鉱物・金属材料等卸売業） </t>
  </si>
  <si>
    <t>54</t>
  </si>
  <si>
    <t>　機械器具卸売業</t>
  </si>
  <si>
    <t>100900</t>
  </si>
  <si>
    <t>　　　　540　</t>
  </si>
  <si>
    <t xml:space="preserve">管理，補助的経済活動を行う事業所（54機械器具卸売業） </t>
  </si>
  <si>
    <t>55</t>
  </si>
  <si>
    <t>　その他の卸売業</t>
  </si>
  <si>
    <t>101100</t>
  </si>
  <si>
    <t>　　　　550　</t>
  </si>
  <si>
    <t xml:space="preserve">管理，補助的経済活動を行う事業所（55その他の卸売業） </t>
  </si>
  <si>
    <t>56</t>
  </si>
  <si>
    <t>　各種商品小売業</t>
  </si>
  <si>
    <t>105100</t>
  </si>
  <si>
    <t>　　　　560　</t>
  </si>
  <si>
    <t xml:space="preserve">管理，補助的経済活動を行う事業所（56各種商品小売業） </t>
  </si>
  <si>
    <t>57</t>
  </si>
  <si>
    <t>　織物・衣服・身の回り品小売業</t>
  </si>
  <si>
    <t>105300</t>
  </si>
  <si>
    <t>　　　　570　</t>
  </si>
  <si>
    <t xml:space="preserve">管理，補助的経済活動を行う事業所（57織物・衣服・身の回り品小売業） </t>
  </si>
  <si>
    <t>58</t>
  </si>
  <si>
    <t>　飲食料品小売業</t>
  </si>
  <si>
    <t>105500</t>
  </si>
  <si>
    <t>　　　　580　</t>
  </si>
  <si>
    <t xml:space="preserve">管理，補助的経済活動を行う事業所（58飲食料品小売業） </t>
  </si>
  <si>
    <t>59</t>
  </si>
  <si>
    <t>　機械器具小売業</t>
  </si>
  <si>
    <t>105700</t>
  </si>
  <si>
    <t>自動車・自転車小売業   　　　　</t>
  </si>
  <si>
    <t>　　　　590　</t>
  </si>
  <si>
    <t xml:space="preserve">管理，補助的経済活動を行う事業所（59機械器具小売業） </t>
  </si>
  <si>
    <t>60</t>
  </si>
  <si>
    <t>　その他の小売業</t>
  </si>
  <si>
    <t>105900</t>
  </si>
  <si>
    <t>家具・じゅう器・機械器具小売業</t>
  </si>
  <si>
    <t>　　　　600　</t>
  </si>
  <si>
    <t xml:space="preserve">管理，補助的経済活動を行う事業所（60その他の小売業） </t>
  </si>
  <si>
    <t>61</t>
  </si>
  <si>
    <t>　無店舗小売業</t>
  </si>
  <si>
    <t>106100</t>
  </si>
  <si>
    <t>　　　　610　</t>
  </si>
  <si>
    <t xml:space="preserve">管理，補助的経済活動を行う事業所（61無店舗小売業） </t>
  </si>
  <si>
    <t>62</t>
  </si>
  <si>
    <t>　銀行業</t>
  </si>
  <si>
    <t>110000</t>
  </si>
  <si>
    <t>　　　　620　</t>
  </si>
  <si>
    <t xml:space="preserve">管理，補助的経済活動を行う事業所（62銀行業） </t>
  </si>
  <si>
    <t>63</t>
  </si>
  <si>
    <t>　協同組織金融業</t>
  </si>
  <si>
    <t>　　　　630　</t>
  </si>
  <si>
    <t xml:space="preserve">管理，補助的経済活動を行う事業所（63協同組織金融業） </t>
  </si>
  <si>
    <t>　貸金業，クレジットカード業等非預金信用機関</t>
  </si>
  <si>
    <t>　　　　640　</t>
  </si>
  <si>
    <t xml:space="preserve">管理，補助的経済活動を行う事業所（64貸金業，クレジットカード業等非預金信用機関） </t>
  </si>
  <si>
    <t>65</t>
  </si>
  <si>
    <t>　金融商品取引業，商品先物取引業</t>
  </si>
  <si>
    <t>　　　　650　</t>
  </si>
  <si>
    <t xml:space="preserve">管理，補助的経済活動を行う事業所（65金融商品取引業，商品先物取引業） </t>
  </si>
  <si>
    <t>66</t>
  </si>
  <si>
    <t>　補助的金融業等</t>
  </si>
  <si>
    <t>　　　　660　</t>
  </si>
  <si>
    <t xml:space="preserve">管理，補助的経済活動を行う事業所（66補助的金融業等） </t>
  </si>
  <si>
    <t>67</t>
  </si>
  <si>
    <t>　保険業（保険媒介代理業，保険サービス業を含む）</t>
  </si>
  <si>
    <t>　　　　670　</t>
  </si>
  <si>
    <t xml:space="preserve">管理，補助的経済活動を行う事業所（67保険業） </t>
  </si>
  <si>
    <t>68</t>
  </si>
  <si>
    <t>　不動産取引業</t>
  </si>
  <si>
    <t>120000</t>
  </si>
  <si>
    <t>　　　　680　</t>
  </si>
  <si>
    <t xml:space="preserve">管理，補助的経済活動を行う事業所（68不動産取引業） </t>
  </si>
  <si>
    <t>69</t>
  </si>
  <si>
    <t>　不動産賃貸業・管理業</t>
  </si>
  <si>
    <t>　　　　690　</t>
  </si>
  <si>
    <t xml:space="preserve">管理，補助的経済活動を行う事業所（69不動産賃貸業・管理業） </t>
  </si>
  <si>
    <t>70</t>
  </si>
  <si>
    <t>　物品賃貸業</t>
  </si>
  <si>
    <t>171700</t>
  </si>
  <si>
    <t>　　　　700　</t>
  </si>
  <si>
    <t xml:space="preserve">管理，補助的経済活動を行う事業所（70物品賃貸業） </t>
  </si>
  <si>
    <t>71</t>
  </si>
  <si>
    <t>　学術・開発研究機関</t>
  </si>
  <si>
    <t>170300</t>
  </si>
  <si>
    <t>　　　　710　</t>
  </si>
  <si>
    <t xml:space="preserve">管理，補助的経済活動を行う事業所（71学術・開発研究機関） </t>
  </si>
  <si>
    <t>専門サービス業</t>
  </si>
  <si>
    <t>170100</t>
  </si>
  <si>
    <t>　　　　720　</t>
  </si>
  <si>
    <t xml:space="preserve">管理，補助的経済活動を行う事業所（72専門サービス業） </t>
  </si>
  <si>
    <t>広告業</t>
  </si>
  <si>
    <t>171900</t>
  </si>
  <si>
    <t>　広告業</t>
  </si>
  <si>
    <t>　　　　730　</t>
  </si>
  <si>
    <t xml:space="preserve">管理，補助的経済活動を行う事業所（73広告業） </t>
  </si>
  <si>
    <t>74</t>
  </si>
  <si>
    <t>　技術サービス業（他に分類されないもの）</t>
  </si>
  <si>
    <t>専門サービス業</t>
  </si>
  <si>
    <t>　　　　740　</t>
  </si>
  <si>
    <t xml:space="preserve">管理，補助的経済活動を行う事業所（74技術サービス業） </t>
  </si>
  <si>
    <t>　宿泊業</t>
  </si>
  <si>
    <t>130500</t>
  </si>
  <si>
    <t>　　　　750　</t>
  </si>
  <si>
    <t xml:space="preserve">管理，補助的経済活動を行う事業所（75宿泊業） </t>
  </si>
  <si>
    <t>　飲食店</t>
  </si>
  <si>
    <t>130100</t>
  </si>
  <si>
    <t>一般飲食店　</t>
  </si>
  <si>
    <t>　　　　760　</t>
  </si>
  <si>
    <t xml:space="preserve">管理，補助的経済活動を行う事業所（76飲食店） </t>
  </si>
  <si>
    <t>77</t>
  </si>
  <si>
    <t>　持ち帰り・配達飲食サービス業</t>
  </si>
  <si>
    <t>　　　　770　</t>
  </si>
  <si>
    <t xml:space="preserve">管理，補助的経済活動を行う事業所（77持ち帰り・配達飲食サービス業） </t>
  </si>
  <si>
    <t>　洗濯・理容・美容・浴場業</t>
  </si>
  <si>
    <t>170500</t>
  </si>
  <si>
    <t>　　　　780　</t>
  </si>
  <si>
    <t xml:space="preserve">管理，補助的経済活動を行う事業所（78洗濯・理容・美容・浴場業） </t>
  </si>
  <si>
    <t>79</t>
  </si>
  <si>
    <t>　その他の生活関連サービス業</t>
  </si>
  <si>
    <t>170700</t>
  </si>
  <si>
    <t>　　　　790　</t>
  </si>
  <si>
    <t xml:space="preserve">管理，補助的経済活動を行う事業所（79その他の生活関連サービス業） </t>
  </si>
  <si>
    <t>80</t>
  </si>
  <si>
    <t>　娯楽業</t>
  </si>
  <si>
    <t>170900</t>
  </si>
  <si>
    <t>　　　　800　</t>
  </si>
  <si>
    <t xml:space="preserve">管理，補助的経済活動を行う事業所（80娯楽業） </t>
  </si>
  <si>
    <t>81</t>
  </si>
  <si>
    <t>　学校教育</t>
  </si>
  <si>
    <t>150000</t>
  </si>
  <si>
    <t>　　　　810　</t>
  </si>
  <si>
    <t xml:space="preserve">管理，補助的経済活動を行う事業所（81学校教育） </t>
  </si>
  <si>
    <t>　その他の教育，学習支援業</t>
  </si>
  <si>
    <t>　　　　820　</t>
  </si>
  <si>
    <t xml:space="preserve">管理，補助的経済活動を行う事業所（82その他の教育，学習支援業） </t>
  </si>
  <si>
    <t>83</t>
  </si>
  <si>
    <t>　医療業</t>
  </si>
  <si>
    <t>140100</t>
  </si>
  <si>
    <t>　　　　830　</t>
  </si>
  <si>
    <t xml:space="preserve">管理，補助的経済活動を行う事業所（83医療業） </t>
  </si>
  <si>
    <t>84</t>
  </si>
  <si>
    <t>　保健衛生</t>
  </si>
  <si>
    <t>140300</t>
  </si>
  <si>
    <t>　　　　840　</t>
  </si>
  <si>
    <t xml:space="preserve">管理，補助的経済活動を行う事業所（84保健衛生） </t>
  </si>
  <si>
    <t>85</t>
  </si>
  <si>
    <t>　社会保険・社会福祉・介護事業</t>
  </si>
  <si>
    <t>140500</t>
  </si>
  <si>
    <t>　　　　850　</t>
  </si>
  <si>
    <t xml:space="preserve">管理，補助的経済活動を行う事業所（85社会保険・社会福祉・介護事業） </t>
  </si>
  <si>
    <t>86</t>
  </si>
  <si>
    <t>　郵便局</t>
  </si>
  <si>
    <t>160000</t>
  </si>
  <si>
    <t>　　　　860　</t>
  </si>
  <si>
    <t xml:space="preserve">管理，補助的経済活動を行う事業所（86郵便局） </t>
  </si>
  <si>
    <t>87</t>
  </si>
  <si>
    <t>　協同組合（他に分類されないもの）</t>
  </si>
  <si>
    <t>　　　　870　</t>
  </si>
  <si>
    <t xml:space="preserve">管理，補助的経済活動を行う事業所（87協同組合） </t>
  </si>
  <si>
    <t>88</t>
  </si>
  <si>
    <t>　廃棄物処理業</t>
  </si>
  <si>
    <t>171100</t>
  </si>
  <si>
    <t>　　　　880　</t>
  </si>
  <si>
    <t xml:space="preserve">管理，補助的経済活動を行う事業所（88廃棄物処理業） </t>
  </si>
  <si>
    <t>89</t>
  </si>
  <si>
    <t>　自動車整備業</t>
  </si>
  <si>
    <t>171300</t>
  </si>
  <si>
    <t>　　　　890　</t>
  </si>
  <si>
    <t xml:space="preserve">管理，補助的経済活動を行う事業所（89自動車整備業） </t>
  </si>
  <si>
    <t>90</t>
  </si>
  <si>
    <t>　機械等修理業（別掲を除く）</t>
  </si>
  <si>
    <t>171500</t>
  </si>
  <si>
    <t>　　　　900　</t>
  </si>
  <si>
    <t xml:space="preserve">管理，補助的経済活動を行う事業所（90機械等修理業） </t>
  </si>
  <si>
    <t>　職業紹介・労働者派遣業</t>
  </si>
  <si>
    <t>172100</t>
  </si>
  <si>
    <t>　その他の事業サービス業</t>
  </si>
  <si>
    <t>　　　　910　</t>
  </si>
  <si>
    <t xml:space="preserve">管理，補助的経済活動を行う事業所（91職業紹介・労働者派遣業） </t>
  </si>
  <si>
    <t>92</t>
  </si>
  <si>
    <t>　　　　920　</t>
  </si>
  <si>
    <t xml:space="preserve">管理，補助的経済活動を行う事業所（92その他の事業サービス業） </t>
  </si>
  <si>
    <t>93</t>
  </si>
  <si>
    <t>　政治・経済・文化団体</t>
  </si>
  <si>
    <t>172300</t>
  </si>
  <si>
    <t>　　　　931　</t>
  </si>
  <si>
    <t xml:space="preserve">経済団体 </t>
  </si>
  <si>
    <t>94</t>
  </si>
  <si>
    <t>　宗教</t>
  </si>
  <si>
    <t>　　　　941　</t>
  </si>
  <si>
    <t xml:space="preserve">神道系宗教 </t>
  </si>
  <si>
    <t>95</t>
  </si>
  <si>
    <t>　その他のサービス業</t>
  </si>
  <si>
    <t>　　　　950　</t>
  </si>
  <si>
    <t xml:space="preserve">管理，補助的経済活動を行う事業所（95その他のサービス業） </t>
  </si>
  <si>
    <t>96</t>
  </si>
  <si>
    <t>　外国公務</t>
  </si>
  <si>
    <t>　　　　961　</t>
  </si>
  <si>
    <t xml:space="preserve">外国公館 </t>
  </si>
  <si>
    <t>　国家公務</t>
  </si>
  <si>
    <t>　　　　971　</t>
  </si>
  <si>
    <t xml:space="preserve">立法機関 </t>
  </si>
  <si>
    <t>98</t>
  </si>
  <si>
    <t>　地方公務</t>
  </si>
  <si>
    <t>　　　　981　</t>
  </si>
  <si>
    <t xml:space="preserve">都道府県機関 </t>
  </si>
  <si>
    <t>99</t>
  </si>
  <si>
    <t>分類不能の産業</t>
  </si>
  <si>
    <t>990000</t>
  </si>
  <si>
    <t>　　　　999　</t>
  </si>
  <si>
    <t xml:space="preserve">分類不能の産業 </t>
  </si>
  <si>
    <t>以下の判定結果をもとに数値を見直してください。</t>
  </si>
  <si>
    <t>本事業全体の経費支出を記載してください。</t>
  </si>
  <si>
    <t>実績額の総額についての判定</t>
  </si>
  <si>
    <t>差額</t>
  </si>
  <si>
    <t>仮計算
補助金交付申請額</t>
  </si>
  <si>
    <t>按分計算
補助金交付申請額</t>
  </si>
  <si>
    <t>機械装置費で補助対象経費にして単価５０万円以上の設備投資が必要</t>
  </si>
  <si>
    <t>機械装置費以外の経費の補助金交付申請額は５００万円以下</t>
  </si>
  <si>
    <t>予算額（交付決定額または変更申請額）</t>
  </si>
  <si>
    <t>実績額</t>
  </si>
  <si>
    <t>補助対象経費の総額について、実績額は予算額以下か</t>
  </si>
  <si>
    <t>材</t>
  </si>
  <si>
    <t>補助金
交付決定額</t>
  </si>
  <si>
    <t>補助事業に要した経費</t>
  </si>
  <si>
    <t>補助金の額</t>
  </si>
  <si>
    <t>技</t>
  </si>
  <si>
    <t>外</t>
  </si>
  <si>
    <t>委</t>
  </si>
  <si>
    <t>知的財産権等
関連経費</t>
  </si>
  <si>
    <t>知</t>
  </si>
  <si>
    <t>運</t>
  </si>
  <si>
    <t>設備投資の制限に抵触していないか
→機械装置費</t>
  </si>
  <si>
    <t>判定7</t>
  </si>
  <si>
    <t>その他経費の制限に抵触していないか
→機械装置費以外</t>
  </si>
  <si>
    <t>大小関係Ｉ～K</t>
  </si>
  <si>
    <t>補助金交付決定額－補助金の額</t>
  </si>
  <si>
    <t>補助金が増えた金額</t>
  </si>
  <si>
    <t>補助金交付決定額×２０%</t>
  </si>
  <si>
    <t>判定１</t>
  </si>
  <si>
    <t>判定２</t>
  </si>
  <si>
    <t>判定３</t>
  </si>
  <si>
    <t>判定４</t>
  </si>
  <si>
    <t>判定５</t>
  </si>
  <si>
    <t>判定７</t>
  </si>
  <si>
    <t>総合判定</t>
  </si>
  <si>
    <t>名前の管理（引用しているため削除不可）</t>
  </si>
  <si>
    <t>補助金の額（実績額）の補助金交付決定額（予算額）からの増分は20％以内か</t>
  </si>
  <si>
    <t>実績額の補助金の額は補助対象経費の2/3以下か</t>
  </si>
  <si>
    <t>外、委、知は補助対象経費総額の1/2・1/2・1/3以内か</t>
  </si>
  <si>
    <t>設備投資の制限に抵触していないか
（上図）</t>
  </si>
  <si>
    <t>その他経費の制限に抵触していないか
（上図）</t>
  </si>
  <si>
    <t>名前</t>
  </si>
  <si>
    <t>消費税率</t>
  </si>
  <si>
    <t>事業類型</t>
  </si>
  <si>
    <t>⑧</t>
  </si>
  <si>
    <t>⑨</t>
  </si>
  <si>
    <t>実績額の補助対象経費×2/3</t>
  </si>
  <si>
    <t xml:space="preserve">初期設定値
</t>
  </si>
  <si>
    <t>補助金交付決定額×２０％</t>
  </si>
  <si>
    <t>流用で増額できる
経費区分</t>
  </si>
  <si>
    <t>各経費区分
の流用上限</t>
  </si>
  <si>
    <t>流用順序</t>
  </si>
  <si>
    <t>流用額</t>
  </si>
  <si>
    <t>初期設定値
＋流用額</t>
  </si>
  <si>
    <t>資金の調達先</t>
  </si>
  <si>
    <t>自己資金（税込み）</t>
  </si>
  <si>
    <t>補助金（税抜き）</t>
  </si>
  <si>
    <t>借　　入　　金</t>
  </si>
  <si>
    <t>借入金（税込み）</t>
  </si>
  <si>
    <t>その他（税込み）</t>
  </si>
  <si>
    <t>合　　計　　額</t>
  </si>
  <si>
    <t>合計額（税込み）</t>
  </si>
  <si>
    <t>内訳</t>
  </si>
  <si>
    <t>④（⑤="○"）</t>
  </si>
  <si>
    <t>機械装置費以外</t>
  </si>
  <si>
    <t>上記２つの最小値</t>
  </si>
  <si>
    <t>補助金の額（予算額-初期設定値）</t>
  </si>
  <si>
    <t>補助金の総額（実績額）は補助金交付決定総額（予算額）以下か</t>
  </si>
  <si>
    <t>合　計</t>
  </si>
  <si>
    <t>※補助金の支払は、原則として事業終了後の精算払となりますので、事業実施期間中、補助金相当分の</t>
  </si>
  <si>
    <t>資金を確保する必要があります。</t>
  </si>
  <si>
    <t>③=min(①,②)</t>
  </si>
  <si>
    <t>④</t>
  </si>
  <si>
    <t>⑤</t>
  </si>
  <si>
    <t>⑥</t>
  </si>
  <si>
    <t>⑦=min(④,⑥)</t>
  </si>
  <si>
    <t>⑩=③+⑨</t>
  </si>
  <si>
    <t>①-③</t>
  </si>
  <si>
    <t>↑</t>
  </si>
  <si>
    <t>要対応は</t>
  </si>
  <si>
    <t>× 並びに</t>
  </si>
  <si>
    <t>色の変わったセル</t>
  </si>
  <si>
    <t>補助金交付決定額</t>
  </si>
  <si>
    <t>補助金の経費区分間の流用について、「補助金が増えた金額」の総額は「補助金が減った金額（補助金交付決定額×20％が上限）」の総額以下か</t>
  </si>
  <si>
    <t>予算額　計算シート</t>
  </si>
  <si>
    <t>判定（ａ）</t>
  </si>
  <si>
    <t>判定（ｂ）</t>
  </si>
  <si>
    <t>判定（ｃ）</t>
  </si>
  <si>
    <t>＜経費明細表＞</t>
  </si>
  <si>
    <t>機械装置費を除く補助金申請額の合計額(修正前)</t>
  </si>
  <si>
    <t>順位２</t>
  </si>
  <si>
    <t>設備投資にウエイトをおいて補助金額を按分しています。</t>
  </si>
  <si>
    <t>補助金交付申請限度額</t>
  </si>
  <si>
    <t>順位２の合計額</t>
  </si>
  <si>
    <t>微修正してください。</t>
  </si>
  <si>
    <t>機械装置費を優先した残りの
補助金交付申請額</t>
  </si>
  <si>
    <t>按分される補助金の額</t>
  </si>
  <si>
    <t xml:space="preserve">機械装置費を除く合計額の
補助金交付申請額の上限 </t>
  </si>
  <si>
    <t>按分する件数</t>
  </si>
  <si>
    <t>予算額にない経費区分
の計上は×</t>
  </si>
  <si>
    <t>事業類型</t>
  </si>
  <si>
    <t>優先される数値</t>
  </si>
  <si>
    <t>実績額　チェックシート(実績額の補助金額が予算額のそれと比較して２０%を超えることはできません。)</t>
  </si>
  <si>
    <t>↑</t>
  </si>
  <si>
    <t>A</t>
  </si>
  <si>
    <t>B</t>
  </si>
  <si>
    <t>補助金が減った金額（補助金交付決定額×20％が上限）</t>
  </si>
  <si>
    <t>判定６</t>
  </si>
  <si>
    <t>補助金の額</t>
  </si>
  <si>
    <t>合計</t>
  </si>
  <si>
    <t>「×」の場合、判定１～判定７参照</t>
  </si>
  <si>
    <t>min(②-③,④）</t>
  </si>
  <si>
    <t>補助金が減った金額
（補助金交付決定額×20％が上限）</t>
  </si>
  <si>
    <t>　</t>
  </si>
  <si>
    <t>↓</t>
  </si>
  <si>
    <t>③</t>
  </si>
  <si>
    <t>a</t>
  </si>
  <si>
    <t>⑨</t>
  </si>
  <si>
    <t>⑩</t>
  </si>
  <si>
    <t>補助金交付決定額×２０%のうち
増額できる経費分</t>
  </si>
  <si>
    <t>b</t>
  </si>
  <si>
    <t>min(a,b)</t>
  </si>
  <si>
    <t>c</t>
  </si>
  <si>
    <t>上記⑦=Σmin（④,⑥）</t>
  </si>
  <si>
    <t>d</t>
  </si>
  <si>
    <t>Σmin（④,⑥）</t>
  </si>
  <si>
    <t>⇒</t>
  </si>
  <si>
    <t>次に、補助金の上限を設定するため事業類型を選択してください。(必須)</t>
  </si>
  <si>
    <t>■はじめに</t>
  </si>
  <si>
    <t>【様式第６の別紙２】</t>
  </si>
  <si>
    <t>　 ※下記の各費用項目をクリックすると対象のシートに移動します。</t>
  </si>
  <si>
    <t>シート名</t>
  </si>
  <si>
    <t>目次</t>
  </si>
  <si>
    <t>№</t>
  </si>
  <si>
    <t>機械装置費（50万円以上）</t>
  </si>
  <si>
    <t>機械装置費（50万円未満）</t>
  </si>
  <si>
    <t>機１</t>
  </si>
  <si>
    <t>機２</t>
  </si>
  <si>
    <t>機械装置費
（50万円以上）</t>
  </si>
  <si>
    <t>機械装置費
（50万円未満）</t>
  </si>
  <si>
    <t>専門家経費</t>
  </si>
  <si>
    <t>クラウド利用費</t>
  </si>
  <si>
    <t>機械装置費（50万円以上）</t>
  </si>
  <si>
    <t>（切捨て）</t>
  </si>
  <si>
    <t>補助対象経費</t>
  </si>
  <si>
    <t>補助対象経費の（2/3）</t>
  </si>
  <si>
    <t>機1</t>
  </si>
  <si>
    <t>機2</t>
  </si>
  <si>
    <t>専</t>
  </si>
  <si>
    <t>ク</t>
  </si>
  <si>
    <t>実績額　経費区分間の流用計算シート(経費区分間で流用する場合はセルX52～X63に流用額を入力)</t>
  </si>
  <si>
    <t>○○信用金庫　○○支店</t>
  </si>
  <si>
    <t>総務部長　経済計子</t>
  </si>
  <si>
    <t>ＡＡ株式会社</t>
  </si>
  <si>
    <t>○○装置　(型番１２３型番TK)</t>
  </si>
  <si>
    <t>台</t>
  </si>
  <si>
    <t>ＢＢ株式会社</t>
  </si>
  <si>
    <t>○○装置　(型番１型番TK)</t>
  </si>
  <si>
    <t>ＢＢ株式会社</t>
  </si>
  <si>
    <t>○○装置　(型番２型番TK)</t>
  </si>
  <si>
    <t>○○装置　(型番３型番TK)</t>
  </si>
  <si>
    <t>○○装置　(型番４型番TK)</t>
  </si>
  <si>
    <t>○○装置　(型番５型番TK)</t>
  </si>
  <si>
    <t>○○装置　(型番６型番TK)</t>
  </si>
  <si>
    <t>○○装置　(型番７型番TK)</t>
  </si>
  <si>
    <t>○○装置　(型番８型番TK)</t>
  </si>
  <si>
    <t>ＣＣ株式会社</t>
  </si>
  <si>
    <t>金属Ａ</t>
  </si>
  <si>
    <t>金属Ｂ</t>
  </si>
  <si>
    <t>合金Ａ</t>
  </si>
  <si>
    <t>合金Ｂ</t>
  </si>
  <si>
    <t>Ｄ株式会社</t>
  </si>
  <si>
    <t>○○指導</t>
  </si>
  <si>
    <t>日</t>
  </si>
  <si>
    <t>Ｅ株式会社</t>
  </si>
  <si>
    <t>切削加工</t>
  </si>
  <si>
    <t>件</t>
  </si>
  <si>
    <t>○○市工業研究所</t>
  </si>
  <si>
    <t>○○の委託研究開発</t>
  </si>
  <si>
    <t>○○研究所</t>
  </si>
  <si>
    <t>○○技術について</t>
  </si>
  <si>
    <t>○○運輸</t>
  </si>
  <si>
    <t>○○機材</t>
  </si>
  <si>
    <t>個</t>
  </si>
  <si>
    <t>○○弁理士</t>
  </si>
  <si>
    <t>○○作業
（20日）</t>
  </si>
  <si>
    <t>日</t>
  </si>
  <si>
    <t>○○株式会社</t>
  </si>
  <si>
    <t>初期費用</t>
  </si>
  <si>
    <t>固定料金費用</t>
  </si>
  <si>
    <t>従量制料金費用</t>
  </si>
  <si>
    <t>ＴＢ</t>
  </si>
  <si>
    <t>戻る</t>
  </si>
  <si>
    <t>機械装置費(50万円以上）</t>
  </si>
  <si>
    <t>機械装置費(50万円未満）</t>
  </si>
  <si>
    <t>Σmin（②-③,④）：「交付決定額から初期設定値で補助金が減った金額（補助金交付決定額×20％が上限）」の合計</t>
  </si>
  <si>
    <t>②-③</t>
  </si>
  <si>
    <t>様式第６の別紙２　経費明細表 (1/3)</t>
  </si>
  <si>
    <t>流用可能額早見表</t>
  </si>
  <si>
    <t>様式第６の別紙２　経費明細表 (2/3)</t>
  </si>
  <si>
    <t>「様式第６の別紙２　経費明細表」のチェックリスト：申請の前にお手元の経費支出明細表の数値を入力して誤りがないかチェックしてください。</t>
  </si>
  <si>
    <t>様式第６の別紙２　経費明細表(3/3)</t>
  </si>
  <si>
    <t>上限額</t>
  </si>
  <si>
    <t>役職名・氏名</t>
  </si>
  <si>
    <t>連絡先（TEL）</t>
  </si>
  <si>
    <t>本事業の経理担当者の</t>
  </si>
  <si>
    <t>予算額</t>
  </si>
  <si>
    <t>機械装置費（50万円以上）</t>
  </si>
  <si>
    <t>機械装置費（50万円未満）</t>
  </si>
  <si>
    <t>ク</t>
  </si>
  <si>
    <t>「機械装置費（50万円以上）」から「クラウド利用費」まで該当の「費目別経費支出明細書」へ請求書等の証拠書類をもとに入力してください。</t>
  </si>
  <si>
    <t>端数額</t>
  </si>
  <si>
    <t>補助対象経費の（2/3）</t>
  </si>
  <si>
    <t>補助金確定額から按分</t>
  </si>
  <si>
    <t>（切捨て）</t>
  </si>
  <si>
    <t>切捨て</t>
  </si>
  <si>
    <r>
      <t xml:space="preserve">端数調整後
</t>
    </r>
    <r>
      <rPr>
        <sz val="10"/>
        <color indexed="8"/>
        <rFont val="ＭＳ ゴシック"/>
        <family val="3"/>
      </rPr>
      <t>（取得財産）</t>
    </r>
  </si>
  <si>
    <t>実績流用後の額</t>
  </si>
  <si>
    <t>＜補助金相当額の手当方法＞</t>
  </si>
  <si>
    <t>＜事業全体に要した経費調達一覧＞</t>
  </si>
  <si>
    <t>事業に要した経費(円)</t>
  </si>
  <si>
    <t>基本情報入力（使い方）</t>
  </si>
  <si>
    <t>経費明細表</t>
  </si>
  <si>
    <t>日本標準産業分類</t>
  </si>
  <si>
    <t>原材料費（小規模型のみ）</t>
  </si>
  <si>
    <t>外注加工費（小規模型のみ）</t>
  </si>
  <si>
    <t>委託費(小規模型のみ）</t>
  </si>
  <si>
    <t>知的財産権等関連経費(小規模型のみ）</t>
  </si>
  <si>
    <t>クラウド利用費（小規模型のみ）</t>
  </si>
  <si>
    <t>下記の各費用項目をクリックすると対象のシートに移動します。</t>
  </si>
  <si>
    <t>目次</t>
  </si>
  <si>
    <t>機械装置費（50万円未満）</t>
  </si>
  <si>
    <t>技術導入費</t>
  </si>
  <si>
    <t>運搬費</t>
  </si>
  <si>
    <t>専門家経費</t>
  </si>
  <si>
    <t>対象項目</t>
  </si>
  <si>
    <t>一般型</t>
  </si>
  <si>
    <t>小規模型</t>
  </si>
  <si>
    <t>高度生産性向上型</t>
  </si>
  <si>
    <t>結果</t>
  </si>
  <si>
    <t>条件</t>
  </si>
  <si>
    <t>照合金額</t>
  </si>
  <si>
    <t>判定</t>
  </si>
  <si>
    <t>補助下限額</t>
  </si>
  <si>
    <t>機械装置費で補助対象経費にして単価５０万円以上の設備投資が必要</t>
  </si>
  <si>
    <t>判定対象外</t>
  </si>
  <si>
    <t xml:space="preserve"> </t>
  </si>
  <si>
    <t>委託費</t>
  </si>
  <si>
    <t>知的財産権等関連経費</t>
  </si>
  <si>
    <t>※１：小規模型（試作開発等）が対象</t>
  </si>
  <si>
    <t>※２：小規模型（試作開発等）以外が対象</t>
  </si>
  <si>
    <t>←この塗りつぶしのあるセルに、必要に応じて入力をお願いします。（全シート対象）</t>
  </si>
  <si>
    <t>企業名を入力してください。</t>
  </si>
  <si>
    <t>このエクセルは事務処理の手引きの様式第６（実績報告書）の別紙２（経費明細表）と関連書類を</t>
  </si>
  <si>
    <t>052-123-4567</t>
  </si>
  <si>
    <t>№</t>
  </si>
  <si>
    <t>事業類型</t>
  </si>
  <si>
    <t>補助上限額</t>
  </si>
  <si>
    <t>事業内容</t>
  </si>
  <si>
    <t>事業内容（小規模）</t>
  </si>
  <si>
    <t>革新的サービス</t>
  </si>
  <si>
    <t>試作開発＋設備投資</t>
  </si>
  <si>
    <t>試作開発等</t>
  </si>
  <si>
    <t>ものづくり技術</t>
  </si>
  <si>
    <t>（試作開発等）</t>
  </si>
  <si>
    <t>設備投資のみ</t>
  </si>
  <si>
    <t>（設備投資のみ）</t>
  </si>
  <si>
    <t>（ＩｏＴ）</t>
  </si>
  <si>
    <t>（最新モデル）</t>
  </si>
  <si>
    <t>※２：小規模型（試作開発等）以外が対象</t>
  </si>
  <si>
    <r>
      <rPr>
        <sz val="9.5"/>
        <rFont val="ＭＳ Ｐゴシック"/>
        <family val="3"/>
      </rPr>
      <t>補助事業に要した経費</t>
    </r>
    <r>
      <rPr>
        <sz val="10"/>
        <rFont val="ＭＳ Ｐゴシック"/>
        <family val="3"/>
      </rPr>
      <t>（税込）
≧</t>
    </r>
    <r>
      <rPr>
        <sz val="9.5"/>
        <rFont val="ＭＳ Ｐゴシック"/>
        <family val="3"/>
      </rPr>
      <t>補助事業に要した経費</t>
    </r>
    <r>
      <rPr>
        <sz val="10"/>
        <rFont val="ＭＳ Ｐゴシック"/>
        <family val="3"/>
      </rPr>
      <t>（税抜）
≧補助対象経費
（セルB19～B28参照）</t>
    </r>
  </si>
  <si>
    <t>計上不可の経費区分に計上していないか
(セルA19～A28、C19～C28参照)</t>
  </si>
  <si>
    <t>ｋｇ</t>
  </si>
  <si>
    <t>ｇ</t>
  </si>
  <si>
    <t>件</t>
  </si>
  <si>
    <t>予算</t>
  </si>
  <si>
    <t>実績</t>
  </si>
  <si>
    <t>振込手数料800円（税抜き）先方負担のため減額あり</t>
  </si>
  <si>
    <t>資金（借入金）の調達先を入力してください。（自己資金の場合は空欄にしてください。）</t>
  </si>
  <si>
    <t>経理担当者の役職氏名TELを入力してください。</t>
  </si>
  <si>
    <t>（単位：円）</t>
  </si>
  <si>
    <t>原材料費(※）</t>
  </si>
  <si>
    <t>外注加工費(※）</t>
  </si>
  <si>
    <t>委託費(※）</t>
  </si>
  <si>
    <t>知的財産権等
関連経費(※）</t>
  </si>
  <si>
    <t>クラウド
利用費(※）</t>
  </si>
  <si>
    <t>原材料費</t>
  </si>
  <si>
    <t>クラウド利用費</t>
  </si>
  <si>
    <t>事業対象外の経費を使用していないか</t>
  </si>
  <si>
    <t>この経費区分の計上×
（小規模型以外の判定　予定）</t>
  </si>
  <si>
    <t>機械装置費以外の経費の補助金交付額は５００万円以下</t>
  </si>
  <si>
    <t>資金調達内訳</t>
  </si>
  <si>
    <t>（注1）　未使用費目（予算額において、当初（又は計画変更後）より補助金交付決定額欄に数値(額）のないもの）は科目として使用できません。</t>
  </si>
  <si>
    <t>（注2）　「経費区分」には上限が設定（外注加工費、委託費、知的財産権等関連経費）されているものがありますのでご注意ください。</t>
  </si>
  <si>
    <t>※小規模型「試作開発等」のみ使用可</t>
  </si>
  <si>
    <t>Ｂ金属株式会社</t>
  </si>
  <si>
    <t>この経費区分の計上×
小規模型試作開発等以外の判定</t>
  </si>
  <si>
    <t>経費明細表</t>
  </si>
  <si>
    <t>（図1）</t>
  </si>
  <si>
    <t>補助上限額（交付決定額）</t>
  </si>
  <si>
    <t>補助上限額（交付決定額）</t>
  </si>
  <si>
    <r>
      <t xml:space="preserve">ここで算定された流用可能額を、下記の点を考慮し、Y54～Y63に配分して下さい。
　・X54～X63 流用（配分する時の）順序の小さい番号から順に入力
　・W54～W63 </t>
    </r>
    <r>
      <rPr>
        <b/>
        <u val="single"/>
        <sz val="14"/>
        <color indexed="10"/>
        <rFont val="ＭＳ Ｐゴシック"/>
        <family val="3"/>
      </rPr>
      <t>各経費区分の流用上限額</t>
    </r>
    <r>
      <rPr>
        <b/>
        <sz val="14"/>
        <color indexed="30"/>
        <rFont val="ＭＳ Ｐゴシック"/>
        <family val="3"/>
      </rPr>
      <t>を超えないこと</t>
    </r>
  </si>
  <si>
    <t xml:space="preserve">  例：Ｂ金属株式会社</t>
  </si>
  <si>
    <t xml:space="preserve">  例：△○信用金庫　○○支店</t>
  </si>
  <si>
    <t xml:space="preserve">  例：総務部長　経済計子</t>
  </si>
  <si>
    <t xml:space="preserve">  例：052-123-4567</t>
  </si>
  <si>
    <t>（注1）支出明細は原材料費、機械装置費など「経費区分」別に記入してください。</t>
  </si>
  <si>
    <t>（注2）管理№ごとに、証拠書類を整備してください。</t>
  </si>
  <si>
    <t>（注3）単価の項目には、税込み又は税抜きの別を記入してください。</t>
  </si>
  <si>
    <t>（注4）本様式は、日本工業規格Ａ４判としてください。</t>
  </si>
  <si>
    <t>■ワークシート入力</t>
  </si>
  <si>
    <t>「費目別経費支出明細書」</t>
  </si>
  <si>
    <t>・請求書等の証拠書類をもとに、各経費のそれぞれの単価・数量・内容を入力すると、経費明細表へ自動的に反映されます。</t>
  </si>
  <si>
    <t>・消費税は原則円未満切り捨てにしてありますので、必要に応じて微調整をしてください。</t>
  </si>
  <si>
    <t>　※このＥＸＣＥＬのフォーマットは計算式に保護をかけています。</t>
  </si>
  <si>
    <t>　　保護を解除する場合は「校閲」のタブをクリックして、「シート保護の解除」をしてください。パスワードはかけていません。</t>
  </si>
  <si>
    <t>「経費明細表」</t>
  </si>
  <si>
    <t>・交付決定額または変更申請額を入力してください。</t>
  </si>
  <si>
    <t>・各経費の数値が「費目別経費支出明細書」の合計と一致しているか</t>
  </si>
  <si>
    <t>　確認してください。</t>
  </si>
  <si>
    <t>・補助金の額（実績額）が補助金交付決定額と異なる場合は、</t>
  </si>
  <si>
    <t>　各経費区分の流用上限額の範囲内（交付決定額と実績額の差）で</t>
  </si>
  <si>
    <t>　補助金の額を修正してください。</t>
  </si>
  <si>
    <t>・修正の仕方は</t>
  </si>
  <si>
    <t>　経費明細表3/3の”流用可能額早見表”を確認のうえ</t>
  </si>
  <si>
    <t>　”⑨流用額（セルＹ54～63）”　に適宜入力して、”この額を反映させる</t>
  </si>
  <si>
    <t>　　経費明細表1/3の補助金の額は自動で上書きされます。</t>
  </si>
  <si>
    <t>資金調達内訳</t>
  </si>
  <si>
    <t>・自動算出されますので、実績に合わせ変更してください。</t>
  </si>
  <si>
    <t>印刷</t>
  </si>
  <si>
    <t>・画面の「経費明細印刷（1/3）」「経費明細印刷（2/3）」「経費明細印刷（3/3）」（セルＨ9～Ｍ9）のボタンを</t>
  </si>
  <si>
    <t>　クリックして経費明細表と計算シート（チェックシート）を印刷してください。</t>
  </si>
  <si>
    <t>■基本情報入力</t>
  </si>
  <si>
    <r>
      <t>・交付申請時に上限調整が行われたり、計画変更の申請により上限調整された</t>
    </r>
    <r>
      <rPr>
        <b/>
        <sz val="12"/>
        <rFont val="ＭＳ ゴシック"/>
        <family val="3"/>
      </rPr>
      <t>補助対象経費</t>
    </r>
    <r>
      <rPr>
        <sz val="12"/>
        <rFont val="ＭＳ ゴシック"/>
        <family val="3"/>
      </rPr>
      <t>は、手修正を行ってください。</t>
    </r>
  </si>
  <si>
    <t>作成するために用意したものです。</t>
  </si>
  <si>
    <t>　（セルＺ50）”ボタンをクリックしてください。（図1参照）</t>
  </si>
</sst>
</file>

<file path=xl/styles.xml><?xml version="1.0" encoding="utf-8"?>
<styleSheet xmlns="http://schemas.openxmlformats.org/spreadsheetml/2006/main">
  <numFmts count="6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_);[Red]\(#,##0\)"/>
    <numFmt numFmtId="179" formatCode="&quot;Yes&quot;;&quot;Yes&quot;;&quot;No&quot;"/>
    <numFmt numFmtId="180" formatCode="&quot;True&quot;;&quot;True&quot;;&quot;False&quot;"/>
    <numFmt numFmtId="181" formatCode="&quot;On&quot;;&quot;On&quot;;&quot;Off&quot;"/>
    <numFmt numFmtId="182" formatCode="[$€-2]\ #,##0.00_);[Red]\([$€-2]\ #,##0.00\)"/>
    <numFmt numFmtId="183" formatCode="#,##0.0_ "/>
    <numFmt numFmtId="184" formatCode="#,##0.00_ "/>
    <numFmt numFmtId="185" formatCode="#,##0.000_ "/>
    <numFmt numFmtId="186" formatCode="0.0_ "/>
    <numFmt numFmtId="187" formatCode="0.000;_愌"/>
    <numFmt numFmtId="188" formatCode="#,##0.000_ ;[Red]\-#,##0.000\ "/>
    <numFmt numFmtId="189" formatCode="0.0"/>
    <numFmt numFmtId="190" formatCode="#,##0.0;[Red]\-#,##0.0"/>
    <numFmt numFmtId="191" formatCode="#,##0.0000_ "/>
    <numFmt numFmtId="192" formatCode="#,##0.00000_ "/>
    <numFmt numFmtId="193" formatCode="#,##0.000000_ "/>
    <numFmt numFmtId="194" formatCode="#,##0.000;[Red]\-#,##0.000"/>
    <numFmt numFmtId="195" formatCode="0.00_ "/>
    <numFmt numFmtId="196" formatCode="0.000_ "/>
    <numFmt numFmtId="197" formatCode="#,##0.0000;[Red]\-#,##0.0000"/>
    <numFmt numFmtId="198" formatCode="mmm\-yyyy"/>
    <numFmt numFmtId="199" formatCode="&quot;△&quot;\ #,##0;&quot;▲&quot;\ #,##0"/>
    <numFmt numFmtId="200" formatCode="###&quot;歳&quot;"/>
    <numFmt numFmtId="201" formatCode="#,##0;[Red]\-#,##0&quot;円&quot;"/>
    <numFmt numFmtId="202" formatCode="###.###&quot;％&quot;"/>
    <numFmt numFmtId="203" formatCode="0.000%\※"/>
    <numFmt numFmtId="204" formatCode="&quot;◆介護保険第2号被保険者は、40歳以上65歳未満の方であり、健康保険料率(&quot;0.00%&quot;)に介護保険料率(1.55%）が加わります。&quot;"/>
    <numFmt numFmtId="205" formatCode="m&quot;月&quot;d&quot;日&quot;;@"/>
    <numFmt numFmtId="206" formatCode="0;_⁖"/>
    <numFmt numFmtId="207" formatCode="0;_Ŗ"/>
    <numFmt numFmtId="208" formatCode="0.0;_Ŗ"/>
    <numFmt numFmtId="209" formatCode="0.00;_Ŗ"/>
    <numFmt numFmtId="210" formatCode="&quot;◆介護保険第2号被保険者は、40歳以上65歳未満の方であり、健康保険料率(&quot;0.00%&quot;)に介護保険料率(1.51%）が加わります。&quot;"/>
    <numFmt numFmtId="211" formatCode="0.0000_ "/>
    <numFmt numFmtId="212" formatCode="0.0%"/>
    <numFmt numFmtId="213" formatCode="#,##0&quot;円&quot;"/>
    <numFmt numFmtId="214" formatCode="#,##0_ ;[Red]\-#,##0\ "/>
    <numFmt numFmtId="215" formatCode="#,##0&quot;件&quot;"/>
    <numFmt numFmtId="216" formatCode="[h]:mm"/>
    <numFmt numFmtId="217" formatCode="&quot;◆介護保険第2号被保険者は、40歳以上65歳未満の方であり、健康保険料率(&quot;0.00%&quot;)に介護保険料率(1.72%）が加わります。&quot;"/>
    <numFmt numFmtId="218" formatCode="&quot;印刷番号：&quot;0"/>
    <numFmt numFmtId="219" formatCode="h:mm;@"/>
    <numFmt numFmtId="220" formatCode="&quot;印刷番号：&quot;00000000"/>
    <numFmt numFmtId="221" formatCode="0&quot;件&quot;"/>
    <numFmt numFmtId="222" formatCode="&quot;参考：補助上限額　&quot;#,##0&quot;円&quot;"/>
    <numFmt numFmtId="223" formatCode="yyyy/m/d;@"/>
    <numFmt numFmtId="224" formatCode="0.0000000000_ "/>
    <numFmt numFmtId="225" formatCode="0.00_);[Red]\(0.00\)"/>
  </numFmts>
  <fonts count="180">
    <font>
      <sz val="11"/>
      <color theme="1"/>
      <name val="Calibri"/>
      <family val="3"/>
    </font>
    <font>
      <sz val="11"/>
      <color indexed="8"/>
      <name val="ＭＳ Ｐゴシック"/>
      <family val="3"/>
    </font>
    <font>
      <sz val="6"/>
      <name val="ＭＳ Ｐゴシック"/>
      <family val="3"/>
    </font>
    <font>
      <sz val="9"/>
      <name val="ＭＳ ゴシック"/>
      <family val="3"/>
    </font>
    <font>
      <sz val="10"/>
      <name val="ＭＳ Ｐゴシック"/>
      <family val="3"/>
    </font>
    <font>
      <sz val="12"/>
      <name val="ＭＳ 明朝"/>
      <family val="1"/>
    </font>
    <font>
      <sz val="12"/>
      <name val="ＭＳ ゴシック"/>
      <family val="3"/>
    </font>
    <font>
      <sz val="11"/>
      <name val="ＭＳ Ｐゴシック"/>
      <family val="3"/>
    </font>
    <font>
      <sz val="10"/>
      <name val="ＭＳ ゴシック"/>
      <family val="3"/>
    </font>
    <font>
      <sz val="11"/>
      <name val="ＭＳ 明朝"/>
      <family val="1"/>
    </font>
    <font>
      <sz val="9"/>
      <name val="ＭＳ 明朝"/>
      <family val="1"/>
    </font>
    <font>
      <sz val="11"/>
      <name val="ＭＳ ゴシック"/>
      <family val="3"/>
    </font>
    <font>
      <b/>
      <sz val="18"/>
      <name val="ＭＳ ゴシック"/>
      <family val="3"/>
    </font>
    <font>
      <b/>
      <sz val="12"/>
      <name val="ＭＳ ゴシック"/>
      <family val="3"/>
    </font>
    <font>
      <b/>
      <sz val="11"/>
      <name val="ＭＳ ゴシック"/>
      <family val="3"/>
    </font>
    <font>
      <sz val="16"/>
      <name val="ＭＳ Ｐゴシック"/>
      <family val="3"/>
    </font>
    <font>
      <sz val="14"/>
      <name val="ＭＳ ゴシック"/>
      <family val="3"/>
    </font>
    <font>
      <b/>
      <sz val="14"/>
      <name val="ＭＳ ゴシック"/>
      <family val="3"/>
    </font>
    <font>
      <sz val="14"/>
      <name val="ＭＳ Ｐゴシック"/>
      <family val="3"/>
    </font>
    <font>
      <sz val="18"/>
      <name val="ＭＳ ゴシック"/>
      <family val="3"/>
    </font>
    <font>
      <sz val="16"/>
      <name val="ＭＳ ゴシック"/>
      <family val="3"/>
    </font>
    <font>
      <sz val="12"/>
      <name val="ＭＳ Ｐゴシック"/>
      <family val="3"/>
    </font>
    <font>
      <b/>
      <sz val="9"/>
      <name val="ＭＳ ゴシック"/>
      <family val="3"/>
    </font>
    <font>
      <b/>
      <sz val="12"/>
      <name val="ＭＳ Ｐゴシック"/>
      <family val="3"/>
    </font>
    <font>
      <b/>
      <sz val="14"/>
      <name val="ＭＳ Ｐゴシック"/>
      <family val="3"/>
    </font>
    <font>
      <sz val="20"/>
      <name val="ＭＳ Ｐゴシック"/>
      <family val="3"/>
    </font>
    <font>
      <b/>
      <u val="single"/>
      <sz val="14"/>
      <name val="ＭＳ Ｐゴシック"/>
      <family val="3"/>
    </font>
    <font>
      <b/>
      <sz val="11"/>
      <name val="ＭＳ Ｐゴシック"/>
      <family val="3"/>
    </font>
    <font>
      <sz val="18"/>
      <name val="ＭＳ Ｐゴシック"/>
      <family val="3"/>
    </font>
    <font>
      <sz val="9"/>
      <name val="Meiryo UI"/>
      <family val="3"/>
    </font>
    <font>
      <sz val="9.5"/>
      <name val="ＭＳ Ｐゴシック"/>
      <family val="3"/>
    </font>
    <font>
      <sz val="9"/>
      <name val="ＭＳ Ｐゴシック"/>
      <family val="3"/>
    </font>
    <font>
      <sz val="12"/>
      <color indexed="8"/>
      <name val="ＭＳ ゴシック"/>
      <family val="3"/>
    </font>
    <font>
      <b/>
      <sz val="16"/>
      <name val="ＭＳ Ｐゴシック"/>
      <family val="3"/>
    </font>
    <font>
      <b/>
      <sz val="14"/>
      <color indexed="30"/>
      <name val="ＭＳ Ｐゴシック"/>
      <family val="3"/>
    </font>
    <font>
      <b/>
      <u val="single"/>
      <sz val="14"/>
      <color indexed="10"/>
      <name val="ＭＳ Ｐゴシック"/>
      <family val="3"/>
    </font>
    <font>
      <sz val="10"/>
      <color indexed="8"/>
      <name val="ＭＳ ゴシック"/>
      <family val="3"/>
    </font>
    <font>
      <sz val="10"/>
      <name val="ＭＳ 明朝"/>
      <family val="1"/>
    </font>
    <font>
      <b/>
      <sz val="11"/>
      <color indexed="10"/>
      <name val="ＭＳ Ｐゴシック"/>
      <family val="3"/>
    </font>
    <font>
      <u val="single"/>
      <sz val="12"/>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8"/>
      <name val="ＭＳ Ｐゴシック"/>
      <family val="3"/>
    </font>
    <font>
      <sz val="11"/>
      <color indexed="8"/>
      <name val="ＭＳ ゴシック"/>
      <family val="3"/>
    </font>
    <font>
      <sz val="14"/>
      <color indexed="8"/>
      <name val="ＭＳ Ｐゴシック"/>
      <family val="3"/>
    </font>
    <font>
      <sz val="11"/>
      <color indexed="8"/>
      <name val="ＭＳ 明朝"/>
      <family val="1"/>
    </font>
    <font>
      <b/>
      <sz val="11"/>
      <color indexed="8"/>
      <name val="ＭＳ ゴシック"/>
      <family val="3"/>
    </font>
    <font>
      <sz val="12"/>
      <color indexed="8"/>
      <name val="ＭＳ Ｐゴシック"/>
      <family val="3"/>
    </font>
    <font>
      <sz val="9"/>
      <color indexed="8"/>
      <name val="ＭＳ Ｐゴシック"/>
      <family val="3"/>
    </font>
    <font>
      <sz val="16"/>
      <color indexed="8"/>
      <name val="ＭＳ Ｐゴシック"/>
      <family val="3"/>
    </font>
    <font>
      <sz val="12"/>
      <color indexed="10"/>
      <name val="ＭＳ Ｐゴシック"/>
      <family val="3"/>
    </font>
    <font>
      <b/>
      <sz val="14"/>
      <color indexed="56"/>
      <name val="ＭＳ Ｐゴシック"/>
      <family val="3"/>
    </font>
    <font>
      <b/>
      <sz val="9"/>
      <name val="ＭＳ Ｐゴシック"/>
      <family val="3"/>
    </font>
    <font>
      <b/>
      <sz val="14"/>
      <color indexed="9"/>
      <name val="ＭＳ Ｐゴシック"/>
      <family val="3"/>
    </font>
    <font>
      <b/>
      <sz val="14"/>
      <color indexed="9"/>
      <name val="ＭＳ ゴシック"/>
      <family val="3"/>
    </font>
    <font>
      <b/>
      <sz val="14"/>
      <color indexed="10"/>
      <name val="ＭＳ ゴシック"/>
      <family val="3"/>
    </font>
    <font>
      <u val="single"/>
      <sz val="11"/>
      <color indexed="8"/>
      <name val="ＭＳ ゴシック"/>
      <family val="3"/>
    </font>
    <font>
      <b/>
      <u val="single"/>
      <sz val="10"/>
      <color indexed="8"/>
      <name val="ＭＳ ゴシック"/>
      <family val="3"/>
    </font>
    <font>
      <sz val="18"/>
      <color indexed="8"/>
      <name val="ＭＳ ゴシック"/>
      <family val="3"/>
    </font>
    <font>
      <u val="single"/>
      <sz val="10"/>
      <color indexed="8"/>
      <name val="ＭＳ ゴシック"/>
      <family val="3"/>
    </font>
    <font>
      <sz val="16"/>
      <color indexed="56"/>
      <name val="ＭＳ Ｐゴシック"/>
      <family val="3"/>
    </font>
    <font>
      <sz val="12"/>
      <color indexed="56"/>
      <name val="ＭＳ Ｐゴシック"/>
      <family val="3"/>
    </font>
    <font>
      <sz val="11"/>
      <color indexed="56"/>
      <name val="ＭＳ Ｐゴシック"/>
      <family val="3"/>
    </font>
    <font>
      <sz val="14"/>
      <color indexed="56"/>
      <name val="ＭＳ Ｐゴシック"/>
      <family val="3"/>
    </font>
    <font>
      <b/>
      <u val="single"/>
      <sz val="14"/>
      <color indexed="30"/>
      <name val="ＭＳ Ｐゴシック"/>
      <family val="3"/>
    </font>
    <font>
      <b/>
      <sz val="12"/>
      <color indexed="10"/>
      <name val="ＭＳ Ｐゴシック"/>
      <family val="3"/>
    </font>
    <font>
      <b/>
      <sz val="12"/>
      <color indexed="30"/>
      <name val="ＭＳ Ｐゴシック"/>
      <family val="3"/>
    </font>
    <font>
      <b/>
      <sz val="11"/>
      <color indexed="30"/>
      <name val="ＭＳ ゴシック"/>
      <family val="3"/>
    </font>
    <font>
      <sz val="12"/>
      <color indexed="9"/>
      <name val="ＭＳ ゴシック"/>
      <family val="3"/>
    </font>
    <font>
      <b/>
      <sz val="12"/>
      <color indexed="8"/>
      <name val="ＭＳ ゴシック"/>
      <family val="3"/>
    </font>
    <font>
      <b/>
      <sz val="6"/>
      <name val="ＭＳ Ｐゴシック"/>
      <family val="3"/>
    </font>
    <font>
      <sz val="12"/>
      <color indexed="10"/>
      <name val="ＭＳ ゴシック"/>
      <family val="3"/>
    </font>
    <font>
      <sz val="18"/>
      <color indexed="8"/>
      <name val="ＭＳ Ｐゴシック"/>
      <family val="3"/>
    </font>
    <font>
      <b/>
      <sz val="36"/>
      <color indexed="21"/>
      <name val="ＭＳ Ｐゴシック"/>
      <family val="3"/>
    </font>
    <font>
      <sz val="12"/>
      <color indexed="47"/>
      <name val="ＭＳ ゴシック"/>
      <family val="3"/>
    </font>
    <font>
      <u val="single"/>
      <sz val="18"/>
      <color indexed="8"/>
      <name val="ＭＳ ゴシック"/>
      <family val="3"/>
    </font>
    <font>
      <u val="single"/>
      <sz val="18"/>
      <name val="ＭＳ Ｐゴシック"/>
      <family val="3"/>
    </font>
    <font>
      <b/>
      <sz val="14"/>
      <color indexed="8"/>
      <name val="ＭＳ Ｐゴシック"/>
      <family val="3"/>
    </font>
    <font>
      <sz val="8"/>
      <color indexed="8"/>
      <name val="ＭＳ Ｐゴシック"/>
      <family val="3"/>
    </font>
    <font>
      <sz val="13"/>
      <color indexed="56"/>
      <name val="ＭＳ Ｐゴシック"/>
      <family val="3"/>
    </font>
    <font>
      <b/>
      <sz val="14"/>
      <color indexed="21"/>
      <name val="ＭＳ Ｐゴシック"/>
      <family val="3"/>
    </font>
    <font>
      <sz val="26"/>
      <color indexed="30"/>
      <name val="ＭＳ Ｐゴシック"/>
      <family val="3"/>
    </font>
    <font>
      <sz val="9"/>
      <color indexed="8"/>
      <name val="Calibri"/>
      <family val="2"/>
    </font>
    <font>
      <sz val="9"/>
      <color indexed="10"/>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name val="Calibri"/>
      <family val="3"/>
    </font>
    <font>
      <sz val="10"/>
      <color theme="1"/>
      <name val="Calibri"/>
      <family val="3"/>
    </font>
    <font>
      <sz val="11"/>
      <color theme="1"/>
      <name val="ＭＳ ゴシック"/>
      <family val="3"/>
    </font>
    <font>
      <sz val="10"/>
      <name val="Calibri"/>
      <family val="3"/>
    </font>
    <font>
      <sz val="14"/>
      <color theme="1"/>
      <name val="Calibri"/>
      <family val="3"/>
    </font>
    <font>
      <sz val="14"/>
      <name val="Calibri"/>
      <family val="3"/>
    </font>
    <font>
      <sz val="11"/>
      <color theme="1"/>
      <name val="ＭＳ 明朝"/>
      <family val="1"/>
    </font>
    <font>
      <b/>
      <sz val="11"/>
      <color theme="1"/>
      <name val="ＭＳ ゴシック"/>
      <family val="3"/>
    </font>
    <font>
      <b/>
      <sz val="14"/>
      <name val="Calibri"/>
      <family val="3"/>
    </font>
    <font>
      <sz val="18"/>
      <name val="Calibri"/>
      <family val="3"/>
    </font>
    <font>
      <sz val="12"/>
      <color theme="1"/>
      <name val="Calibri"/>
      <family val="3"/>
    </font>
    <font>
      <sz val="12"/>
      <name val="Calibri"/>
      <family val="3"/>
    </font>
    <font>
      <sz val="12"/>
      <color theme="1"/>
      <name val="ＭＳ ゴシック"/>
      <family val="3"/>
    </font>
    <font>
      <b/>
      <sz val="11"/>
      <name val="Calibri"/>
      <family val="3"/>
    </font>
    <font>
      <sz val="9"/>
      <name val="Calibri"/>
      <family val="3"/>
    </font>
    <font>
      <sz val="9"/>
      <color theme="1"/>
      <name val="Calibri"/>
      <family val="3"/>
    </font>
    <font>
      <sz val="16"/>
      <color theme="1"/>
      <name val="Calibri"/>
      <family val="3"/>
    </font>
    <font>
      <sz val="16"/>
      <name val="Calibri"/>
      <family val="3"/>
    </font>
    <font>
      <b/>
      <sz val="12"/>
      <name val="Calibri"/>
      <family val="3"/>
    </font>
    <font>
      <sz val="12"/>
      <color rgb="FFFF0000"/>
      <name val="Calibri"/>
      <family val="3"/>
    </font>
    <font>
      <b/>
      <sz val="14"/>
      <color rgb="FF002060"/>
      <name val="Calibri"/>
      <family val="3"/>
    </font>
    <font>
      <b/>
      <sz val="9"/>
      <name val="Calibri"/>
      <family val="3"/>
    </font>
    <font>
      <b/>
      <sz val="14"/>
      <color theme="0"/>
      <name val="Calibri"/>
      <family val="3"/>
    </font>
    <font>
      <b/>
      <sz val="14"/>
      <color theme="0"/>
      <name val="ＭＳ ゴシック"/>
      <family val="3"/>
    </font>
    <font>
      <b/>
      <sz val="14"/>
      <color rgb="FFFF0000"/>
      <name val="ＭＳ ゴシック"/>
      <family val="3"/>
    </font>
    <font>
      <u val="single"/>
      <sz val="11"/>
      <color theme="1"/>
      <name val="ＭＳ ゴシック"/>
      <family val="3"/>
    </font>
    <font>
      <b/>
      <u val="single"/>
      <sz val="10"/>
      <color theme="1"/>
      <name val="ＭＳ ゴシック"/>
      <family val="3"/>
    </font>
    <font>
      <sz val="11"/>
      <color theme="1"/>
      <name val="ＭＳ Ｐゴシック"/>
      <family val="3"/>
    </font>
    <font>
      <sz val="10"/>
      <color theme="1"/>
      <name val="ＭＳ Ｐゴシック"/>
      <family val="3"/>
    </font>
    <font>
      <sz val="10"/>
      <color theme="1"/>
      <name val="ＭＳ ゴシック"/>
      <family val="3"/>
    </font>
    <font>
      <sz val="18"/>
      <color theme="1"/>
      <name val="ＭＳ ゴシック"/>
      <family val="3"/>
    </font>
    <font>
      <u val="single"/>
      <sz val="10"/>
      <color theme="1"/>
      <name val="ＭＳ ゴシック"/>
      <family val="3"/>
    </font>
    <font>
      <sz val="16"/>
      <color rgb="FF002060"/>
      <name val="ＭＳ Ｐゴシック"/>
      <family val="3"/>
    </font>
    <font>
      <sz val="12"/>
      <color rgb="FF002060"/>
      <name val="ＭＳ Ｐゴシック"/>
      <family val="3"/>
    </font>
    <font>
      <sz val="12"/>
      <color rgb="FF002060"/>
      <name val="Calibri"/>
      <family val="3"/>
    </font>
    <font>
      <sz val="11"/>
      <color rgb="FF002060"/>
      <name val="Calibri"/>
      <family val="3"/>
    </font>
    <font>
      <sz val="14"/>
      <color rgb="FF002060"/>
      <name val="Calibri"/>
      <family val="3"/>
    </font>
    <font>
      <b/>
      <sz val="11"/>
      <color rgb="FF002060"/>
      <name val="ＭＳ Ｐゴシック"/>
      <family val="3"/>
    </font>
    <font>
      <b/>
      <sz val="14"/>
      <color rgb="FF002060"/>
      <name val="ＭＳ Ｐゴシック"/>
      <family val="3"/>
    </font>
    <font>
      <b/>
      <u val="single"/>
      <sz val="14"/>
      <color rgb="FF0070C0"/>
      <name val="Calibri"/>
      <family val="3"/>
    </font>
    <font>
      <b/>
      <sz val="12"/>
      <color rgb="FFFF0000"/>
      <name val="Calibri"/>
      <family val="3"/>
    </font>
    <font>
      <b/>
      <sz val="12"/>
      <color rgb="FF0070C0"/>
      <name val="Calibri"/>
      <family val="3"/>
    </font>
    <font>
      <b/>
      <sz val="14"/>
      <color rgb="FF0070C0"/>
      <name val="ＭＳ Ｐゴシック"/>
      <family val="3"/>
    </font>
    <font>
      <b/>
      <sz val="11"/>
      <color rgb="FF0070C0"/>
      <name val="ＭＳ ゴシック"/>
      <family val="3"/>
    </font>
    <font>
      <sz val="12"/>
      <color theme="0"/>
      <name val="ＭＳ ゴシック"/>
      <family val="3"/>
    </font>
    <font>
      <b/>
      <sz val="12"/>
      <color theme="1"/>
      <name val="ＭＳ ゴシック"/>
      <family val="3"/>
    </font>
    <font>
      <b/>
      <sz val="6"/>
      <name val="Calibri"/>
      <family val="3"/>
    </font>
    <font>
      <sz val="12"/>
      <color rgb="FFFF0000"/>
      <name val="ＭＳ ゴシック"/>
      <family val="3"/>
    </font>
    <font>
      <sz val="18"/>
      <color theme="1"/>
      <name val="Calibri"/>
      <family val="3"/>
    </font>
    <font>
      <b/>
      <sz val="16"/>
      <name val="Calibri"/>
      <family val="3"/>
    </font>
    <font>
      <b/>
      <sz val="36"/>
      <color theme="8" tint="-0.4999699890613556"/>
      <name val="Calibri"/>
      <family val="3"/>
    </font>
    <font>
      <sz val="12"/>
      <color theme="9" tint="0.7999799847602844"/>
      <name val="ＭＳ ゴシック"/>
      <family val="3"/>
    </font>
    <font>
      <u val="single"/>
      <sz val="18"/>
      <color theme="1"/>
      <name val="ＭＳ ゴシック"/>
      <family val="3"/>
    </font>
    <font>
      <u val="single"/>
      <sz val="18"/>
      <name val="Calibri"/>
      <family val="3"/>
    </font>
    <font>
      <b/>
      <sz val="14"/>
      <color theme="1"/>
      <name val="Calibri"/>
      <family val="3"/>
    </font>
    <font>
      <sz val="11"/>
      <color rgb="FF002060"/>
      <name val="ＭＳ Ｐゴシック"/>
      <family val="3"/>
    </font>
    <font>
      <sz val="26"/>
      <color rgb="FF0070C0"/>
      <name val="Calibri"/>
      <family val="3"/>
    </font>
    <font>
      <b/>
      <sz val="14"/>
      <color theme="8" tint="-0.4999699890613556"/>
      <name val="Calibri"/>
      <family val="3"/>
    </font>
    <font>
      <b/>
      <sz val="11"/>
      <color rgb="FF002060"/>
      <name val="Calibri"/>
      <family val="3"/>
    </font>
    <font>
      <sz val="13"/>
      <color rgb="FF002060"/>
      <name val="Calibri"/>
      <family val="3"/>
    </font>
    <font>
      <sz val="8"/>
      <color theme="1"/>
      <name val="Calibri"/>
      <family val="3"/>
    </font>
    <font>
      <b/>
      <sz val="8"/>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FF"/>
        <bgColor indexed="64"/>
      </patternFill>
    </fill>
    <fill>
      <patternFill patternType="solid">
        <fgColor theme="8" tint="-0.24997000396251678"/>
        <bgColor indexed="64"/>
      </patternFill>
    </fill>
    <fill>
      <patternFill patternType="solid">
        <fgColor rgb="FF92D050"/>
        <bgColor indexed="64"/>
      </patternFill>
    </fill>
    <fill>
      <patternFill patternType="solid">
        <fgColor rgb="FFFFC000"/>
        <bgColor indexed="64"/>
      </patternFill>
    </fill>
    <fill>
      <patternFill patternType="solid">
        <fgColor rgb="FFFF0000"/>
        <bgColor indexed="64"/>
      </patternFill>
    </fill>
    <fill>
      <patternFill patternType="solid">
        <fgColor theme="0" tint="-0.24997000396251678"/>
        <bgColor indexed="64"/>
      </patternFill>
    </fill>
    <fill>
      <patternFill patternType="solid">
        <fgColor rgb="FFFDE9D9"/>
        <bgColor indexed="64"/>
      </patternFill>
    </fill>
    <fill>
      <patternFill patternType="solid">
        <fgColor rgb="FFFFFF00"/>
        <bgColor indexed="64"/>
      </patternFill>
    </fill>
  </fills>
  <borders count="2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medium"/>
      <bottom/>
    </border>
    <border>
      <left style="thin"/>
      <right/>
      <top/>
      <bottom style="medium"/>
    </border>
    <border>
      <left style="thin"/>
      <right style="thin"/>
      <top/>
      <bottom style="thin"/>
    </border>
    <border>
      <left style="thin"/>
      <right style="thin"/>
      <top style="thin"/>
      <bottom style="thin"/>
    </border>
    <border>
      <left/>
      <right style="thin"/>
      <top/>
      <bottom style="thin"/>
    </border>
    <border>
      <left/>
      <right style="thin"/>
      <top style="thin"/>
      <bottom style="thin"/>
    </border>
    <border>
      <left style="medium"/>
      <right style="thin"/>
      <top>
        <color indexed="63"/>
      </top>
      <bottom style="thin"/>
    </border>
    <border>
      <left style="medium"/>
      <right style="thin"/>
      <top style="thin"/>
      <bottom style="thin"/>
    </border>
    <border>
      <left/>
      <right/>
      <top/>
      <bottom style="medium"/>
    </border>
    <border>
      <left style="thin"/>
      <right style="thin"/>
      <top style="thin"/>
      <bottom/>
    </border>
    <border>
      <left style="medium"/>
      <right style="thin"/>
      <top style="thin"/>
      <bottom style="medium"/>
    </border>
    <border>
      <left style="thin"/>
      <right style="thin"/>
      <top/>
      <bottom style="medium"/>
    </border>
    <border>
      <left style="thin"/>
      <right style="thin"/>
      <top style="thin"/>
      <bottom style="medium"/>
    </border>
    <border>
      <left>
        <color indexed="63"/>
      </left>
      <right style="thin"/>
      <top style="thin"/>
      <bottom style="medium"/>
    </border>
    <border>
      <left style="thin"/>
      <right style="medium"/>
      <top/>
      <bottom style="medium"/>
    </border>
    <border>
      <left style="thin"/>
      <right style="thin"/>
      <top style="medium"/>
      <bottom style="thin"/>
    </border>
    <border>
      <left style="thin"/>
      <right style="medium"/>
      <top style="medium"/>
      <bottom style="medium"/>
    </border>
    <border>
      <left style="thin"/>
      <right style="thin"/>
      <top style="medium"/>
      <bottom style="medium"/>
    </border>
    <border>
      <left/>
      <right style="thin"/>
      <top/>
      <bottom style="medium"/>
    </border>
    <border>
      <left>
        <color indexed="63"/>
      </left>
      <right style="medium"/>
      <top>
        <color indexed="63"/>
      </top>
      <bottom style="medium"/>
    </border>
    <border>
      <left style="thin"/>
      <right/>
      <top style="thin"/>
      <bottom style="thin"/>
    </border>
    <border>
      <left style="thin"/>
      <right/>
      <top style="thin"/>
      <bottom style="medium"/>
    </border>
    <border>
      <left style="thin"/>
      <right style="thin"/>
      <top/>
      <bottom/>
    </border>
    <border>
      <left style="thin"/>
      <right/>
      <top style="thin"/>
      <bottom/>
    </border>
    <border>
      <left style="thin"/>
      <right style="thin"/>
      <top style="thin"/>
      <bottom style="hair"/>
    </border>
    <border>
      <left style="thin"/>
      <right style="thin"/>
      <top style="hair"/>
      <bottom style="hair"/>
    </border>
    <border>
      <left/>
      <right/>
      <top/>
      <bottom style="thin"/>
    </border>
    <border>
      <left style="thin"/>
      <right style="thin"/>
      <top style="hair"/>
      <bottom style="thin"/>
    </border>
    <border diagonalUp="1">
      <left style="thin"/>
      <right style="thin"/>
      <top style="thin"/>
      <bottom style="thin"/>
      <diagonal style="thin"/>
    </border>
    <border>
      <left style="thin"/>
      <right style="thick"/>
      <top style="thin"/>
      <bottom style="thin"/>
    </border>
    <border>
      <left style="thin"/>
      <right style="thick"/>
      <top style="thin"/>
      <bottom/>
    </border>
    <border>
      <left style="thick"/>
      <right/>
      <top/>
      <bottom/>
    </border>
    <border>
      <left style="thin"/>
      <right style="thick"/>
      <top/>
      <bottom>
        <color indexed="63"/>
      </bottom>
    </border>
    <border>
      <left/>
      <right/>
      <top style="thin"/>
      <bottom/>
    </border>
    <border>
      <left style="medium">
        <color rgb="FF002060"/>
      </left>
      <right style="medium">
        <color rgb="FF002060"/>
      </right>
      <top style="medium">
        <color rgb="FF002060"/>
      </top>
      <bottom/>
    </border>
    <border>
      <left/>
      <right style="thin"/>
      <top style="thin"/>
      <bottom/>
    </border>
    <border>
      <left style="mediumDashed">
        <color rgb="FF0070C0"/>
      </left>
      <right style="mediumDashed">
        <color rgb="FF0070C0"/>
      </right>
      <top style="mediumDashed">
        <color rgb="FF0070C0"/>
      </top>
      <bottom/>
    </border>
    <border>
      <left style="thin"/>
      <right style="medium">
        <color rgb="FFFF0000"/>
      </right>
      <top style="thin"/>
      <bottom>
        <color indexed="63"/>
      </bottom>
    </border>
    <border>
      <left style="medium">
        <color rgb="FFFF0000"/>
      </left>
      <right style="medium">
        <color rgb="FFFF0000"/>
      </right>
      <top style="medium">
        <color rgb="FFFF0000"/>
      </top>
      <bottom>
        <color indexed="63"/>
      </bottom>
    </border>
    <border>
      <left style="thin"/>
      <right/>
      <top/>
      <bottom/>
    </border>
    <border>
      <left style="medium">
        <color rgb="FF002060"/>
      </left>
      <right style="medium">
        <color rgb="FF002060"/>
      </right>
      <top>
        <color indexed="63"/>
      </top>
      <bottom>
        <color indexed="63"/>
      </bottom>
    </border>
    <border>
      <left/>
      <right style="thin"/>
      <top/>
      <bottom/>
    </border>
    <border>
      <left style="thin"/>
      <right style="medium">
        <color rgb="FFFF0000"/>
      </right>
      <top>
        <color indexed="63"/>
      </top>
      <bottom>
        <color indexed="63"/>
      </bottom>
    </border>
    <border>
      <left style="medium">
        <color rgb="FFFF0000"/>
      </left>
      <right style="medium">
        <color rgb="FFFF0000"/>
      </right>
      <top>
        <color indexed="63"/>
      </top>
      <bottom>
        <color indexed="63"/>
      </bottom>
    </border>
    <border>
      <left style="thin"/>
      <right/>
      <top/>
      <bottom style="thin"/>
    </border>
    <border>
      <left style="medium">
        <color rgb="FF002060"/>
      </left>
      <right style="medium">
        <color rgb="FF002060"/>
      </right>
      <top/>
      <bottom style="thin"/>
    </border>
    <border>
      <left style="thin"/>
      <right style="medium">
        <color rgb="FFFF0000"/>
      </right>
      <top/>
      <bottom style="thin"/>
    </border>
    <border>
      <left style="medium">
        <color rgb="FFFF0000"/>
      </left>
      <right style="medium">
        <color rgb="FFFF0000"/>
      </right>
      <top/>
      <bottom style="thin"/>
    </border>
    <border>
      <left style="thin"/>
      <right>
        <color indexed="63"/>
      </right>
      <top style="thin"/>
      <bottom style="hair"/>
    </border>
    <border>
      <left style="medium">
        <color rgb="FF002060"/>
      </left>
      <right style="medium">
        <color rgb="FF002060"/>
      </right>
      <top style="thin"/>
      <bottom style="hair"/>
    </border>
    <border>
      <left>
        <color indexed="63"/>
      </left>
      <right style="thin"/>
      <top style="thin"/>
      <bottom style="hair"/>
    </border>
    <border>
      <left style="mediumDashed">
        <color rgb="FF0070C0"/>
      </left>
      <right style="mediumDashed">
        <color rgb="FF0070C0"/>
      </right>
      <top style="thin"/>
      <bottom style="hair"/>
    </border>
    <border>
      <left>
        <color indexed="63"/>
      </left>
      <right>
        <color indexed="63"/>
      </right>
      <top style="thin"/>
      <bottom style="hair"/>
    </border>
    <border>
      <left style="medium">
        <color rgb="FFFF0000"/>
      </left>
      <right style="medium">
        <color rgb="FFFF0000"/>
      </right>
      <top style="thin"/>
      <bottom style="hair"/>
    </border>
    <border>
      <left style="thin"/>
      <right/>
      <top style="hair"/>
      <bottom style="hair"/>
    </border>
    <border>
      <left style="medium">
        <color rgb="FF002060"/>
      </left>
      <right style="medium">
        <color rgb="FF002060"/>
      </right>
      <top style="hair"/>
      <bottom style="hair"/>
    </border>
    <border>
      <left/>
      <right style="thin"/>
      <top style="hair"/>
      <bottom style="hair"/>
    </border>
    <border>
      <left style="mediumDashed">
        <color rgb="FF0070C0"/>
      </left>
      <right style="mediumDashed">
        <color rgb="FF0070C0"/>
      </right>
      <top style="hair"/>
      <bottom style="hair"/>
    </border>
    <border>
      <left/>
      <right>
        <color indexed="63"/>
      </right>
      <top style="hair"/>
      <bottom style="hair"/>
    </border>
    <border>
      <left style="medium">
        <color rgb="FFFF0000"/>
      </left>
      <right style="medium">
        <color rgb="FFFF0000"/>
      </right>
      <top style="hair"/>
      <bottom style="hair"/>
    </border>
    <border>
      <left style="thin"/>
      <right>
        <color indexed="63"/>
      </right>
      <top style="hair"/>
      <bottom style="thin"/>
    </border>
    <border>
      <left>
        <color indexed="63"/>
      </left>
      <right style="thin"/>
      <top style="hair"/>
      <bottom style="thin"/>
    </border>
    <border>
      <left style="mediumDashed">
        <color rgb="FF0070C0"/>
      </left>
      <right style="mediumDashed">
        <color rgb="FF0070C0"/>
      </right>
      <top style="hair"/>
      <bottom style="thin"/>
    </border>
    <border>
      <left style="medium">
        <color rgb="FFFF0000"/>
      </left>
      <right style="medium">
        <color rgb="FFFF0000"/>
      </right>
      <top style="hair"/>
      <bottom style="thin"/>
    </border>
    <border>
      <left style="mediumDashed">
        <color rgb="FF0070C0"/>
      </left>
      <right style="mediumDashed">
        <color rgb="FF0070C0"/>
      </right>
      <top/>
      <bottom style="mediumDashed">
        <color rgb="FF0070C0"/>
      </bottom>
    </border>
    <border>
      <left style="medium">
        <color rgb="FFFF0000"/>
      </left>
      <right style="medium">
        <color rgb="FFFF0000"/>
      </right>
      <top>
        <color indexed="63"/>
      </top>
      <bottom style="medium">
        <color rgb="FFFF0000"/>
      </bottom>
    </border>
    <border>
      <left style="double">
        <color rgb="FF002060"/>
      </left>
      <right style="thin">
        <color rgb="FF002060"/>
      </right>
      <top style="double">
        <color rgb="FF002060"/>
      </top>
      <bottom style="thin">
        <color rgb="FF002060"/>
      </bottom>
    </border>
    <border>
      <left style="thin">
        <color rgb="FF002060"/>
      </left>
      <right style="thin">
        <color rgb="FF002060"/>
      </right>
      <top style="double">
        <color rgb="FF002060"/>
      </top>
      <bottom style="thin">
        <color rgb="FF002060"/>
      </bottom>
    </border>
    <border>
      <left style="thin">
        <color rgb="FF002060"/>
      </left>
      <right style="double">
        <color rgb="FF002060"/>
      </right>
      <top style="double">
        <color rgb="FF002060"/>
      </top>
      <bottom style="thin">
        <color rgb="FF002060"/>
      </bottom>
    </border>
    <border>
      <left style="double">
        <color rgb="FF002060"/>
      </left>
      <right style="thin">
        <color rgb="FF002060"/>
      </right>
      <top style="thin">
        <color rgb="FF002060"/>
      </top>
      <bottom style="thin">
        <color rgb="FF002060"/>
      </bottom>
    </border>
    <border>
      <left style="thin">
        <color rgb="FF002060"/>
      </left>
      <right style="thin">
        <color rgb="FF002060"/>
      </right>
      <top style="thin">
        <color rgb="FF002060"/>
      </top>
      <bottom style="thin">
        <color rgb="FF002060"/>
      </bottom>
    </border>
    <border>
      <left style="thin">
        <color rgb="FF002060"/>
      </left>
      <right style="double">
        <color rgb="FF002060"/>
      </right>
      <top style="thin">
        <color rgb="FF002060"/>
      </top>
      <bottom style="thin">
        <color rgb="FF002060"/>
      </bottom>
    </border>
    <border>
      <left style="double">
        <color rgb="FF002060"/>
      </left>
      <right style="thin">
        <color rgb="FF002060"/>
      </right>
      <top style="thin">
        <color rgb="FF002060"/>
      </top>
      <bottom style="double">
        <color rgb="FF002060"/>
      </bottom>
    </border>
    <border>
      <left style="thin">
        <color rgb="FF002060"/>
      </left>
      <right style="thin">
        <color rgb="FF002060"/>
      </right>
      <top style="thin">
        <color rgb="FF002060"/>
      </top>
      <bottom style="double">
        <color rgb="FF002060"/>
      </bottom>
    </border>
    <border>
      <left style="thin">
        <color rgb="FF002060"/>
      </left>
      <right style="double">
        <color rgb="FF002060"/>
      </right>
      <top style="thin">
        <color rgb="FF002060"/>
      </top>
      <bottom style="double">
        <color rgb="FF002060"/>
      </bottom>
    </border>
    <border>
      <left style="medium">
        <color rgb="FF002060"/>
      </left>
      <right style="thin"/>
      <top style="thin"/>
      <bottom>
        <color indexed="63"/>
      </bottom>
    </border>
    <border>
      <left style="medium">
        <color rgb="FF002060"/>
      </left>
      <right style="thin"/>
      <top style="thin"/>
      <bottom style="hair"/>
    </border>
    <border>
      <left style="medium">
        <color rgb="FF002060"/>
      </left>
      <right style="thin"/>
      <top style="hair"/>
      <bottom style="hair"/>
    </border>
    <border>
      <left style="medium">
        <color rgb="FF002060"/>
      </left>
      <right style="thin"/>
      <top style="hair"/>
      <bottom style="thin"/>
    </border>
    <border>
      <left style="medium">
        <color rgb="FF002060"/>
      </left>
      <right style="thin"/>
      <top>
        <color indexed="63"/>
      </top>
      <bottom style="thin"/>
    </border>
    <border>
      <left style="thin"/>
      <right/>
      <top style="medium"/>
      <bottom/>
    </border>
    <border>
      <left style="thin"/>
      <right style="thin"/>
      <top style="double"/>
      <bottom style="thin"/>
    </border>
    <border>
      <left style="thin"/>
      <right style="thin"/>
      <top style="thin"/>
      <bottom style="double"/>
    </border>
    <border>
      <left>
        <color indexed="63"/>
      </left>
      <right style="medium"/>
      <top/>
      <bottom style="thin"/>
    </border>
    <border>
      <left style="thin"/>
      <right style="medium"/>
      <top/>
      <bottom style="thin"/>
    </border>
    <border diagonalUp="1">
      <left>
        <color indexed="63"/>
      </left>
      <right style="thin"/>
      <top>
        <color indexed="63"/>
      </top>
      <bottom style="thin"/>
      <diagonal style="thin"/>
    </border>
    <border diagonalUp="1">
      <left style="thin"/>
      <right style="thin"/>
      <top>
        <color indexed="63"/>
      </top>
      <bottom style="thin"/>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left style="thin"/>
      <right style="medium">
        <color rgb="FFFF0000"/>
      </right>
      <top style="thin"/>
      <bottom style="hair"/>
    </border>
    <border>
      <left style="thin"/>
      <right style="medium">
        <color rgb="FFFF0000"/>
      </right>
      <top style="hair"/>
      <bottom style="hair"/>
    </border>
    <border>
      <left style="thin"/>
      <right style="medium">
        <color rgb="FFFF0000"/>
      </right>
      <top style="hair"/>
      <bottom style="thin"/>
    </border>
    <border>
      <left style="thin"/>
      <right style="thin"/>
      <top>
        <color indexed="63"/>
      </top>
      <bottom style="hair"/>
    </border>
    <border>
      <left style="medium"/>
      <right style="medium"/>
      <top>
        <color indexed="63"/>
      </top>
      <bottom style="medium"/>
    </border>
    <border>
      <left style="medium"/>
      <right style="medium"/>
      <top style="thin"/>
      <bottom style="thin"/>
    </border>
    <border>
      <left>
        <color indexed="63"/>
      </left>
      <right>
        <color indexed="63"/>
      </right>
      <top style="hair"/>
      <bottom style="thin"/>
    </border>
    <border>
      <left style="medium">
        <color rgb="FF0070C0"/>
      </left>
      <right style="thick">
        <color rgb="FF0070C0"/>
      </right>
      <top style="thick">
        <color rgb="FF0070C0"/>
      </top>
      <bottom style="medium">
        <color rgb="FF0070C0"/>
      </bottom>
    </border>
    <border>
      <left style="medium">
        <color rgb="FF002060"/>
      </left>
      <right style="medium">
        <color rgb="FF002060"/>
      </right>
      <top style="hair"/>
      <bottom>
        <color indexed="63"/>
      </bottom>
    </border>
    <border>
      <left style="medium">
        <color rgb="FF002060"/>
      </left>
      <right style="medium">
        <color rgb="FF002060"/>
      </right>
      <top style="thin">
        <color rgb="FF002060"/>
      </top>
      <bottom style="medium">
        <color rgb="FF002060"/>
      </bottom>
    </border>
    <border>
      <left style="thin">
        <color rgb="FF002060"/>
      </left>
      <right style="medium">
        <color rgb="FF002060"/>
      </right>
      <top style="medium">
        <color rgb="FF002060"/>
      </top>
      <bottom style="thin">
        <color rgb="FF002060"/>
      </bottom>
    </border>
    <border>
      <left style="thin"/>
      <right style="medium"/>
      <top style="thin">
        <color rgb="FF002060"/>
      </top>
      <bottom style="thin">
        <color rgb="FF002060"/>
      </bottom>
    </border>
    <border>
      <left style="thin">
        <color rgb="FF002060"/>
      </left>
      <right style="medium"/>
      <top style="thin">
        <color rgb="FF002060"/>
      </top>
      <bottom style="medium">
        <color rgb="FF002060"/>
      </bottom>
    </border>
    <border>
      <left style="medium"/>
      <right style="medium"/>
      <top style="medium"/>
      <bottom>
        <color indexed="63"/>
      </bottom>
    </border>
    <border>
      <left style="medium">
        <color rgb="FF0070C0"/>
      </left>
      <right style="thick">
        <color rgb="FF0070C0"/>
      </right>
      <top style="medium">
        <color rgb="FF0070C0"/>
      </top>
      <bottom style="medium">
        <color rgb="FF0070C0"/>
      </bottom>
    </border>
    <border>
      <left style="medium">
        <color rgb="FF0070C0"/>
      </left>
      <right style="thick">
        <color rgb="FF0070C0"/>
      </right>
      <top style="medium">
        <color rgb="FF0070C0"/>
      </top>
      <bottom style="thick">
        <color rgb="FF0070C0"/>
      </bottom>
    </border>
    <border>
      <left style="medium">
        <color rgb="FFFF0000"/>
      </left>
      <right style="thin"/>
      <top style="thin"/>
      <bottom style="hair"/>
    </border>
    <border>
      <left style="medium">
        <color rgb="FFFF0000"/>
      </left>
      <right style="thin"/>
      <top style="hair"/>
      <bottom style="hair"/>
    </border>
    <border>
      <left style="medium">
        <color rgb="FFFF0000"/>
      </left>
      <right style="thin"/>
      <top style="hair"/>
      <bottom style="thin"/>
    </border>
    <border>
      <left style="medium"/>
      <right style="medium"/>
      <top style="medium"/>
      <bottom style="medium"/>
    </border>
    <border>
      <left style="medium"/>
      <right style="medium"/>
      <top style="thin"/>
      <bottom>
        <color indexed="63"/>
      </bottom>
    </border>
    <border>
      <left style="medium"/>
      <right style="medium"/>
      <top style="medium"/>
      <bottom style="thin"/>
    </border>
    <border>
      <left>
        <color indexed="63"/>
      </left>
      <right style="medium"/>
      <top style="thin"/>
      <bottom style="thin"/>
    </border>
    <border>
      <left style="medium"/>
      <right style="thin"/>
      <top style="thin"/>
      <bottom>
        <color indexed="63"/>
      </bottom>
    </border>
    <border>
      <left>
        <color indexed="63"/>
      </left>
      <right style="medium"/>
      <top style="thin"/>
      <bottom>
        <color indexed="63"/>
      </bottom>
    </border>
    <border>
      <left style="medium"/>
      <right style="thin"/>
      <top style="medium"/>
      <bottom style="medium"/>
    </border>
    <border>
      <left>
        <color indexed="63"/>
      </left>
      <right style="medium"/>
      <top style="medium"/>
      <bottom style="medium"/>
    </border>
    <border>
      <left style="double">
        <color rgb="FF002060"/>
      </left>
      <right>
        <color indexed="63"/>
      </right>
      <top>
        <color indexed="63"/>
      </top>
      <bottom>
        <color indexed="63"/>
      </bottom>
    </border>
    <border>
      <left>
        <color indexed="63"/>
      </left>
      <right>
        <color indexed="63"/>
      </right>
      <top style="hair"/>
      <bottom>
        <color indexed="63"/>
      </bottom>
    </border>
    <border>
      <left style="double"/>
      <right style="thin"/>
      <top style="thin"/>
      <bottom style="double"/>
    </border>
    <border>
      <left style="thin"/>
      <right style="double"/>
      <top style="thin"/>
      <bottom style="double"/>
    </border>
    <border>
      <left>
        <color indexed="63"/>
      </left>
      <right style="thin"/>
      <top style="thin"/>
      <bottom style="double"/>
    </border>
    <border>
      <left style="thin"/>
      <right style="double"/>
      <top style="double"/>
      <bottom style="thin"/>
    </border>
    <border>
      <left>
        <color indexed="63"/>
      </left>
      <right style="thin"/>
      <top style="double"/>
      <bottom style="thin"/>
    </border>
    <border>
      <left style="thin"/>
      <right style="double"/>
      <top/>
      <bottom style="thin"/>
    </border>
    <border>
      <left style="thin"/>
      <right style="double"/>
      <top style="thin"/>
      <bottom style="thin"/>
    </border>
    <border>
      <left style="double"/>
      <right style="thin"/>
      <top/>
      <bottom style="thin"/>
    </border>
    <border>
      <left style="thick"/>
      <right style="thin"/>
      <top style="thin"/>
      <bottom style="hair"/>
    </border>
    <border>
      <left style="thin"/>
      <right style="thick"/>
      <top style="thin"/>
      <bottom style="hair"/>
    </border>
    <border>
      <left style="thick"/>
      <right style="thin"/>
      <top style="hair"/>
      <bottom style="hair"/>
    </border>
    <border>
      <left style="thin"/>
      <right style="thick"/>
      <top style="hair"/>
      <bottom style="hair"/>
    </border>
    <border>
      <left style="thick"/>
      <right style="thin"/>
      <top style="hair"/>
      <bottom style="thin"/>
    </border>
    <border>
      <left style="thin"/>
      <right style="thick"/>
      <top style="hair"/>
      <bottom style="thin"/>
    </border>
    <border>
      <left style="thick"/>
      <right style="thin"/>
      <top/>
      <bottom style="thick"/>
    </border>
    <border>
      <left style="thin"/>
      <right style="thin"/>
      <top/>
      <bottom style="thick"/>
    </border>
    <border>
      <left style="thick"/>
      <right style="thin"/>
      <top style="thick"/>
      <bottom style="hair"/>
    </border>
    <border>
      <left style="thick"/>
      <right style="thin"/>
      <top style="hair"/>
      <bottom style="thick"/>
    </border>
    <border>
      <left>
        <color indexed="63"/>
      </left>
      <right style="thick"/>
      <top style="hair"/>
      <bottom style="thick"/>
    </border>
    <border>
      <left style="mediumDashed">
        <color rgb="FF0070C0"/>
      </left>
      <right style="thin"/>
      <top style="hair"/>
      <bottom style="thin"/>
    </border>
    <border>
      <left>
        <color indexed="63"/>
      </left>
      <right style="thick"/>
      <top style="hair"/>
      <bottom style="hair"/>
    </border>
    <border>
      <left style="thick"/>
      <right style="thick"/>
      <top>
        <color indexed="63"/>
      </top>
      <bottom style="thick"/>
    </border>
    <border>
      <left style="hair"/>
      <right style="thick"/>
      <top style="thin"/>
      <bottom style="hair"/>
    </border>
    <border>
      <left style="hair"/>
      <right style="thick"/>
      <top style="hair"/>
      <bottom style="hair"/>
    </border>
    <border>
      <left style="hair"/>
      <right style="thick"/>
      <top style="hair"/>
      <bottom style="thin"/>
    </border>
    <border>
      <left>
        <color indexed="63"/>
      </left>
      <right style="thick"/>
      <top style="thin"/>
      <bottom style="hair"/>
    </border>
    <border>
      <left>
        <color indexed="63"/>
      </left>
      <right style="thick"/>
      <top style="hair"/>
      <bottom style="thin"/>
    </border>
    <border>
      <left style="double"/>
      <right style="thin"/>
      <top style="double"/>
      <bottom style="thin"/>
    </border>
    <border>
      <left style="thin"/>
      <right style="hair"/>
      <top style="thin"/>
      <bottom style="hair"/>
    </border>
    <border>
      <left style="hair"/>
      <right style="hair"/>
      <top style="thin"/>
      <bottom style="hair"/>
    </border>
    <border>
      <left style="thin"/>
      <right style="hair"/>
      <top style="hair"/>
      <bottom style="hair"/>
    </border>
    <border>
      <left style="hair"/>
      <right style="hair"/>
      <top style="hair"/>
      <bottom style="hair"/>
    </border>
    <border>
      <left style="thin"/>
      <right style="hair"/>
      <top style="hair"/>
      <bottom style="thin"/>
    </border>
    <border>
      <left style="hair"/>
      <right style="hair"/>
      <top style="hair"/>
      <bottom style="thin"/>
    </border>
    <border>
      <left/>
      <right/>
      <top style="thin"/>
      <bottom style="thin"/>
    </border>
    <border>
      <left style="double"/>
      <right/>
      <top style="thin"/>
      <bottom style="thin"/>
    </border>
    <border>
      <left style="thin"/>
      <right style="double"/>
      <top style="thin"/>
      <bottom>
        <color indexed="63"/>
      </bottom>
    </border>
    <border>
      <left style="thin"/>
      <right style="double"/>
      <top>
        <color indexed="63"/>
      </top>
      <bottom style="double"/>
    </border>
    <border>
      <left>
        <color indexed="63"/>
      </left>
      <right style="double"/>
      <top style="thin"/>
      <bottom style="thin"/>
    </border>
    <border>
      <left style="thick">
        <color rgb="FF0070C0"/>
      </left>
      <right style="medium">
        <color rgb="FF0070C0"/>
      </right>
      <top style="medium">
        <color rgb="FF0070C0"/>
      </top>
      <bottom style="medium">
        <color rgb="FF0070C0"/>
      </bottom>
    </border>
    <border>
      <left style="medium">
        <color rgb="FF0070C0"/>
      </left>
      <right style="medium">
        <color rgb="FF0070C0"/>
      </right>
      <top style="medium">
        <color rgb="FF0070C0"/>
      </top>
      <bottom style="medium">
        <color rgb="FF0070C0"/>
      </bottom>
    </border>
    <border>
      <left style="thick">
        <color rgb="FF0070C0"/>
      </left>
      <right style="medium">
        <color rgb="FF0070C0"/>
      </right>
      <top style="medium">
        <color rgb="FF0070C0"/>
      </top>
      <bottom style="thick">
        <color rgb="FF0070C0"/>
      </bottom>
    </border>
    <border>
      <left style="medium">
        <color rgb="FF0070C0"/>
      </left>
      <right style="medium">
        <color rgb="FF0070C0"/>
      </right>
      <top style="medium">
        <color rgb="FF0070C0"/>
      </top>
      <bottom style="thick">
        <color rgb="FF0070C0"/>
      </bottom>
    </border>
    <border>
      <left style="medium">
        <color rgb="FF002060"/>
      </left>
      <right>
        <color indexed="63"/>
      </right>
      <top style="medium">
        <color rgb="FF002060"/>
      </top>
      <bottom style="thin">
        <color rgb="FF002060"/>
      </bottom>
    </border>
    <border>
      <left>
        <color indexed="63"/>
      </left>
      <right style="thin">
        <color rgb="FF002060"/>
      </right>
      <top style="medium">
        <color rgb="FF002060"/>
      </top>
      <bottom style="thin">
        <color rgb="FF002060"/>
      </bottom>
    </border>
    <border>
      <left style="medium"/>
      <right style="thin"/>
      <top style="thin">
        <color rgb="FF002060"/>
      </top>
      <bottom style="thin">
        <color rgb="FF002060"/>
      </bottom>
    </border>
    <border>
      <left style="thin"/>
      <right style="thin"/>
      <top style="thin">
        <color rgb="FF002060"/>
      </top>
      <bottom style="thin">
        <color rgb="FF002060"/>
      </bottom>
    </border>
    <border>
      <left style="thin"/>
      <right>
        <color indexed="63"/>
      </right>
      <top style="hair"/>
      <bottom style="thick"/>
    </border>
    <border>
      <left>
        <color indexed="63"/>
      </left>
      <right>
        <color indexed="63"/>
      </right>
      <top style="hair"/>
      <bottom style="thick"/>
    </border>
    <border>
      <left style="mediumDashed">
        <color rgb="FF0070C0"/>
      </left>
      <right style="mediumDashed">
        <color rgb="FF0070C0"/>
      </right>
      <top/>
      <bottom/>
    </border>
    <border>
      <left style="mediumDashed">
        <color rgb="FF0070C0"/>
      </left>
      <right style="mediumDashed">
        <color rgb="FF0070C0"/>
      </right>
      <top/>
      <bottom style="thin"/>
    </border>
    <border>
      <left>
        <color indexed="63"/>
      </left>
      <right>
        <color indexed="63"/>
      </right>
      <top>
        <color indexed="63"/>
      </top>
      <bottom style="double">
        <color rgb="FF002060"/>
      </bottom>
    </border>
    <border>
      <left style="thick">
        <color rgb="FF0070C0"/>
      </left>
      <right style="medium">
        <color rgb="FF0070C0"/>
      </right>
      <top style="thick">
        <color rgb="FF0070C0"/>
      </top>
      <bottom style="medium">
        <color rgb="FF0070C0"/>
      </bottom>
    </border>
    <border>
      <left style="medium">
        <color rgb="FF0070C0"/>
      </left>
      <right style="medium">
        <color rgb="FF0070C0"/>
      </right>
      <top style="thick">
        <color rgb="FF0070C0"/>
      </top>
      <bottom style="medium">
        <color rgb="FF0070C0"/>
      </bottom>
    </border>
    <border>
      <left>
        <color indexed="63"/>
      </left>
      <right style="thick">
        <color rgb="FF0070C0"/>
      </right>
      <top>
        <color indexed="63"/>
      </top>
      <bottom>
        <color indexed="63"/>
      </bottom>
    </border>
    <border>
      <left style="thick">
        <color theme="8" tint="-0.4999699890613556"/>
      </left>
      <right style="thick">
        <color theme="8" tint="-0.4999699890613556"/>
      </right>
      <top style="thick">
        <color theme="8" tint="-0.4999699890613556"/>
      </top>
      <bottom>
        <color indexed="63"/>
      </bottom>
    </border>
    <border>
      <left style="thick">
        <color theme="8" tint="-0.4999699890613556"/>
      </left>
      <right style="thick">
        <color theme="8" tint="-0.4999699890613556"/>
      </right>
      <top>
        <color indexed="63"/>
      </top>
      <bottom>
        <color indexed="63"/>
      </bottom>
    </border>
    <border>
      <left style="thick">
        <color theme="8" tint="-0.4999699890613556"/>
      </left>
      <right style="thick">
        <color theme="8" tint="-0.4999699890613556"/>
      </right>
      <top>
        <color indexed="63"/>
      </top>
      <bottom style="thick">
        <color theme="8" tint="-0.4999699890613556"/>
      </bottom>
    </border>
    <border>
      <left style="medium">
        <color rgb="FF002060"/>
      </left>
      <right style="thin"/>
      <top>
        <color indexed="63"/>
      </top>
      <bottom>
        <color indexed="63"/>
      </bottom>
    </border>
    <border>
      <left style="medium"/>
      <right>
        <color indexed="63"/>
      </right>
      <top style="thin">
        <color rgb="FF002060"/>
      </top>
      <bottom style="medium">
        <color rgb="FF002060"/>
      </bottom>
    </border>
    <border>
      <left>
        <color indexed="63"/>
      </left>
      <right style="thin">
        <color rgb="FF002060"/>
      </right>
      <top style="thin">
        <color rgb="FF002060"/>
      </top>
      <bottom style="medium">
        <color rgb="FF002060"/>
      </bottom>
    </border>
    <border>
      <left style="thin"/>
      <right style="hair"/>
      <top style="thin"/>
      <bottom/>
    </border>
    <border>
      <left style="thin"/>
      <right style="hair"/>
      <top/>
      <bottom style="thin"/>
    </border>
    <border>
      <left style="thick">
        <color theme="8" tint="-0.4999699890613556"/>
      </left>
      <right style="thick">
        <color theme="8" tint="-0.4999699890613556"/>
      </right>
      <top style="thick">
        <color theme="8" tint="-0.4999699890613556"/>
      </top>
      <bottom style="thin"/>
    </border>
    <border>
      <left style="thick">
        <color theme="8" tint="-0.4999699890613556"/>
      </left>
      <right style="thick">
        <color theme="8" tint="-0.4999699890613556"/>
      </right>
      <top style="thin"/>
      <bottom style="thin"/>
    </border>
    <border>
      <left style="thick">
        <color theme="8" tint="-0.4999699890613556"/>
      </left>
      <right style="thick">
        <color theme="8" tint="-0.4999699890613556"/>
      </right>
      <top style="thin"/>
      <bottom/>
    </border>
    <border>
      <left style="thick"/>
      <right style="thin"/>
      <top style="thin"/>
      <bottom style="thin"/>
    </border>
    <border>
      <left>
        <color indexed="63"/>
      </left>
      <right>
        <color indexed="63"/>
      </right>
      <top style="thick"/>
      <bottom>
        <color indexed="63"/>
      </bottom>
    </border>
    <border>
      <left style="thin"/>
      <right style="thin"/>
      <top style="thick"/>
      <bottom style="hair"/>
    </border>
    <border>
      <left style="thin"/>
      <right style="thick"/>
      <top style="thick"/>
      <bottom style="hair"/>
    </border>
    <border>
      <left style="hair"/>
      <right style="hair"/>
      <top>
        <color indexed="63"/>
      </top>
      <bottom style="thin"/>
    </border>
    <border>
      <left style="hair"/>
      <right style="thin"/>
      <top/>
      <bottom style="thin"/>
    </border>
    <border>
      <left style="hair"/>
      <right/>
      <top/>
      <bottom/>
    </border>
    <border>
      <left style="thin">
        <color rgb="FF002060"/>
      </left>
      <right style="thin">
        <color rgb="FF002060"/>
      </right>
      <top style="medium">
        <color rgb="FF002060"/>
      </top>
      <bottom style="thin">
        <color rgb="FF002060"/>
      </bottom>
    </border>
    <border>
      <left style="thin">
        <color rgb="FF002060"/>
      </left>
      <right style="medium">
        <color rgb="FF002060"/>
      </right>
      <top style="thin">
        <color rgb="FF002060"/>
      </top>
      <bottom style="thin">
        <color rgb="FF002060"/>
      </bottom>
    </border>
    <border>
      <left>
        <color indexed="63"/>
      </left>
      <right style="medium">
        <color rgb="FF002060"/>
      </right>
      <top>
        <color indexed="63"/>
      </top>
      <bottom>
        <color indexed="63"/>
      </bottom>
    </border>
    <border>
      <left style="medium">
        <color rgb="FF002060"/>
      </left>
      <right style="thin">
        <color rgb="FF002060"/>
      </right>
      <top style="thin">
        <color rgb="FF002060"/>
      </top>
      <bottom style="thin">
        <color rgb="FF002060"/>
      </bottom>
    </border>
    <border>
      <left style="thick"/>
      <right>
        <color indexed="63"/>
      </right>
      <top style="thin"/>
      <bottom/>
    </border>
    <border>
      <left style="thick"/>
      <right/>
      <top style="thick"/>
      <bottom style="thin"/>
    </border>
    <border>
      <left/>
      <right>
        <color indexed="63"/>
      </right>
      <top style="thick"/>
      <bottom style="thin"/>
    </border>
    <border>
      <left/>
      <right style="thick"/>
      <top style="thick"/>
      <bottom style="thin"/>
    </border>
    <border>
      <left style="medium">
        <color rgb="FF002060"/>
      </left>
      <right style="thin">
        <color rgb="FF002060"/>
      </right>
      <top style="thin">
        <color rgb="FF002060"/>
      </top>
      <bottom style="medium">
        <color rgb="FF002060"/>
      </bottom>
    </border>
    <border>
      <left style="thin">
        <color rgb="FF002060"/>
      </left>
      <right style="thin">
        <color rgb="FF002060"/>
      </right>
      <top style="thin">
        <color rgb="FF002060"/>
      </top>
      <bottom style="medium">
        <color rgb="FF002060"/>
      </bottom>
    </border>
    <border>
      <left style="thin">
        <color rgb="FF002060"/>
      </left>
      <right style="medium">
        <color rgb="FF002060"/>
      </right>
      <top style="thin">
        <color rgb="FF002060"/>
      </top>
      <bottom style="medium">
        <color rgb="FF002060"/>
      </bottom>
    </border>
    <border>
      <left style="thick">
        <color rgb="FF0070C0"/>
      </left>
      <right>
        <color indexed="63"/>
      </right>
      <top style="thick">
        <color rgb="FF0070C0"/>
      </top>
      <bottom>
        <color indexed="63"/>
      </bottom>
    </border>
    <border>
      <left>
        <color indexed="63"/>
      </left>
      <right>
        <color indexed="63"/>
      </right>
      <top style="thick">
        <color rgb="FF0070C0"/>
      </top>
      <bottom>
        <color indexed="63"/>
      </bottom>
    </border>
    <border>
      <left>
        <color indexed="63"/>
      </left>
      <right style="thick">
        <color rgb="FF0070C0"/>
      </right>
      <top style="thick">
        <color rgb="FF0070C0"/>
      </top>
      <bottom>
        <color indexed="63"/>
      </bottom>
    </border>
    <border>
      <left style="thick">
        <color rgb="FF0070C0"/>
      </left>
      <right>
        <color indexed="63"/>
      </right>
      <top>
        <color indexed="63"/>
      </top>
      <bottom>
        <color indexed="63"/>
      </bottom>
    </border>
    <border>
      <left style="thick">
        <color rgb="FF0070C0"/>
      </left>
      <right>
        <color indexed="63"/>
      </right>
      <top>
        <color indexed="63"/>
      </top>
      <bottom style="thick">
        <color rgb="FF0070C0"/>
      </bottom>
    </border>
    <border>
      <left>
        <color indexed="63"/>
      </left>
      <right>
        <color indexed="63"/>
      </right>
      <top>
        <color indexed="63"/>
      </top>
      <bottom style="thick">
        <color rgb="FF0070C0"/>
      </bottom>
    </border>
    <border>
      <left>
        <color indexed="63"/>
      </left>
      <right style="thick">
        <color rgb="FF0070C0"/>
      </right>
      <top>
        <color indexed="63"/>
      </top>
      <bottom style="thick">
        <color rgb="FF0070C0"/>
      </bottom>
    </border>
    <border>
      <left style="hair"/>
      <right style="hair"/>
      <top style="thin"/>
      <bottom>
        <color indexed="63"/>
      </bottom>
    </border>
    <border>
      <left style="hair"/>
      <right style="thin"/>
      <top style="thin"/>
      <bottom/>
    </border>
    <border>
      <left style="medium">
        <color rgb="FF002060"/>
      </left>
      <right style="thin">
        <color rgb="FF002060"/>
      </right>
      <top style="medium">
        <color rgb="FF002060"/>
      </top>
      <bottom style="thin">
        <color rgb="FF002060"/>
      </bottom>
    </border>
    <border>
      <left style="hair"/>
      <right/>
      <top style="thin"/>
      <bottom/>
    </border>
    <border>
      <left style="hair"/>
      <right style="hair"/>
      <top>
        <color indexed="63"/>
      </top>
      <bottom>
        <color indexed="63"/>
      </bottom>
    </border>
    <border>
      <left style="thin"/>
      <right style="hair"/>
      <top>
        <color indexed="63"/>
      </top>
      <bottom>
        <color indexed="63"/>
      </bottom>
    </border>
    <border>
      <left style="thick"/>
      <right style="thick"/>
      <top style="thick"/>
      <bottom/>
    </border>
    <border>
      <left style="thick"/>
      <right style="thick"/>
      <top/>
      <bottom/>
    </border>
    <border>
      <left style="thick"/>
      <right style="thick"/>
      <top>
        <color indexed="63"/>
      </top>
      <bottom style="thin"/>
    </border>
    <border>
      <left/>
      <right>
        <color indexed="63"/>
      </right>
      <top style="medium"/>
      <bottom style="thin"/>
    </border>
    <border>
      <left/>
      <right style="medium"/>
      <top style="medium"/>
      <bottom style="thin"/>
    </border>
    <border>
      <left style="medium"/>
      <right/>
      <top style="medium"/>
      <bottom style="medium"/>
    </border>
    <border>
      <left/>
      <right/>
      <top style="medium"/>
      <bottom/>
    </border>
    <border>
      <left/>
      <right style="thin"/>
      <top style="medium"/>
      <bottom/>
    </border>
    <border>
      <left>
        <color indexed="63"/>
      </left>
      <right style="medium"/>
      <top style="medium"/>
      <bottom>
        <color indexed="63"/>
      </bottom>
    </border>
    <border>
      <left style="medium"/>
      <right style="thin"/>
      <top style="medium"/>
      <bottom>
        <color indexed="63"/>
      </bottom>
    </border>
    <border>
      <left style="medium"/>
      <right style="thin"/>
      <top/>
      <bottom style="medium"/>
    </border>
    <border>
      <left/>
      <right/>
      <top style="medium"/>
      <bottom style="medium"/>
    </border>
    <border>
      <left style="medium"/>
      <right/>
      <top/>
      <bottom style="medium"/>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00" fillId="14" borderId="0" applyNumberFormat="0" applyBorder="0" applyAlignment="0" applyProtection="0"/>
    <xf numFmtId="0" fontId="100" fillId="15" borderId="0" applyNumberFormat="0" applyBorder="0" applyAlignment="0" applyProtection="0"/>
    <xf numFmtId="0" fontId="100" fillId="16" borderId="0" applyNumberFormat="0" applyBorder="0" applyAlignment="0" applyProtection="0"/>
    <xf numFmtId="0" fontId="100" fillId="17" borderId="0" applyNumberFormat="0" applyBorder="0" applyAlignment="0" applyProtection="0"/>
    <xf numFmtId="0" fontId="100" fillId="18" borderId="0" applyNumberFormat="0" applyBorder="0" applyAlignment="0" applyProtection="0"/>
    <xf numFmtId="0" fontId="100" fillId="19" borderId="0" applyNumberFormat="0" applyBorder="0" applyAlignment="0" applyProtection="0"/>
    <xf numFmtId="0" fontId="100" fillId="20" borderId="0" applyNumberFormat="0" applyBorder="0" applyAlignment="0" applyProtection="0"/>
    <xf numFmtId="0" fontId="100" fillId="21" borderId="0" applyNumberFormat="0" applyBorder="0" applyAlignment="0" applyProtection="0"/>
    <xf numFmtId="0" fontId="100" fillId="22" borderId="0" applyNumberFormat="0" applyBorder="0" applyAlignment="0" applyProtection="0"/>
    <xf numFmtId="0" fontId="100" fillId="23" borderId="0" applyNumberFormat="0" applyBorder="0" applyAlignment="0" applyProtection="0"/>
    <xf numFmtId="0" fontId="100" fillId="24" borderId="0" applyNumberFormat="0" applyBorder="0" applyAlignment="0" applyProtection="0"/>
    <xf numFmtId="0" fontId="100" fillId="25" borderId="0" applyNumberFormat="0" applyBorder="0" applyAlignment="0" applyProtection="0"/>
    <xf numFmtId="0" fontId="101" fillId="0" borderId="0" applyNumberFormat="0" applyFill="0" applyBorder="0" applyAlignment="0" applyProtection="0"/>
    <xf numFmtId="0" fontId="102" fillId="26" borderId="1" applyNumberFormat="0" applyAlignment="0" applyProtection="0"/>
    <xf numFmtId="0" fontId="103" fillId="27" borderId="0" applyNumberFormat="0" applyBorder="0" applyAlignment="0" applyProtection="0"/>
    <xf numFmtId="9" fontId="0" fillId="0" borderId="0" applyFont="0" applyFill="0" applyBorder="0" applyAlignment="0" applyProtection="0"/>
    <xf numFmtId="9" fontId="7" fillId="0" borderId="0" applyFont="0" applyFill="0" applyBorder="0" applyAlignment="0" applyProtection="0"/>
    <xf numFmtId="0" fontId="104" fillId="0" borderId="0" applyNumberFormat="0" applyFill="0" applyBorder="0" applyAlignment="0" applyProtection="0"/>
    <xf numFmtId="0" fontId="0" fillId="28" borderId="2" applyNumberFormat="0" applyFont="0" applyAlignment="0" applyProtection="0"/>
    <xf numFmtId="0" fontId="105" fillId="0" borderId="3" applyNumberFormat="0" applyFill="0" applyAlignment="0" applyProtection="0"/>
    <xf numFmtId="0" fontId="106" fillId="29" borderId="0" applyNumberFormat="0" applyBorder="0" applyAlignment="0" applyProtection="0"/>
    <xf numFmtId="0" fontId="107" fillId="30" borderId="4" applyNumberFormat="0" applyAlignment="0" applyProtection="0"/>
    <xf numFmtId="0" fontId="10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7" fillId="0" borderId="0" applyFont="0" applyFill="0" applyBorder="0" applyAlignment="0" applyProtection="0"/>
    <xf numFmtId="0" fontId="109" fillId="0" borderId="5" applyNumberFormat="0" applyFill="0" applyAlignment="0" applyProtection="0"/>
    <xf numFmtId="0" fontId="110" fillId="0" borderId="6" applyNumberFormat="0" applyFill="0" applyAlignment="0" applyProtection="0"/>
    <xf numFmtId="0" fontId="111" fillId="0" borderId="7" applyNumberFormat="0" applyFill="0" applyAlignment="0" applyProtection="0"/>
    <xf numFmtId="0" fontId="111" fillId="0" borderId="0" applyNumberFormat="0" applyFill="0" applyBorder="0" applyAlignment="0" applyProtection="0"/>
    <xf numFmtId="0" fontId="112" fillId="0" borderId="8" applyNumberFormat="0" applyFill="0" applyAlignment="0" applyProtection="0"/>
    <xf numFmtId="0" fontId="113" fillId="30" borderId="9" applyNumberFormat="0" applyAlignment="0" applyProtection="0"/>
    <xf numFmtId="0" fontId="11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5" fillId="31" borderId="4" applyNumberFormat="0" applyAlignment="0" applyProtection="0"/>
    <xf numFmtId="0" fontId="0" fillId="0" borderId="0">
      <alignment vertical="center"/>
      <protection/>
    </xf>
    <xf numFmtId="0" fontId="7" fillId="0" borderId="0">
      <alignment/>
      <protection/>
    </xf>
    <xf numFmtId="0" fontId="7" fillId="0" borderId="0">
      <alignment vertical="center"/>
      <protection/>
    </xf>
    <xf numFmtId="0" fontId="116" fillId="0" borderId="0" applyNumberFormat="0" applyFill="0" applyBorder="0" applyAlignment="0" applyProtection="0"/>
    <xf numFmtId="0" fontId="117" fillId="32" borderId="0" applyNumberFormat="0" applyBorder="0" applyAlignment="0" applyProtection="0"/>
  </cellStyleXfs>
  <cellXfs count="832">
    <xf numFmtId="0" fontId="0" fillId="0" borderId="0" xfId="0" applyFont="1" applyAlignment="1">
      <alignment vertical="center"/>
    </xf>
    <xf numFmtId="0" fontId="118" fillId="0" borderId="0" xfId="0" applyFont="1" applyAlignment="1" applyProtection="1">
      <alignment vertical="center"/>
      <protection locked="0"/>
    </xf>
    <xf numFmtId="0" fontId="119" fillId="0" borderId="0" xfId="0" applyFont="1" applyAlignment="1" applyProtection="1">
      <alignment vertical="center"/>
      <protection locked="0"/>
    </xf>
    <xf numFmtId="0" fontId="0" fillId="0" borderId="0" xfId="0" applyFont="1" applyAlignment="1" applyProtection="1">
      <alignment vertical="center"/>
      <protection locked="0"/>
    </xf>
    <xf numFmtId="0" fontId="0" fillId="0" borderId="0" xfId="0" applyFont="1" applyAlignment="1" applyProtection="1">
      <alignment horizontal="right" vertical="center"/>
      <protection locked="0"/>
    </xf>
    <xf numFmtId="0" fontId="120" fillId="0" borderId="10" xfId="0" applyFont="1" applyBorder="1" applyAlignment="1" applyProtection="1">
      <alignment horizontal="center" vertical="top" wrapText="1"/>
      <protection locked="0"/>
    </xf>
    <xf numFmtId="0" fontId="120" fillId="0" borderId="11" xfId="0" applyFont="1" applyBorder="1" applyAlignment="1" applyProtection="1">
      <alignment horizontal="center" vertical="center" wrapText="1"/>
      <protection locked="0"/>
    </xf>
    <xf numFmtId="0" fontId="121" fillId="0" borderId="0" xfId="0" applyFont="1" applyAlignment="1" applyProtection="1">
      <alignment vertical="center"/>
      <protection locked="0"/>
    </xf>
    <xf numFmtId="0" fontId="0" fillId="0" borderId="0" xfId="0" applyFont="1" applyAlignment="1" applyProtection="1">
      <alignment horizontal="center" vertical="center"/>
      <protection locked="0"/>
    </xf>
    <xf numFmtId="0" fontId="11" fillId="0" borderId="0" xfId="0" applyFont="1" applyAlignment="1" applyProtection="1">
      <alignment horizontal="left" vertical="center"/>
      <protection locked="0"/>
    </xf>
    <xf numFmtId="176" fontId="9" fillId="0" borderId="0" xfId="0" applyNumberFormat="1" applyFont="1" applyFill="1" applyBorder="1" applyAlignment="1" applyProtection="1">
      <alignment horizontal="right" vertical="center" wrapText="1"/>
      <protection locked="0"/>
    </xf>
    <xf numFmtId="176" fontId="5" fillId="0" borderId="0" xfId="0" applyNumberFormat="1" applyFont="1" applyFill="1" applyBorder="1" applyAlignment="1" applyProtection="1">
      <alignment horizontal="right" vertical="center" wrapText="1"/>
      <protection locked="0"/>
    </xf>
    <xf numFmtId="0" fontId="0" fillId="0" borderId="0" xfId="0" applyFont="1" applyAlignment="1" applyProtection="1">
      <alignment horizontal="left" vertical="center"/>
      <protection/>
    </xf>
    <xf numFmtId="0" fontId="122" fillId="0" borderId="0" xfId="0" applyFont="1" applyAlignment="1" applyProtection="1">
      <alignment vertical="center"/>
      <protection locked="0"/>
    </xf>
    <xf numFmtId="0" fontId="123" fillId="0" borderId="0" xfId="0" applyFont="1" applyAlignment="1" applyProtection="1">
      <alignment vertical="center"/>
      <protection locked="0"/>
    </xf>
    <xf numFmtId="0" fontId="123" fillId="0" borderId="0" xfId="0" applyFont="1" applyBorder="1" applyAlignment="1" applyProtection="1">
      <alignment vertical="center"/>
      <protection locked="0"/>
    </xf>
    <xf numFmtId="38" fontId="0" fillId="0" borderId="0" xfId="0" applyNumberFormat="1" applyFont="1" applyAlignment="1" applyProtection="1">
      <alignment vertical="center"/>
      <protection locked="0"/>
    </xf>
    <xf numFmtId="176" fontId="9" fillId="0" borderId="12" xfId="0" applyNumberFormat="1" applyFont="1" applyBorder="1" applyAlignment="1" applyProtection="1">
      <alignment horizontal="right" vertical="center" wrapText="1"/>
      <protection/>
    </xf>
    <xf numFmtId="176" fontId="9" fillId="0" borderId="13" xfId="0" applyNumberFormat="1" applyFont="1" applyBorder="1" applyAlignment="1" applyProtection="1">
      <alignment horizontal="right" vertical="center" wrapText="1"/>
      <protection/>
    </xf>
    <xf numFmtId="0" fontId="0" fillId="33" borderId="0" xfId="0" applyFont="1" applyFill="1" applyAlignment="1" applyProtection="1">
      <alignment vertical="center"/>
      <protection locked="0"/>
    </xf>
    <xf numFmtId="0" fontId="120" fillId="0" borderId="0" xfId="0" applyFont="1" applyAlignment="1" applyProtection="1">
      <alignment horizontal="center" vertical="center"/>
      <protection locked="0"/>
    </xf>
    <xf numFmtId="0" fontId="120" fillId="0" borderId="14" xfId="0" applyFont="1" applyBorder="1" applyAlignment="1" applyProtection="1">
      <alignment horizontal="center" vertical="center" wrapText="1"/>
      <protection locked="0"/>
    </xf>
    <xf numFmtId="0" fontId="120" fillId="0" borderId="15" xfId="0" applyFont="1" applyBorder="1" applyAlignment="1" applyProtection="1">
      <alignment horizontal="center" vertical="center" wrapText="1"/>
      <protection locked="0"/>
    </xf>
    <xf numFmtId="178" fontId="124" fillId="33" borderId="0" xfId="0" applyNumberFormat="1" applyFont="1" applyFill="1" applyBorder="1" applyAlignment="1" applyProtection="1">
      <alignment horizontal="center" vertical="center" wrapText="1"/>
      <protection locked="0"/>
    </xf>
    <xf numFmtId="2" fontId="0" fillId="0" borderId="0" xfId="0" applyNumberFormat="1" applyFont="1" applyAlignment="1" applyProtection="1">
      <alignment horizontal="center" vertical="center"/>
      <protection locked="0"/>
    </xf>
    <xf numFmtId="0" fontId="120" fillId="0" borderId="16" xfId="0" applyFont="1" applyBorder="1" applyAlignment="1" applyProtection="1">
      <alignment horizontal="center" vertical="center" wrapText="1"/>
      <protection locked="0"/>
    </xf>
    <xf numFmtId="0" fontId="120" fillId="0" borderId="17" xfId="0" applyFont="1" applyBorder="1" applyAlignment="1" applyProtection="1">
      <alignment horizontal="center" vertical="center" wrapText="1"/>
      <protection locked="0"/>
    </xf>
    <xf numFmtId="0" fontId="120" fillId="33" borderId="15" xfId="0" applyFont="1" applyFill="1" applyBorder="1" applyAlignment="1" applyProtection="1">
      <alignment horizontal="center" vertical="center" wrapText="1"/>
      <protection locked="0"/>
    </xf>
    <xf numFmtId="0" fontId="120" fillId="33" borderId="14" xfId="0" applyFont="1" applyFill="1" applyBorder="1" applyAlignment="1" applyProtection="1">
      <alignment horizontal="center" vertical="center" wrapText="1"/>
      <protection locked="0"/>
    </xf>
    <xf numFmtId="38" fontId="125" fillId="33" borderId="18" xfId="50" applyFont="1" applyFill="1" applyBorder="1" applyAlignment="1" applyProtection="1">
      <alignment horizontal="center" vertical="center" wrapText="1"/>
      <protection locked="0"/>
    </xf>
    <xf numFmtId="0" fontId="126" fillId="0" borderId="0" xfId="0" applyFont="1" applyAlignment="1" applyProtection="1">
      <alignment vertical="center"/>
      <protection locked="0"/>
    </xf>
    <xf numFmtId="0" fontId="0" fillId="0" borderId="0" xfId="0" applyAlignment="1" applyProtection="1">
      <alignment vertical="center"/>
      <protection locked="0"/>
    </xf>
    <xf numFmtId="0" fontId="123" fillId="0" borderId="0" xfId="0" applyFont="1" applyAlignment="1" applyProtection="1">
      <alignment horizontal="center" vertical="center"/>
      <protection locked="0"/>
    </xf>
    <xf numFmtId="0" fontId="16" fillId="0" borderId="0" xfId="0" applyFont="1" applyFill="1" applyBorder="1" applyAlignment="1" applyProtection="1">
      <alignment vertical="center" wrapText="1"/>
      <protection locked="0"/>
    </xf>
    <xf numFmtId="0" fontId="127" fillId="0" borderId="0" xfId="0" applyFont="1" applyAlignment="1" applyProtection="1">
      <alignment vertical="center"/>
      <protection locked="0"/>
    </xf>
    <xf numFmtId="0" fontId="11" fillId="0" borderId="19" xfId="0" applyFont="1" applyBorder="1" applyAlignment="1" applyProtection="1">
      <alignment horizontal="center" vertical="top" wrapText="1"/>
      <protection locked="0"/>
    </xf>
    <xf numFmtId="0" fontId="128" fillId="0" borderId="0" xfId="0" applyFont="1" applyAlignment="1" applyProtection="1">
      <alignment vertical="center"/>
      <protection locked="0"/>
    </xf>
    <xf numFmtId="0" fontId="6" fillId="0" borderId="0" xfId="0" applyFont="1" applyAlignment="1" applyProtection="1">
      <alignment horizontal="left" vertical="center"/>
      <protection locked="0"/>
    </xf>
    <xf numFmtId="0" fontId="129" fillId="0" borderId="0" xfId="0" applyFont="1" applyAlignment="1" applyProtection="1">
      <alignment vertical="center"/>
      <protection locked="0"/>
    </xf>
    <xf numFmtId="0" fontId="130" fillId="0" borderId="0" xfId="0" applyFont="1" applyAlignment="1" applyProtection="1">
      <alignment horizontal="left" vertical="center"/>
      <protection locked="0"/>
    </xf>
    <xf numFmtId="0" fontId="21" fillId="0" borderId="0" xfId="0" applyFont="1" applyAlignment="1" applyProtection="1">
      <alignment vertical="center"/>
      <protection locked="0"/>
    </xf>
    <xf numFmtId="0" fontId="120" fillId="0" borderId="20" xfId="0" applyFont="1" applyBorder="1" applyAlignment="1" applyProtection="1">
      <alignment horizontal="center" vertical="center" wrapText="1"/>
      <protection locked="0"/>
    </xf>
    <xf numFmtId="176" fontId="9" fillId="0" borderId="21" xfId="0" applyNumberFormat="1" applyFont="1" applyBorder="1" applyAlignment="1" applyProtection="1">
      <alignment horizontal="right" vertical="center" wrapText="1"/>
      <protection/>
    </xf>
    <xf numFmtId="176" fontId="9" fillId="0" borderId="22" xfId="0" applyNumberFormat="1" applyFont="1" applyBorder="1" applyAlignment="1" applyProtection="1">
      <alignment horizontal="right" vertical="center" wrapText="1"/>
      <protection/>
    </xf>
    <xf numFmtId="0" fontId="120" fillId="0" borderId="23" xfId="0" applyFont="1" applyBorder="1" applyAlignment="1" applyProtection="1">
      <alignment horizontal="center" vertical="center" wrapText="1"/>
      <protection locked="0"/>
    </xf>
    <xf numFmtId="178" fontId="124" fillId="33" borderId="21" xfId="0" applyNumberFormat="1" applyFont="1" applyFill="1" applyBorder="1" applyAlignment="1" applyProtection="1">
      <alignment horizontal="right" vertical="center" wrapText="1"/>
      <protection/>
    </xf>
    <xf numFmtId="178" fontId="124" fillId="33" borderId="24" xfId="0" applyNumberFormat="1" applyFont="1" applyFill="1" applyBorder="1" applyAlignment="1" applyProtection="1">
      <alignment horizontal="right" vertical="center" wrapText="1"/>
      <protection/>
    </xf>
    <xf numFmtId="176" fontId="124" fillId="0" borderId="21" xfId="0" applyNumberFormat="1" applyFont="1" applyBorder="1" applyAlignment="1" applyProtection="1">
      <alignment horizontal="right" vertical="center" wrapText="1"/>
      <protection/>
    </xf>
    <xf numFmtId="176" fontId="124" fillId="0" borderId="24" xfId="0" applyNumberFormat="1" applyFont="1" applyBorder="1" applyAlignment="1" applyProtection="1">
      <alignment horizontal="right" vertical="center" wrapText="1"/>
      <protection/>
    </xf>
    <xf numFmtId="176" fontId="9" fillId="0" borderId="25" xfId="0" applyNumberFormat="1" applyFont="1" applyBorder="1" applyAlignment="1" applyProtection="1">
      <alignment horizontal="right" vertical="center" wrapText="1"/>
      <protection/>
    </xf>
    <xf numFmtId="0" fontId="131" fillId="0" borderId="0" xfId="0" applyFont="1" applyBorder="1" applyAlignment="1">
      <alignment horizontal="center" vertical="center" wrapText="1"/>
    </xf>
    <xf numFmtId="0" fontId="131" fillId="0" borderId="0" xfId="0" applyFont="1" applyBorder="1" applyAlignment="1">
      <alignment vertical="center" wrapText="1"/>
    </xf>
    <xf numFmtId="0" fontId="131" fillId="0" borderId="0" xfId="0" applyFont="1" applyAlignment="1">
      <alignment horizontal="center" vertical="center" wrapText="1"/>
    </xf>
    <xf numFmtId="0" fontId="118" fillId="0" borderId="0" xfId="0" applyFont="1" applyAlignment="1">
      <alignment vertical="center"/>
    </xf>
    <xf numFmtId="0" fontId="118" fillId="0" borderId="0" xfId="0" applyFont="1" applyBorder="1" applyAlignment="1">
      <alignment horizontal="center" vertical="center"/>
    </xf>
    <xf numFmtId="0" fontId="118" fillId="0" borderId="0" xfId="0" applyFont="1" applyBorder="1" applyAlignment="1">
      <alignment vertical="center"/>
    </xf>
    <xf numFmtId="0" fontId="118" fillId="0" borderId="0" xfId="0" applyFont="1" applyBorder="1" applyAlignment="1">
      <alignment vertical="center" wrapText="1"/>
    </xf>
    <xf numFmtId="49" fontId="118" fillId="0" borderId="0" xfId="0" applyNumberFormat="1" applyFont="1" applyBorder="1" applyAlignment="1" quotePrefix="1">
      <alignment horizontal="right" vertical="center"/>
    </xf>
    <xf numFmtId="0" fontId="118" fillId="0" borderId="0" xfId="0" applyFont="1" applyAlignment="1">
      <alignment horizontal="center" vertical="center"/>
    </xf>
    <xf numFmtId="49" fontId="118" fillId="0" borderId="0" xfId="0" applyNumberFormat="1" applyFont="1" applyBorder="1" applyAlignment="1">
      <alignment horizontal="right" vertical="center"/>
    </xf>
    <xf numFmtId="0" fontId="118" fillId="0" borderId="0" xfId="0" applyFont="1" applyBorder="1" applyAlignment="1">
      <alignment horizontal="left" vertical="center" indent="1"/>
    </xf>
    <xf numFmtId="0" fontId="118" fillId="33" borderId="0" xfId="0" applyFont="1" applyFill="1" applyBorder="1" applyAlignment="1">
      <alignment vertical="center"/>
    </xf>
    <xf numFmtId="178" fontId="124" fillId="33" borderId="26" xfId="0" applyNumberFormat="1" applyFont="1" applyFill="1" applyBorder="1" applyAlignment="1" applyProtection="1">
      <alignment horizontal="right" vertical="center" wrapText="1"/>
      <protection/>
    </xf>
    <xf numFmtId="178" fontId="124" fillId="33" borderId="18" xfId="0" applyNumberFormat="1" applyFont="1" applyFill="1" applyBorder="1" applyAlignment="1" applyProtection="1">
      <alignment horizontal="right" vertical="center" wrapText="1"/>
      <protection/>
    </xf>
    <xf numFmtId="178" fontId="124" fillId="33" borderId="27" xfId="0" applyNumberFormat="1" applyFont="1" applyFill="1" applyBorder="1" applyAlignment="1" applyProtection="1">
      <alignment horizontal="right" vertical="center" wrapText="1"/>
      <protection/>
    </xf>
    <xf numFmtId="0" fontId="120" fillId="0" borderId="28" xfId="0" applyFont="1" applyBorder="1" applyAlignment="1" applyProtection="1">
      <alignment horizontal="center" vertical="center" wrapText="1"/>
      <protection locked="0"/>
    </xf>
    <xf numFmtId="178" fontId="124" fillId="33" borderId="29" xfId="0" applyNumberFormat="1" applyFont="1" applyFill="1" applyBorder="1" applyAlignment="1" applyProtection="1">
      <alignment horizontal="right" vertical="center" wrapText="1"/>
      <protection/>
    </xf>
    <xf numFmtId="176" fontId="9" fillId="0" borderId="30" xfId="0" applyNumberFormat="1" applyFont="1" applyBorder="1" applyAlignment="1" applyProtection="1">
      <alignment horizontal="right" vertical="center" wrapText="1"/>
      <protection/>
    </xf>
    <xf numFmtId="176" fontId="9" fillId="0" borderId="31" xfId="0" applyNumberFormat="1" applyFont="1" applyBorder="1" applyAlignment="1" applyProtection="1">
      <alignment horizontal="right" vertical="center" wrapText="1"/>
      <protection/>
    </xf>
    <xf numFmtId="176" fontId="124" fillId="0" borderId="27" xfId="0" applyNumberFormat="1" applyFont="1" applyBorder="1" applyAlignment="1" applyProtection="1">
      <alignment horizontal="right" vertical="center" wrapText="1"/>
      <protection/>
    </xf>
    <xf numFmtId="38" fontId="14" fillId="0" borderId="0" xfId="53" applyFont="1" applyFill="1" applyBorder="1" applyAlignment="1" applyProtection="1">
      <alignment vertical="top" wrapText="1"/>
      <protection locked="0"/>
    </xf>
    <xf numFmtId="0" fontId="132" fillId="0" borderId="0" xfId="0" applyFont="1" applyBorder="1" applyAlignment="1" applyProtection="1">
      <alignment vertical="center"/>
      <protection locked="0"/>
    </xf>
    <xf numFmtId="0" fontId="132" fillId="0" borderId="0" xfId="0" applyFont="1" applyAlignment="1" applyProtection="1">
      <alignment vertical="center"/>
      <protection locked="0"/>
    </xf>
    <xf numFmtId="0" fontId="22" fillId="0" borderId="0" xfId="0" applyFont="1" applyBorder="1" applyAlignment="1" applyProtection="1">
      <alignment vertical="center"/>
      <protection locked="0"/>
    </xf>
    <xf numFmtId="0" fontId="0" fillId="0" borderId="0" xfId="0" applyFont="1" applyAlignment="1" applyProtection="1">
      <alignment vertical="center"/>
      <protection locked="0"/>
    </xf>
    <xf numFmtId="0" fontId="0" fillId="0" borderId="0" xfId="0" applyAlignment="1">
      <alignment horizontal="center" vertical="center"/>
    </xf>
    <xf numFmtId="0" fontId="11" fillId="0" borderId="32" xfId="0" applyFont="1" applyBorder="1" applyAlignment="1" applyProtection="1">
      <alignment horizontal="center" vertical="center" wrapText="1"/>
      <protection locked="0"/>
    </xf>
    <xf numFmtId="0" fontId="11" fillId="0" borderId="33" xfId="0" applyFont="1" applyBorder="1" applyAlignment="1" applyProtection="1">
      <alignment horizontal="center" vertical="top" wrapText="1"/>
      <protection locked="0"/>
    </xf>
    <xf numFmtId="0" fontId="22" fillId="0" borderId="0" xfId="0" applyFont="1" applyAlignment="1" applyProtection="1">
      <alignment vertical="center"/>
      <protection locked="0"/>
    </xf>
    <xf numFmtId="0" fontId="3" fillId="0" borderId="0" xfId="0" applyFont="1" applyAlignment="1" applyProtection="1">
      <alignment vertical="center"/>
      <protection locked="0"/>
    </xf>
    <xf numFmtId="0" fontId="132" fillId="0" borderId="0" xfId="0" applyFont="1" applyAlignment="1" applyProtection="1">
      <alignment horizontal="center" vertical="center"/>
      <protection locked="0"/>
    </xf>
    <xf numFmtId="0" fontId="22" fillId="0" borderId="0" xfId="0" applyFont="1" applyBorder="1" applyAlignment="1" applyProtection="1">
      <alignment horizontal="center" vertical="center"/>
      <protection locked="0"/>
    </xf>
    <xf numFmtId="0" fontId="22" fillId="0" borderId="0" xfId="0" applyFont="1" applyBorder="1" applyAlignment="1" applyProtection="1">
      <alignment vertical="center"/>
      <protection locked="0"/>
    </xf>
    <xf numFmtId="0" fontId="133" fillId="0" borderId="0" xfId="0" applyFont="1" applyAlignment="1">
      <alignment vertical="center"/>
    </xf>
    <xf numFmtId="0" fontId="134" fillId="0" borderId="0" xfId="0" applyFont="1" applyAlignment="1">
      <alignment horizontal="right" vertical="center"/>
    </xf>
    <xf numFmtId="0" fontId="135" fillId="0" borderId="0" xfId="0" applyFont="1" applyAlignment="1" applyProtection="1">
      <alignment horizontal="right" vertical="center"/>
      <protection/>
    </xf>
    <xf numFmtId="0" fontId="25" fillId="0" borderId="0" xfId="0" applyFont="1" applyAlignment="1" applyProtection="1">
      <alignment vertical="center"/>
      <protection locked="0"/>
    </xf>
    <xf numFmtId="0" fontId="129" fillId="0" borderId="0" xfId="0" applyFont="1" applyAlignment="1" applyProtection="1">
      <alignment horizontal="center" vertical="center"/>
      <protection locked="0"/>
    </xf>
    <xf numFmtId="0" fontId="136" fillId="0" borderId="0" xfId="0" applyFont="1" applyAlignment="1" applyProtection="1">
      <alignment vertical="center"/>
      <protection locked="0"/>
    </xf>
    <xf numFmtId="0" fontId="137" fillId="0" borderId="0" xfId="0" applyFont="1" applyAlignment="1" applyProtection="1">
      <alignment vertical="center"/>
      <protection locked="0"/>
    </xf>
    <xf numFmtId="0" fontId="137" fillId="0" borderId="0" xfId="0" applyFont="1" applyAlignment="1" applyProtection="1">
      <alignment horizontal="center" vertical="center"/>
      <protection locked="0"/>
    </xf>
    <xf numFmtId="0" fontId="138" fillId="0" borderId="0" xfId="0" applyFont="1" applyAlignment="1">
      <alignment vertical="center"/>
    </xf>
    <xf numFmtId="0" fontId="7" fillId="0" borderId="0" xfId="0" applyFont="1" applyAlignment="1" applyProtection="1">
      <alignment vertical="center"/>
      <protection locked="0"/>
    </xf>
    <xf numFmtId="0" fontId="118" fillId="0" borderId="0" xfId="0" applyFont="1" applyAlignment="1" applyProtection="1">
      <alignment vertical="center"/>
      <protection/>
    </xf>
    <xf numFmtId="0" fontId="13" fillId="0" borderId="0" xfId="0" applyFont="1" applyAlignment="1" applyProtection="1">
      <alignment vertical="center"/>
      <protection locked="0"/>
    </xf>
    <xf numFmtId="0" fontId="3" fillId="0" borderId="0" xfId="0" applyFont="1" applyAlignment="1" applyProtection="1">
      <alignment horizontal="center" vertical="center"/>
      <protection locked="0"/>
    </xf>
    <xf numFmtId="0" fontId="6" fillId="6" borderId="19" xfId="0" applyFont="1" applyFill="1" applyBorder="1" applyAlignment="1" applyProtection="1">
      <alignment horizontal="center" vertical="top" wrapText="1"/>
      <protection locked="0"/>
    </xf>
    <xf numFmtId="176" fontId="9" fillId="0" borderId="0" xfId="0" applyNumberFormat="1" applyFont="1" applyFill="1" applyBorder="1" applyAlignment="1" applyProtection="1">
      <alignment horizontal="left" vertical="center" wrapText="1"/>
      <protection/>
    </xf>
    <xf numFmtId="176" fontId="5" fillId="0" borderId="0" xfId="0" applyNumberFormat="1" applyFont="1" applyFill="1" applyBorder="1" applyAlignment="1" applyProtection="1">
      <alignment horizontal="right" vertical="center" wrapText="1"/>
      <protection/>
    </xf>
    <xf numFmtId="176" fontId="9" fillId="0" borderId="0" xfId="0" applyNumberFormat="1" applyFont="1" applyFill="1" applyBorder="1" applyAlignment="1" applyProtection="1">
      <alignment horizontal="right" vertical="center" wrapText="1"/>
      <protection/>
    </xf>
    <xf numFmtId="0" fontId="132" fillId="0" borderId="0" xfId="0" applyFont="1" applyBorder="1" applyAlignment="1" applyProtection="1">
      <alignment horizontal="center" vertical="center"/>
      <protection locked="0"/>
    </xf>
    <xf numFmtId="0" fontId="128" fillId="0" borderId="0" xfId="0" applyFont="1" applyAlignment="1">
      <alignment horizontal="right" vertical="center"/>
    </xf>
    <xf numFmtId="38" fontId="15" fillId="0" borderId="34" xfId="50" applyFont="1" applyFill="1" applyBorder="1" applyAlignment="1" applyProtection="1">
      <alignment vertical="center"/>
      <protection/>
    </xf>
    <xf numFmtId="176" fontId="15" fillId="0" borderId="34" xfId="0" applyNumberFormat="1" applyFont="1" applyBorder="1" applyAlignment="1" applyProtection="1">
      <alignment horizontal="right" vertical="center"/>
      <protection/>
    </xf>
    <xf numFmtId="0" fontId="6" fillId="0" borderId="34" xfId="0" applyFont="1" applyFill="1" applyBorder="1" applyAlignment="1" applyProtection="1">
      <alignment horizontal="center" vertical="center" wrapText="1"/>
      <protection locked="0"/>
    </xf>
    <xf numFmtId="176" fontId="15" fillId="0" borderId="35" xfId="0" applyNumberFormat="1" applyFont="1" applyFill="1" applyBorder="1" applyAlignment="1" applyProtection="1">
      <alignment horizontal="right" vertical="center" wrapText="1"/>
      <protection/>
    </xf>
    <xf numFmtId="38" fontId="15" fillId="0" borderId="35" xfId="50" applyFont="1" applyFill="1" applyBorder="1" applyAlignment="1" applyProtection="1">
      <alignment vertical="center"/>
      <protection/>
    </xf>
    <xf numFmtId="176" fontId="15" fillId="0" borderId="35" xfId="0" applyNumberFormat="1" applyFont="1" applyBorder="1" applyAlignment="1" applyProtection="1">
      <alignment horizontal="right" vertical="center"/>
      <protection/>
    </xf>
    <xf numFmtId="0" fontId="6" fillId="0" borderId="35" xfId="0" applyFont="1" applyFill="1" applyBorder="1" applyAlignment="1" applyProtection="1">
      <alignment horizontal="center" vertical="center" wrapText="1"/>
      <protection locked="0"/>
    </xf>
    <xf numFmtId="0" fontId="132" fillId="0" borderId="0" xfId="0" applyFont="1" applyFill="1" applyAlignment="1" applyProtection="1">
      <alignment vertical="center"/>
      <protection locked="0"/>
    </xf>
    <xf numFmtId="0" fontId="128" fillId="0" borderId="0" xfId="0" applyFont="1" applyAlignment="1">
      <alignment horizontal="right" vertical="center" wrapText="1"/>
    </xf>
    <xf numFmtId="176" fontId="26" fillId="0" borderId="0" xfId="0" applyNumberFormat="1" applyFont="1" applyFill="1" applyBorder="1" applyAlignment="1" applyProtection="1">
      <alignment horizontal="right" vertical="top" wrapText="1"/>
      <protection/>
    </xf>
    <xf numFmtId="0" fontId="17" fillId="0" borderId="36" xfId="0" applyFont="1" applyFill="1" applyBorder="1" applyAlignment="1" applyProtection="1">
      <alignment horizontal="left" vertical="top"/>
      <protection locked="0"/>
    </xf>
    <xf numFmtId="0" fontId="17" fillId="0" borderId="36" xfId="0" applyFont="1" applyFill="1" applyBorder="1" applyAlignment="1" applyProtection="1">
      <alignment horizontal="center" vertical="center" shrinkToFit="1"/>
      <protection/>
    </xf>
    <xf numFmtId="176" fontId="15" fillId="0" borderId="13" xfId="0" applyNumberFormat="1" applyFont="1" applyFill="1" applyBorder="1" applyAlignment="1" applyProtection="1">
      <alignment horizontal="right" vertical="center" wrapText="1"/>
      <protection/>
    </xf>
    <xf numFmtId="213" fontId="6" fillId="6" borderId="30" xfId="50" applyNumberFormat="1" applyFont="1" applyFill="1" applyBorder="1" applyAlignment="1" applyProtection="1">
      <alignment horizontal="center" vertical="center"/>
      <protection/>
    </xf>
    <xf numFmtId="176" fontId="15" fillId="0" borderId="35" xfId="0" applyNumberFormat="1" applyFont="1" applyFill="1" applyBorder="1" applyAlignment="1" applyProtection="1">
      <alignment horizontal="right" vertical="center"/>
      <protection/>
    </xf>
    <xf numFmtId="176" fontId="15" fillId="0" borderId="37" xfId="0" applyNumberFormat="1" applyFont="1" applyFill="1" applyBorder="1" applyAlignment="1" applyProtection="1">
      <alignment horizontal="right" vertical="center" wrapText="1"/>
      <protection/>
    </xf>
    <xf numFmtId="38" fontId="15" fillId="0" borderId="37" xfId="50" applyFont="1" applyFill="1" applyBorder="1" applyAlignment="1" applyProtection="1">
      <alignment vertical="center"/>
      <protection/>
    </xf>
    <xf numFmtId="0" fontId="6" fillId="0" borderId="37" xfId="0" applyFont="1" applyFill="1" applyBorder="1" applyAlignment="1" applyProtection="1">
      <alignment horizontal="center" vertical="center" wrapText="1"/>
      <protection locked="0"/>
    </xf>
    <xf numFmtId="0" fontId="132" fillId="0" borderId="0" xfId="0" applyFont="1" applyAlignment="1" applyProtection="1">
      <alignment horizontal="right" vertical="center"/>
      <protection locked="0"/>
    </xf>
    <xf numFmtId="176" fontId="15" fillId="0" borderId="30" xfId="0" applyNumberFormat="1" applyFont="1" applyFill="1" applyBorder="1" applyAlignment="1" applyProtection="1">
      <alignment horizontal="right" vertical="center" wrapText="1"/>
      <protection/>
    </xf>
    <xf numFmtId="176" fontId="15" fillId="0" borderId="38" xfId="0" applyNumberFormat="1" applyFont="1" applyFill="1" applyBorder="1" applyAlignment="1" applyProtection="1">
      <alignment horizontal="right" vertical="center" wrapText="1"/>
      <protection locked="0"/>
    </xf>
    <xf numFmtId="0" fontId="15" fillId="0" borderId="38" xfId="0" applyFont="1" applyBorder="1" applyAlignment="1" applyProtection="1">
      <alignment horizontal="center" vertical="center"/>
      <protection locked="0"/>
    </xf>
    <xf numFmtId="0" fontId="129" fillId="0" borderId="33" xfId="0" applyFont="1" applyBorder="1" applyAlignment="1" applyProtection="1">
      <alignment horizontal="center" vertical="center"/>
      <protection locked="0"/>
    </xf>
    <xf numFmtId="0" fontId="139" fillId="0" borderId="0" xfId="0" applyFont="1" applyAlignment="1" applyProtection="1">
      <alignment vertical="center"/>
      <protection locked="0"/>
    </xf>
    <xf numFmtId="0" fontId="139" fillId="0" borderId="0" xfId="0" applyFont="1" applyAlignment="1" applyProtection="1">
      <alignment horizontal="center" vertical="center"/>
      <protection locked="0"/>
    </xf>
    <xf numFmtId="0" fontId="118" fillId="0" borderId="0" xfId="0" applyFont="1" applyAlignment="1" applyProtection="1">
      <alignment/>
      <protection locked="0"/>
    </xf>
    <xf numFmtId="0" fontId="132" fillId="33" borderId="0" xfId="0" applyFont="1" applyFill="1" applyBorder="1" applyAlignment="1" applyProtection="1">
      <alignment vertical="center"/>
      <protection locked="0"/>
    </xf>
    <xf numFmtId="0" fontId="118" fillId="0" borderId="39" xfId="0" applyFont="1" applyBorder="1" applyAlignment="1" applyProtection="1">
      <alignment horizontal="center" vertical="center"/>
      <protection locked="0"/>
    </xf>
    <xf numFmtId="0" fontId="118" fillId="0" borderId="0" xfId="0" applyFont="1" applyFill="1" applyBorder="1" applyAlignment="1" applyProtection="1">
      <alignment horizontal="center" vertical="center" textRotation="255"/>
      <protection locked="0"/>
    </xf>
    <xf numFmtId="0" fontId="11" fillId="0" borderId="40" xfId="0" applyFont="1" applyBorder="1" applyAlignment="1" applyProtection="1">
      <alignment horizontal="center" vertical="top" wrapText="1"/>
      <protection locked="0"/>
    </xf>
    <xf numFmtId="0" fontId="11" fillId="0" borderId="0" xfId="0" applyFont="1" applyBorder="1" applyAlignment="1" applyProtection="1">
      <alignment horizontal="center" vertical="center" wrapText="1"/>
      <protection locked="0"/>
    </xf>
    <xf numFmtId="0" fontId="11" fillId="0" borderId="41" xfId="0" applyFont="1" applyBorder="1" applyAlignment="1" applyProtection="1">
      <alignment horizontal="center" vertical="center" wrapText="1"/>
      <protection locked="0"/>
    </xf>
    <xf numFmtId="0" fontId="11" fillId="0" borderId="42" xfId="0" applyFont="1" applyBorder="1" applyAlignment="1" applyProtection="1">
      <alignment horizontal="center" vertical="center" wrapText="1"/>
      <protection locked="0"/>
    </xf>
    <xf numFmtId="38" fontId="15" fillId="0" borderId="13" xfId="0" applyNumberFormat="1" applyFont="1" applyFill="1" applyBorder="1" applyAlignment="1" applyProtection="1">
      <alignment vertical="center" shrinkToFit="1"/>
      <protection/>
    </xf>
    <xf numFmtId="38" fontId="15" fillId="0" borderId="13" xfId="50" applyNumberFormat="1" applyFont="1" applyBorder="1" applyAlignment="1" applyProtection="1">
      <alignment vertical="center"/>
      <protection/>
    </xf>
    <xf numFmtId="0" fontId="126" fillId="0" borderId="0" xfId="0" applyFont="1" applyBorder="1" applyAlignment="1" applyProtection="1">
      <alignment horizontal="center" vertical="center"/>
      <protection locked="0"/>
    </xf>
    <xf numFmtId="38" fontId="15" fillId="0" borderId="13" xfId="50" applyNumberFormat="1" applyFont="1" applyBorder="1" applyAlignment="1" applyProtection="1">
      <alignment horizontal="right" vertical="center"/>
      <protection/>
    </xf>
    <xf numFmtId="38" fontId="15" fillId="0" borderId="13" xfId="50" applyNumberFormat="1" applyFont="1" applyFill="1" applyBorder="1" applyAlignment="1" applyProtection="1">
      <alignment vertical="center"/>
      <protection/>
    </xf>
    <xf numFmtId="0" fontId="128" fillId="0" borderId="0" xfId="0" applyFont="1" applyAlignment="1">
      <alignment horizontal="center" vertical="center"/>
    </xf>
    <xf numFmtId="38" fontId="15" fillId="0" borderId="15" xfId="0" applyNumberFormat="1" applyFont="1" applyFill="1" applyBorder="1" applyAlignment="1" applyProtection="1">
      <alignment vertical="center" shrinkToFit="1"/>
      <protection/>
    </xf>
    <xf numFmtId="38" fontId="15" fillId="0" borderId="38" xfId="50" applyNumberFormat="1" applyFont="1" applyBorder="1" applyAlignment="1" applyProtection="1">
      <alignment vertical="center"/>
      <protection/>
    </xf>
    <xf numFmtId="0" fontId="140" fillId="0" borderId="43" xfId="0" applyFont="1" applyFill="1" applyBorder="1" applyAlignment="1" applyProtection="1">
      <alignment horizontal="center" vertical="center"/>
      <protection/>
    </xf>
    <xf numFmtId="0" fontId="141" fillId="0" borderId="0" xfId="0" applyFont="1" applyFill="1" applyBorder="1" applyAlignment="1" applyProtection="1">
      <alignment horizontal="center" vertical="center" wrapText="1" shrinkToFit="1"/>
      <protection/>
    </xf>
    <xf numFmtId="176" fontId="126" fillId="0" borderId="0" xfId="0" applyNumberFormat="1" applyFont="1" applyFill="1" applyBorder="1" applyAlignment="1" applyProtection="1">
      <alignment horizontal="right" vertical="center"/>
      <protection/>
    </xf>
    <xf numFmtId="176" fontId="118" fillId="0" borderId="0" xfId="0" applyNumberFormat="1" applyFont="1" applyFill="1" applyBorder="1" applyAlignment="1" applyProtection="1">
      <alignment horizontal="right" vertical="center" wrapText="1"/>
      <protection/>
    </xf>
    <xf numFmtId="0" fontId="3" fillId="0" borderId="0" xfId="0" applyFont="1" applyFill="1" applyBorder="1" applyAlignment="1" applyProtection="1">
      <alignment horizontal="center" vertical="center" wrapText="1"/>
      <protection locked="0"/>
    </xf>
    <xf numFmtId="0" fontId="142" fillId="0" borderId="43" xfId="0" applyFont="1" applyFill="1" applyBorder="1" applyAlignment="1" applyProtection="1">
      <alignment horizontal="left" vertical="center" indent="2"/>
      <protection locked="0"/>
    </xf>
    <xf numFmtId="0" fontId="6" fillId="0" borderId="43" xfId="0" applyFont="1" applyFill="1" applyBorder="1" applyAlignment="1" applyProtection="1">
      <alignment horizontal="center" vertical="center" shrinkToFit="1"/>
      <protection locked="0"/>
    </xf>
    <xf numFmtId="0" fontId="129" fillId="0" borderId="0" xfId="0" applyFont="1" applyBorder="1" applyAlignment="1" applyProtection="1">
      <alignment horizontal="left" vertical="top" wrapText="1"/>
      <protection/>
    </xf>
    <xf numFmtId="38" fontId="132" fillId="0" borderId="0" xfId="0" applyNumberFormat="1" applyFont="1" applyAlignment="1" applyProtection="1">
      <alignment vertical="center"/>
      <protection locked="0"/>
    </xf>
    <xf numFmtId="176" fontId="132" fillId="0" borderId="0" xfId="0" applyNumberFormat="1" applyFont="1" applyFill="1" applyBorder="1" applyAlignment="1" applyProtection="1">
      <alignment horizontal="left" vertical="center" wrapText="1" indent="1"/>
      <protection/>
    </xf>
    <xf numFmtId="176" fontId="126" fillId="0" borderId="0" xfId="0" applyNumberFormat="1" applyFont="1" applyFill="1" applyBorder="1" applyAlignment="1" applyProtection="1">
      <alignment horizontal="left" vertical="center" wrapText="1" indent="3"/>
      <protection/>
    </xf>
    <xf numFmtId="0" fontId="16" fillId="0" borderId="0" xfId="0" applyFont="1" applyFill="1" applyBorder="1" applyAlignment="1" applyProtection="1">
      <alignment horizontal="left" vertical="top" indent="2"/>
      <protection locked="0"/>
    </xf>
    <xf numFmtId="0" fontId="6" fillId="0" borderId="0" xfId="0" applyFont="1" applyFill="1" applyBorder="1" applyAlignment="1" applyProtection="1">
      <alignment horizontal="center" vertical="center" shrinkToFit="1"/>
      <protection locked="0"/>
    </xf>
    <xf numFmtId="0" fontId="129" fillId="0" borderId="0" xfId="0" applyFont="1" applyBorder="1" applyAlignment="1" applyProtection="1">
      <alignment horizontal="center" vertical="center"/>
      <protection/>
    </xf>
    <xf numFmtId="0" fontId="130" fillId="0" borderId="0" xfId="0" applyFont="1" applyAlignment="1" applyProtection="1">
      <alignment horizontal="left"/>
      <protection locked="0"/>
    </xf>
    <xf numFmtId="176" fontId="132" fillId="0" borderId="0" xfId="0" applyNumberFormat="1" applyFont="1" applyAlignment="1" applyProtection="1">
      <alignment vertical="center"/>
      <protection locked="0"/>
    </xf>
    <xf numFmtId="0" fontId="19" fillId="0" borderId="0" xfId="0" applyFont="1" applyFill="1" applyBorder="1" applyAlignment="1" applyProtection="1">
      <alignment horizontal="center" vertical="center" shrinkToFit="1"/>
      <protection locked="0"/>
    </xf>
    <xf numFmtId="0" fontId="12" fillId="0" borderId="0" xfId="0" applyFont="1" applyFill="1" applyBorder="1" applyAlignment="1" applyProtection="1">
      <alignment vertical="center" wrapText="1"/>
      <protection locked="0"/>
    </xf>
    <xf numFmtId="0" fontId="129" fillId="0" borderId="0" xfId="0" applyFont="1" applyAlignment="1" applyProtection="1">
      <alignment horizontal="right" vertical="center"/>
      <protection locked="0"/>
    </xf>
    <xf numFmtId="0" fontId="143" fillId="0" borderId="0" xfId="0" applyFont="1" applyAlignment="1" applyProtection="1">
      <alignment horizontal="left" vertical="center" indent="2"/>
      <protection locked="0"/>
    </xf>
    <xf numFmtId="38" fontId="25" fillId="0" borderId="0" xfId="50" applyNumberFormat="1" applyFont="1" applyBorder="1" applyAlignment="1" applyProtection="1">
      <alignment vertical="center"/>
      <protection locked="0"/>
    </xf>
    <xf numFmtId="38" fontId="24" fillId="0" borderId="0" xfId="50" applyNumberFormat="1" applyFont="1" applyBorder="1" applyAlignment="1" applyProtection="1">
      <alignment vertical="center"/>
      <protection locked="0"/>
    </xf>
    <xf numFmtId="0" fontId="143" fillId="0" borderId="0" xfId="0" applyFont="1" applyAlignment="1" applyProtection="1">
      <alignment horizontal="left" vertical="center" indent="3"/>
      <protection locked="0"/>
    </xf>
    <xf numFmtId="38" fontId="24" fillId="0" borderId="0" xfId="50" applyNumberFormat="1" applyFont="1" applyBorder="1" applyAlignment="1" applyProtection="1">
      <alignment vertical="center" wrapText="1"/>
      <protection locked="0"/>
    </xf>
    <xf numFmtId="0" fontId="132" fillId="0" borderId="0" xfId="0" applyFont="1" applyAlignment="1" applyProtection="1">
      <alignment horizontal="center"/>
      <protection locked="0"/>
    </xf>
    <xf numFmtId="0" fontId="0" fillId="0" borderId="0" xfId="0" applyBorder="1" applyAlignment="1">
      <alignment vertical="center"/>
    </xf>
    <xf numFmtId="0" fontId="144" fillId="0" borderId="0" xfId="0" applyFont="1" applyAlignment="1" applyProtection="1">
      <alignment horizontal="left" vertical="center"/>
      <protection locked="0"/>
    </xf>
    <xf numFmtId="0" fontId="21" fillId="6" borderId="44" xfId="0" applyFont="1" applyFill="1" applyBorder="1" applyAlignment="1" applyProtection="1">
      <alignment horizontal="center" vertical="center" wrapText="1"/>
      <protection locked="0"/>
    </xf>
    <xf numFmtId="0" fontId="129" fillId="6" borderId="45" xfId="0" applyFont="1" applyFill="1" applyBorder="1" applyAlignment="1" applyProtection="1">
      <alignment horizontal="center" vertical="center"/>
      <protection locked="0"/>
    </xf>
    <xf numFmtId="0" fontId="129" fillId="6" borderId="43" xfId="0" applyFont="1" applyFill="1" applyBorder="1" applyAlignment="1" applyProtection="1">
      <alignment horizontal="center" vertical="center"/>
      <protection locked="0"/>
    </xf>
    <xf numFmtId="0" fontId="129" fillId="6" borderId="46" xfId="0" applyFont="1" applyFill="1" applyBorder="1" applyAlignment="1" applyProtection="1">
      <alignment horizontal="center" vertical="center"/>
      <protection locked="0"/>
    </xf>
    <xf numFmtId="0" fontId="129" fillId="6" borderId="47" xfId="0" applyFont="1" applyFill="1" applyBorder="1" applyAlignment="1" applyProtection="1">
      <alignment horizontal="center" vertical="center"/>
      <protection locked="0"/>
    </xf>
    <xf numFmtId="0" fontId="129" fillId="6" borderId="48" xfId="0" applyFont="1" applyFill="1" applyBorder="1" applyAlignment="1" applyProtection="1">
      <alignment horizontal="center" vertical="center"/>
      <protection locked="0"/>
    </xf>
    <xf numFmtId="0" fontId="6" fillId="0" borderId="0" xfId="0" applyFont="1" applyFill="1" applyBorder="1" applyAlignment="1" applyProtection="1">
      <alignment horizontal="right" vertical="center" wrapText="1"/>
      <protection locked="0"/>
    </xf>
    <xf numFmtId="0" fontId="21" fillId="6" borderId="49" xfId="0" applyFont="1" applyFill="1" applyBorder="1" applyAlignment="1" applyProtection="1">
      <alignment horizontal="center" vertical="top" wrapText="1"/>
      <protection locked="0"/>
    </xf>
    <xf numFmtId="0" fontId="6" fillId="6" borderId="50" xfId="0" applyFont="1" applyFill="1" applyBorder="1" applyAlignment="1" applyProtection="1">
      <alignment horizontal="center" vertical="top" wrapText="1"/>
      <protection locked="0"/>
    </xf>
    <xf numFmtId="0" fontId="11" fillId="6" borderId="51" xfId="0" applyFont="1" applyFill="1" applyBorder="1" applyAlignment="1" applyProtection="1">
      <alignment horizontal="center" vertical="top" wrapText="1"/>
      <protection locked="0"/>
    </xf>
    <xf numFmtId="0" fontId="129" fillId="6" borderId="49" xfId="0" applyFont="1" applyFill="1" applyBorder="1" applyAlignment="1" applyProtection="1">
      <alignment horizontal="center" vertical="top"/>
      <protection locked="0"/>
    </xf>
    <xf numFmtId="0" fontId="129" fillId="6" borderId="0" xfId="0" applyFont="1" applyFill="1" applyBorder="1" applyAlignment="1" applyProtection="1">
      <alignment horizontal="center" vertical="top"/>
      <protection locked="0"/>
    </xf>
    <xf numFmtId="0" fontId="129" fillId="6" borderId="52" xfId="0" applyFont="1" applyFill="1" applyBorder="1" applyAlignment="1" applyProtection="1">
      <alignment horizontal="center" vertical="top"/>
      <protection locked="0"/>
    </xf>
    <xf numFmtId="0" fontId="129" fillId="6" borderId="53" xfId="0" applyFont="1" applyFill="1" applyBorder="1" applyAlignment="1" applyProtection="1">
      <alignment horizontal="center" vertical="top" wrapText="1"/>
      <protection locked="0"/>
    </xf>
    <xf numFmtId="176" fontId="9" fillId="0" borderId="0" xfId="0" applyNumberFormat="1" applyFont="1" applyFill="1" applyBorder="1" applyAlignment="1" applyProtection="1">
      <alignment horizontal="left" vertical="center" wrapText="1"/>
      <protection locked="0"/>
    </xf>
    <xf numFmtId="0" fontId="121" fillId="0" borderId="0" xfId="0" applyFont="1" applyBorder="1" applyAlignment="1" applyProtection="1">
      <alignment vertical="center"/>
      <protection locked="0"/>
    </xf>
    <xf numFmtId="0" fontId="6" fillId="6" borderId="54" xfId="0" applyFont="1" applyFill="1" applyBorder="1" applyAlignment="1" applyProtection="1">
      <alignment horizontal="center" vertical="center" wrapText="1"/>
      <protection locked="0"/>
    </xf>
    <xf numFmtId="0" fontId="6" fillId="6" borderId="55" xfId="0" applyFont="1" applyFill="1" applyBorder="1" applyAlignment="1" applyProtection="1">
      <alignment horizontal="center" vertical="center" wrapText="1"/>
      <protection locked="0"/>
    </xf>
    <xf numFmtId="0" fontId="6" fillId="6" borderId="14" xfId="0" applyFont="1" applyFill="1" applyBorder="1" applyAlignment="1" applyProtection="1">
      <alignment horizontal="center" vertical="center" wrapText="1"/>
      <protection locked="0"/>
    </xf>
    <xf numFmtId="0" fontId="129" fillId="6" borderId="54" xfId="0" applyFont="1" applyFill="1" applyBorder="1" applyAlignment="1" applyProtection="1">
      <alignment horizontal="center" vertical="center"/>
      <protection locked="0"/>
    </xf>
    <xf numFmtId="0" fontId="129" fillId="6" borderId="36" xfId="0" applyFont="1" applyFill="1" applyBorder="1" applyAlignment="1" applyProtection="1">
      <alignment horizontal="center" vertical="center"/>
      <protection locked="0"/>
    </xf>
    <xf numFmtId="0" fontId="129" fillId="6" borderId="56" xfId="0" applyFont="1" applyFill="1" applyBorder="1" applyAlignment="1" applyProtection="1">
      <alignment horizontal="center" vertical="center"/>
      <protection locked="0"/>
    </xf>
    <xf numFmtId="0" fontId="129" fillId="6" borderId="57" xfId="0" applyFont="1" applyFill="1" applyBorder="1" applyAlignment="1" applyProtection="1">
      <alignment horizontal="center" vertical="center"/>
      <protection locked="0"/>
    </xf>
    <xf numFmtId="176" fontId="15" fillId="0" borderId="58" xfId="0" applyNumberFormat="1" applyFont="1" applyFill="1" applyBorder="1" applyAlignment="1" applyProtection="1">
      <alignment horizontal="right" vertical="center" wrapText="1"/>
      <protection/>
    </xf>
    <xf numFmtId="38" fontId="15" fillId="0" borderId="59" xfId="50" applyFont="1" applyFill="1" applyBorder="1" applyAlignment="1" applyProtection="1">
      <alignment vertical="center"/>
      <protection/>
    </xf>
    <xf numFmtId="38" fontId="15" fillId="0" borderId="60" xfId="50" applyFont="1" applyFill="1" applyBorder="1" applyAlignment="1" applyProtection="1">
      <alignment vertical="center"/>
      <protection/>
    </xf>
    <xf numFmtId="176" fontId="15" fillId="0" borderId="60" xfId="0" applyNumberFormat="1" applyFont="1" applyBorder="1" applyAlignment="1" applyProtection="1">
      <alignment horizontal="center" vertical="center"/>
      <protection/>
    </xf>
    <xf numFmtId="176" fontId="15" fillId="0" borderId="58" xfId="0" applyNumberFormat="1" applyFont="1" applyBorder="1" applyAlignment="1" applyProtection="1">
      <alignment horizontal="right" vertical="center"/>
      <protection/>
    </xf>
    <xf numFmtId="176" fontId="15" fillId="0" borderId="61" xfId="0" applyNumberFormat="1" applyFont="1" applyBorder="1" applyAlignment="1" applyProtection="1">
      <alignment horizontal="right" vertical="center"/>
      <protection/>
    </xf>
    <xf numFmtId="176" fontId="15" fillId="0" borderId="62" xfId="0" applyNumberFormat="1" applyFont="1" applyBorder="1" applyAlignment="1" applyProtection="1">
      <alignment horizontal="center" vertical="center"/>
      <protection/>
    </xf>
    <xf numFmtId="176" fontId="15" fillId="0" borderId="63" xfId="0" applyNumberFormat="1" applyFont="1" applyBorder="1" applyAlignment="1" applyProtection="1">
      <alignment horizontal="right" vertical="center"/>
      <protection/>
    </xf>
    <xf numFmtId="0" fontId="145" fillId="0" borderId="13" xfId="0" applyFont="1" applyBorder="1" applyAlignment="1" applyProtection="1">
      <alignment horizontal="center" vertical="center" wrapText="1"/>
      <protection locked="0"/>
    </xf>
    <xf numFmtId="0" fontId="146" fillId="0" borderId="38" xfId="0" applyFont="1" applyBorder="1" applyAlignment="1" applyProtection="1">
      <alignment horizontal="left" vertical="center" wrapText="1"/>
      <protection locked="0"/>
    </xf>
    <xf numFmtId="176" fontId="15" fillId="0" borderId="64" xfId="0" applyNumberFormat="1" applyFont="1" applyFill="1" applyBorder="1" applyAlignment="1" applyProtection="1">
      <alignment horizontal="right" vertical="center" wrapText="1"/>
      <protection/>
    </xf>
    <xf numFmtId="38" fontId="15" fillId="0" borderId="65" xfId="50" applyFont="1" applyFill="1" applyBorder="1" applyAlignment="1" applyProtection="1">
      <alignment vertical="center"/>
      <protection/>
    </xf>
    <xf numFmtId="38" fontId="15" fillId="0" borderId="66" xfId="50" applyFont="1" applyFill="1" applyBorder="1" applyAlignment="1" applyProtection="1">
      <alignment vertical="center"/>
      <protection/>
    </xf>
    <xf numFmtId="176" fontId="15" fillId="0" borderId="66" xfId="0" applyNumberFormat="1" applyFont="1" applyBorder="1" applyAlignment="1" applyProtection="1">
      <alignment horizontal="center" vertical="center"/>
      <protection/>
    </xf>
    <xf numFmtId="176" fontId="15" fillId="0" borderId="64" xfId="0" applyNumberFormat="1" applyFont="1" applyBorder="1" applyAlignment="1" applyProtection="1">
      <alignment horizontal="right" vertical="center"/>
      <protection/>
    </xf>
    <xf numFmtId="176" fontId="15" fillId="0" borderId="67" xfId="0" applyNumberFormat="1" applyFont="1" applyBorder="1" applyAlignment="1" applyProtection="1">
      <alignment horizontal="right" vertical="center"/>
      <protection/>
    </xf>
    <xf numFmtId="176" fontId="15" fillId="0" borderId="68" xfId="0" applyNumberFormat="1" applyFont="1" applyBorder="1" applyAlignment="1" applyProtection="1">
      <alignment horizontal="center" vertical="center"/>
      <protection/>
    </xf>
    <xf numFmtId="176" fontId="15" fillId="0" borderId="69" xfId="0" applyNumberFormat="1" applyFont="1" applyBorder="1" applyAlignment="1" applyProtection="1">
      <alignment horizontal="right" vertical="center"/>
      <protection/>
    </xf>
    <xf numFmtId="0" fontId="145" fillId="33" borderId="13" xfId="0" applyFont="1" applyFill="1" applyBorder="1" applyAlignment="1" applyProtection="1">
      <alignment horizontal="center" vertical="center" wrapText="1"/>
      <protection locked="0"/>
    </xf>
    <xf numFmtId="0" fontId="146" fillId="33" borderId="13" xfId="0" applyFont="1" applyFill="1" applyBorder="1" applyAlignment="1" applyProtection="1">
      <alignment horizontal="left" vertical="center" wrapText="1"/>
      <protection locked="0"/>
    </xf>
    <xf numFmtId="176" fontId="10" fillId="0" borderId="0" xfId="0" applyNumberFormat="1" applyFont="1" applyFill="1" applyBorder="1" applyAlignment="1" applyProtection="1">
      <alignment horizontal="left" vertical="center" wrapText="1"/>
      <protection locked="0"/>
    </xf>
    <xf numFmtId="0" fontId="146" fillId="0" borderId="13" xfId="0" applyFont="1" applyBorder="1" applyAlignment="1" applyProtection="1">
      <alignment horizontal="left" vertical="center" wrapText="1"/>
      <protection locked="0"/>
    </xf>
    <xf numFmtId="0" fontId="146" fillId="0" borderId="0" xfId="0" applyFont="1" applyBorder="1" applyAlignment="1" applyProtection="1">
      <alignment vertical="top" wrapText="1"/>
      <protection locked="0"/>
    </xf>
    <xf numFmtId="0" fontId="146" fillId="34" borderId="38" xfId="0" applyFont="1" applyFill="1" applyBorder="1" applyAlignment="1" applyProtection="1">
      <alignment horizontal="left" vertical="center" wrapText="1"/>
      <protection locked="0"/>
    </xf>
    <xf numFmtId="0" fontId="147" fillId="0" borderId="0" xfId="0" applyFont="1" applyAlignment="1" applyProtection="1">
      <alignment vertical="center"/>
      <protection locked="0"/>
    </xf>
    <xf numFmtId="0" fontId="148" fillId="0" borderId="0" xfId="0" applyFont="1" applyAlignment="1" applyProtection="1">
      <alignment vertical="center"/>
      <protection locked="0"/>
    </xf>
    <xf numFmtId="0" fontId="149" fillId="0" borderId="0" xfId="0" applyFont="1" applyAlignment="1" applyProtection="1">
      <alignment vertical="center"/>
      <protection locked="0"/>
    </xf>
    <xf numFmtId="176" fontId="15" fillId="0" borderId="66" xfId="0" applyNumberFormat="1" applyFont="1" applyFill="1" applyBorder="1" applyAlignment="1" applyProtection="1">
      <alignment horizontal="center" vertical="center"/>
      <protection/>
    </xf>
    <xf numFmtId="176" fontId="15" fillId="0" borderId="69" xfId="0" applyNumberFormat="1" applyFont="1" applyFill="1" applyBorder="1" applyAlignment="1" applyProtection="1">
      <alignment horizontal="right" vertical="center"/>
      <protection/>
    </xf>
    <xf numFmtId="176" fontId="15" fillId="0" borderId="70" xfId="0" applyNumberFormat="1" applyFont="1" applyFill="1" applyBorder="1" applyAlignment="1" applyProtection="1">
      <alignment horizontal="right" vertical="center" wrapText="1"/>
      <protection/>
    </xf>
    <xf numFmtId="38" fontId="15" fillId="0" borderId="71" xfId="50" applyFont="1" applyFill="1" applyBorder="1" applyAlignment="1" applyProtection="1">
      <alignment vertical="center"/>
      <protection/>
    </xf>
    <xf numFmtId="176" fontId="15" fillId="0" borderId="71" xfId="0" applyNumberFormat="1" applyFont="1" applyBorder="1" applyAlignment="1" applyProtection="1">
      <alignment horizontal="center" vertical="center"/>
      <protection/>
    </xf>
    <xf numFmtId="176" fontId="15" fillId="0" borderId="70" xfId="0" applyNumberFormat="1" applyFont="1" applyBorder="1" applyAlignment="1" applyProtection="1">
      <alignment horizontal="right" vertical="center"/>
      <protection/>
    </xf>
    <xf numFmtId="176" fontId="15" fillId="0" borderId="72" xfId="0" applyNumberFormat="1" applyFont="1" applyBorder="1" applyAlignment="1" applyProtection="1">
      <alignment horizontal="right" vertical="center"/>
      <protection/>
    </xf>
    <xf numFmtId="176" fontId="15" fillId="0" borderId="73" xfId="0" applyNumberFormat="1" applyFont="1" applyBorder="1" applyAlignment="1" applyProtection="1">
      <alignment horizontal="right" vertical="center"/>
      <protection/>
    </xf>
    <xf numFmtId="176" fontId="15" fillId="0" borderId="54" xfId="0" applyNumberFormat="1" applyFont="1" applyFill="1" applyBorder="1" applyAlignment="1" applyProtection="1">
      <alignment horizontal="right" vertical="center" wrapText="1"/>
      <protection/>
    </xf>
    <xf numFmtId="176" fontId="15" fillId="0" borderId="74" xfId="0" applyNumberFormat="1" applyFont="1" applyBorder="1" applyAlignment="1" applyProtection="1">
      <alignment horizontal="right" vertical="center"/>
      <protection locked="0"/>
    </xf>
    <xf numFmtId="176" fontId="15" fillId="0" borderId="56" xfId="0" applyNumberFormat="1" applyFont="1" applyBorder="1" applyAlignment="1" applyProtection="1">
      <alignment horizontal="right" vertical="center"/>
      <protection/>
    </xf>
    <xf numFmtId="176" fontId="15" fillId="0" borderId="75" xfId="0" applyNumberFormat="1" applyFont="1" applyBorder="1" applyAlignment="1" applyProtection="1">
      <alignment horizontal="right" vertical="center"/>
      <protection/>
    </xf>
    <xf numFmtId="0" fontId="129" fillId="0" borderId="0" xfId="0" applyFont="1" applyBorder="1" applyAlignment="1" applyProtection="1">
      <alignment horizontal="center" vertical="center"/>
      <protection locked="0"/>
    </xf>
    <xf numFmtId="176" fontId="15" fillId="0" borderId="0" xfId="0" applyNumberFormat="1" applyFont="1" applyAlignment="1" applyProtection="1">
      <alignment vertical="center"/>
      <protection locked="0"/>
    </xf>
    <xf numFmtId="0" fontId="15" fillId="0" borderId="0" xfId="0" applyFont="1" applyAlignment="1" applyProtection="1">
      <alignment horizontal="center" vertical="center"/>
      <protection locked="0"/>
    </xf>
    <xf numFmtId="176" fontId="18" fillId="0" borderId="0" xfId="0" applyNumberFormat="1" applyFont="1" applyFill="1" applyBorder="1" applyAlignment="1" applyProtection="1">
      <alignment horizontal="left" vertical="center" wrapText="1"/>
      <protection locked="0"/>
    </xf>
    <xf numFmtId="176" fontId="7" fillId="0" borderId="0" xfId="0" applyNumberFormat="1" applyFont="1" applyAlignment="1" applyProtection="1">
      <alignment/>
      <protection locked="0"/>
    </xf>
    <xf numFmtId="176" fontId="15" fillId="0" borderId="0" xfId="0" applyNumberFormat="1" applyFont="1" applyAlignment="1" applyProtection="1">
      <alignment horizontal="right"/>
      <protection/>
    </xf>
    <xf numFmtId="0" fontId="18" fillId="0" borderId="0" xfId="0" applyFont="1" applyAlignment="1" applyProtection="1">
      <alignment horizontal="center" shrinkToFit="1"/>
      <protection locked="0"/>
    </xf>
    <xf numFmtId="0" fontId="18" fillId="0" borderId="0" xfId="0" applyFont="1" applyAlignment="1" applyProtection="1">
      <alignment horizontal="left" shrinkToFit="1"/>
      <protection locked="0"/>
    </xf>
    <xf numFmtId="0" fontId="18" fillId="0" borderId="0" xfId="0" applyFont="1" applyAlignment="1" applyProtection="1">
      <alignment horizontal="center" vertical="center" shrinkToFit="1"/>
      <protection locked="0"/>
    </xf>
    <xf numFmtId="0" fontId="150" fillId="0" borderId="76" xfId="0" applyFont="1" applyBorder="1" applyAlignment="1" applyProtection="1">
      <alignment horizontal="center" vertical="center"/>
      <protection locked="0"/>
    </xf>
    <xf numFmtId="0" fontId="151" fillId="0" borderId="77" xfId="0" applyFont="1" applyBorder="1" applyAlignment="1" applyProtection="1">
      <alignment horizontal="center" vertical="center"/>
      <protection locked="0"/>
    </xf>
    <xf numFmtId="176" fontId="152" fillId="0" borderId="78" xfId="0" applyNumberFormat="1" applyFont="1" applyBorder="1" applyAlignment="1" applyProtection="1">
      <alignment horizontal="center" vertical="center"/>
      <protection locked="0"/>
    </xf>
    <xf numFmtId="176" fontId="7" fillId="0" borderId="0" xfId="0" applyNumberFormat="1" applyFont="1" applyAlignment="1" applyProtection="1">
      <alignment wrapText="1" shrinkToFit="1"/>
      <protection locked="0"/>
    </xf>
    <xf numFmtId="0" fontId="153" fillId="0" borderId="79" xfId="0" applyFont="1" applyBorder="1" applyAlignment="1" applyProtection="1">
      <alignment vertical="center"/>
      <protection locked="0"/>
    </xf>
    <xf numFmtId="176" fontId="154" fillId="0" borderId="80" xfId="0" applyNumberFormat="1" applyFont="1" applyBorder="1" applyAlignment="1" applyProtection="1">
      <alignment vertical="center"/>
      <protection/>
    </xf>
    <xf numFmtId="176" fontId="154" fillId="0" borderId="81" xfId="0" applyNumberFormat="1" applyFont="1" applyBorder="1" applyAlignment="1" applyProtection="1">
      <alignment vertical="center"/>
      <protection/>
    </xf>
    <xf numFmtId="176" fontId="7" fillId="0" borderId="0" xfId="0" applyNumberFormat="1" applyFont="1" applyAlignment="1" applyProtection="1">
      <alignment shrinkToFit="1"/>
      <protection locked="0"/>
    </xf>
    <xf numFmtId="0" fontId="15" fillId="0" borderId="0" xfId="0" applyFont="1" applyAlignment="1" applyProtection="1">
      <alignment horizontal="center" shrinkToFit="1"/>
      <protection locked="0"/>
    </xf>
    <xf numFmtId="0" fontId="7" fillId="0" borderId="0" xfId="0" applyFont="1" applyAlignment="1" applyProtection="1">
      <alignment horizontal="left" shrinkToFit="1"/>
      <protection locked="0"/>
    </xf>
    <xf numFmtId="0" fontId="153" fillId="0" borderId="82" xfId="0" applyFont="1" applyBorder="1" applyAlignment="1" applyProtection="1">
      <alignment vertical="center"/>
      <protection locked="0"/>
    </xf>
    <xf numFmtId="176" fontId="154" fillId="0" borderId="83" xfId="0" applyNumberFormat="1" applyFont="1" applyBorder="1" applyAlignment="1" applyProtection="1">
      <alignment vertical="center"/>
      <protection/>
    </xf>
    <xf numFmtId="176" fontId="154" fillId="0" borderId="84" xfId="0" applyNumberFormat="1" applyFont="1" applyBorder="1" applyAlignment="1" applyProtection="1">
      <alignment vertical="center"/>
      <protection/>
    </xf>
    <xf numFmtId="38" fontId="7" fillId="0" borderId="0" xfId="0" applyNumberFormat="1" applyFont="1" applyFill="1" applyBorder="1" applyAlignment="1" applyProtection="1">
      <alignment vertical="center" shrinkToFit="1"/>
      <protection locked="0"/>
    </xf>
    <xf numFmtId="38" fontId="7" fillId="0" borderId="0" xfId="0" applyNumberFormat="1" applyFont="1" applyFill="1" applyBorder="1" applyAlignment="1" applyProtection="1">
      <alignment shrinkToFit="1"/>
      <protection locked="0"/>
    </xf>
    <xf numFmtId="0" fontId="155" fillId="0" borderId="0" xfId="0" applyFont="1" applyAlignment="1" applyProtection="1">
      <alignment horizontal="right" vertical="center"/>
      <protection locked="0"/>
    </xf>
    <xf numFmtId="176" fontId="156" fillId="0" borderId="0" xfId="0" applyNumberFormat="1" applyFont="1" applyAlignment="1" applyProtection="1">
      <alignment horizontal="right" vertical="center"/>
      <protection/>
    </xf>
    <xf numFmtId="176" fontId="15" fillId="0" borderId="0" xfId="0" applyNumberFormat="1" applyFont="1" applyAlignment="1" applyProtection="1">
      <alignment/>
      <protection locked="0"/>
    </xf>
    <xf numFmtId="176" fontId="15" fillId="0" borderId="0" xfId="0" applyNumberFormat="1" applyFont="1" applyAlignment="1" applyProtection="1">
      <alignment horizontal="right"/>
      <protection locked="0"/>
    </xf>
    <xf numFmtId="0" fontId="18" fillId="0" borderId="0" xfId="0" applyFont="1" applyAlignment="1" applyProtection="1">
      <alignment horizontal="center"/>
      <protection locked="0"/>
    </xf>
    <xf numFmtId="0" fontId="18" fillId="0" borderId="0" xfId="0" applyFont="1" applyAlignment="1" applyProtection="1">
      <alignment horizontal="left"/>
      <protection locked="0"/>
    </xf>
    <xf numFmtId="0" fontId="7" fillId="0" borderId="0" xfId="0" applyFont="1" applyAlignment="1" applyProtection="1">
      <alignment horizontal="left"/>
      <protection locked="0"/>
    </xf>
    <xf numFmtId="0" fontId="157" fillId="0" borderId="0" xfId="0" applyFont="1" applyAlignment="1" applyProtection="1">
      <alignment horizontal="right" vertical="center"/>
      <protection locked="0"/>
    </xf>
    <xf numFmtId="0" fontId="158" fillId="0" borderId="0" xfId="0" applyFont="1" applyAlignment="1" applyProtection="1">
      <alignment horizontal="right" vertical="center"/>
      <protection locked="0"/>
    </xf>
    <xf numFmtId="0" fontId="159" fillId="0" borderId="0" xfId="0" applyFont="1" applyAlignment="1" applyProtection="1">
      <alignment horizontal="right" vertical="center"/>
      <protection locked="0"/>
    </xf>
    <xf numFmtId="176" fontId="123" fillId="0" borderId="0" xfId="0" applyNumberFormat="1" applyFont="1" applyBorder="1" applyAlignment="1" applyProtection="1">
      <alignment/>
      <protection locked="0"/>
    </xf>
    <xf numFmtId="0" fontId="135" fillId="0" borderId="0" xfId="0" applyFont="1" applyAlignment="1" applyProtection="1">
      <alignment horizontal="right" vertical="center"/>
      <protection locked="0"/>
    </xf>
    <xf numFmtId="0" fontId="6" fillId="6" borderId="32" xfId="0" applyFont="1" applyFill="1" applyBorder="1" applyAlignment="1" applyProtection="1">
      <alignment horizontal="center" vertical="top" wrapText="1"/>
      <protection locked="0"/>
    </xf>
    <xf numFmtId="0" fontId="6" fillId="0" borderId="0" xfId="0" applyFont="1" applyFill="1" applyBorder="1" applyAlignment="1" applyProtection="1">
      <alignment horizontal="right" vertical="center"/>
      <protection locked="0"/>
    </xf>
    <xf numFmtId="0" fontId="160" fillId="0" borderId="0" xfId="0" applyFont="1" applyBorder="1" applyAlignment="1" applyProtection="1">
      <alignment horizontal="left" vertical="center"/>
      <protection locked="0"/>
    </xf>
    <xf numFmtId="0" fontId="0" fillId="0" borderId="15" xfId="0" applyBorder="1" applyAlignment="1">
      <alignment horizontal="center" vertical="center"/>
    </xf>
    <xf numFmtId="0" fontId="100" fillId="35" borderId="19" xfId="0" applyFont="1" applyFill="1" applyBorder="1" applyAlignment="1" applyProtection="1">
      <alignment horizontal="center" vertical="center"/>
      <protection locked="0"/>
    </xf>
    <xf numFmtId="0" fontId="100" fillId="35" borderId="45" xfId="0" applyFont="1" applyFill="1" applyBorder="1" applyAlignment="1" applyProtection="1">
      <alignment horizontal="center" vertical="center"/>
      <protection locked="0"/>
    </xf>
    <xf numFmtId="0" fontId="128" fillId="0" borderId="45" xfId="0" applyFont="1" applyBorder="1" applyAlignment="1">
      <alignment horizontal="center" vertical="center"/>
    </xf>
    <xf numFmtId="0" fontId="128" fillId="0" borderId="0" xfId="0" applyFont="1" applyAlignment="1">
      <alignment vertical="center"/>
    </xf>
    <xf numFmtId="176" fontId="126" fillId="0" borderId="49" xfId="0" applyNumberFormat="1" applyFont="1" applyFill="1" applyBorder="1" applyAlignment="1" applyProtection="1">
      <alignment horizontal="right" vertical="center"/>
      <protection/>
    </xf>
    <xf numFmtId="0" fontId="161" fillId="0" borderId="0" xfId="0" applyFont="1" applyAlignment="1" applyProtection="1">
      <alignment horizontal="left" vertical="center"/>
      <protection locked="0"/>
    </xf>
    <xf numFmtId="0" fontId="161" fillId="0" borderId="0" xfId="0" applyFont="1" applyBorder="1" applyAlignment="1" applyProtection="1">
      <alignment horizontal="left" vertical="center"/>
      <protection locked="0"/>
    </xf>
    <xf numFmtId="0" fontId="161" fillId="0" borderId="0" xfId="0" applyFont="1" applyBorder="1" applyAlignment="1" applyProtection="1">
      <alignment horizontal="right" vertical="center"/>
      <protection locked="0"/>
    </xf>
    <xf numFmtId="0" fontId="161" fillId="0" borderId="0" xfId="0" applyFont="1" applyBorder="1" applyAlignment="1" applyProtection="1">
      <alignment horizontal="center" vertical="center"/>
      <protection locked="0"/>
    </xf>
    <xf numFmtId="0" fontId="21" fillId="6" borderId="85" xfId="0" applyFont="1" applyFill="1" applyBorder="1" applyAlignment="1" applyProtection="1">
      <alignment horizontal="center" vertical="center" wrapText="1"/>
      <protection locked="0"/>
    </xf>
    <xf numFmtId="38" fontId="15" fillId="0" borderId="86" xfId="50" applyFont="1" applyFill="1" applyBorder="1" applyAlignment="1" applyProtection="1">
      <alignment vertical="center"/>
      <protection/>
    </xf>
    <xf numFmtId="38" fontId="15" fillId="0" borderId="87" xfId="50" applyFont="1" applyFill="1" applyBorder="1" applyAlignment="1" applyProtection="1">
      <alignment vertical="center"/>
      <protection/>
    </xf>
    <xf numFmtId="38" fontId="15" fillId="0" borderId="88" xfId="50" applyFont="1" applyFill="1" applyBorder="1" applyAlignment="1" applyProtection="1">
      <alignment vertical="center"/>
      <protection/>
    </xf>
    <xf numFmtId="176" fontId="15" fillId="0" borderId="89" xfId="0" applyNumberFormat="1" applyFont="1" applyFill="1" applyBorder="1" applyAlignment="1" applyProtection="1">
      <alignment horizontal="right" vertical="center" wrapText="1"/>
      <protection/>
    </xf>
    <xf numFmtId="176" fontId="31" fillId="0" borderId="0" xfId="0" applyNumberFormat="1" applyFont="1" applyAlignment="1" applyProtection="1">
      <alignment horizontal="left" vertical="center" wrapText="1"/>
      <protection locked="0"/>
    </xf>
    <xf numFmtId="0" fontId="129" fillId="6" borderId="13" xfId="0" applyFont="1" applyFill="1" applyBorder="1" applyAlignment="1" applyProtection="1">
      <alignment horizontal="center" vertical="center"/>
      <protection locked="0"/>
    </xf>
    <xf numFmtId="0" fontId="6" fillId="6" borderId="12" xfId="0" applyFont="1" applyFill="1" applyBorder="1" applyAlignment="1" applyProtection="1">
      <alignment horizontal="center" vertical="center" wrapText="1"/>
      <protection locked="0"/>
    </xf>
    <xf numFmtId="0" fontId="129" fillId="6" borderId="33" xfId="0" applyFont="1" applyFill="1" applyBorder="1" applyAlignment="1" applyProtection="1">
      <alignment horizontal="center" vertical="center"/>
      <protection locked="0"/>
    </xf>
    <xf numFmtId="0" fontId="129" fillId="6" borderId="19" xfId="0" applyFont="1" applyFill="1" applyBorder="1" applyAlignment="1" applyProtection="1">
      <alignment horizontal="center" vertical="center"/>
      <protection locked="0"/>
    </xf>
    <xf numFmtId="0" fontId="118" fillId="0" borderId="30" xfId="0" applyFont="1" applyBorder="1" applyAlignment="1" applyProtection="1">
      <alignment horizontal="center" vertical="center"/>
      <protection locked="0"/>
    </xf>
    <xf numFmtId="0" fontId="118" fillId="0" borderId="13" xfId="0" applyFont="1" applyBorder="1" applyAlignment="1" applyProtection="1">
      <alignment horizontal="center" vertical="center"/>
      <protection locked="0"/>
    </xf>
    <xf numFmtId="0" fontId="3" fillId="0" borderId="0" xfId="0" applyFont="1" applyAlignment="1" applyProtection="1">
      <alignment horizontal="left" vertical="center"/>
      <protection locked="0"/>
    </xf>
    <xf numFmtId="0" fontId="14" fillId="0" borderId="0" xfId="0" applyFont="1" applyBorder="1" applyAlignment="1" applyProtection="1">
      <alignment vertical="center"/>
      <protection locked="0"/>
    </xf>
    <xf numFmtId="176" fontId="21" fillId="0" borderId="13" xfId="0" applyNumberFormat="1" applyFont="1" applyFill="1" applyBorder="1" applyAlignment="1" applyProtection="1">
      <alignment vertical="center" wrapText="1"/>
      <protection locked="0"/>
    </xf>
    <xf numFmtId="213" fontId="15" fillId="0" borderId="13" xfId="50" applyNumberFormat="1" applyFont="1" applyFill="1" applyBorder="1" applyAlignment="1" applyProtection="1">
      <alignment vertical="center"/>
      <protection/>
    </xf>
    <xf numFmtId="176" fontId="123" fillId="0" borderId="0" xfId="0" applyNumberFormat="1" applyFont="1" applyAlignment="1" applyProtection="1">
      <alignment vertical="center"/>
      <protection locked="0"/>
    </xf>
    <xf numFmtId="221" fontId="15" fillId="0" borderId="13" xfId="50" applyNumberFormat="1" applyFont="1" applyFill="1" applyBorder="1" applyAlignment="1" applyProtection="1">
      <alignment vertical="center"/>
      <protection/>
    </xf>
    <xf numFmtId="0" fontId="140" fillId="0" borderId="0" xfId="0" applyFont="1" applyFill="1" applyAlignment="1" applyProtection="1">
      <alignment horizontal="center" vertical="center"/>
      <protection/>
    </xf>
    <xf numFmtId="0" fontId="118" fillId="0" borderId="0" xfId="0" applyFont="1" applyBorder="1" applyAlignment="1" applyProtection="1">
      <alignment vertical="center"/>
      <protection locked="0"/>
    </xf>
    <xf numFmtId="0" fontId="130" fillId="0" borderId="0" xfId="0" applyFont="1" applyAlignment="1" applyProtection="1">
      <alignment vertical="center"/>
      <protection locked="0"/>
    </xf>
    <xf numFmtId="14" fontId="130" fillId="0" borderId="0" xfId="0" applyNumberFormat="1" applyFont="1" applyAlignment="1" applyProtection="1">
      <alignment vertical="center"/>
      <protection locked="0"/>
    </xf>
    <xf numFmtId="0" fontId="130" fillId="0" borderId="0" xfId="0" applyFont="1" applyAlignment="1" applyProtection="1">
      <alignment vertical="center"/>
      <protection locked="0"/>
    </xf>
    <xf numFmtId="196" fontId="6" fillId="33" borderId="0" xfId="0" applyNumberFormat="1" applyFont="1" applyFill="1" applyBorder="1" applyAlignment="1" applyProtection="1">
      <alignment horizontal="left" vertical="center"/>
      <protection locked="0"/>
    </xf>
    <xf numFmtId="0" fontId="130" fillId="33" borderId="0" xfId="0" applyFont="1" applyFill="1" applyAlignment="1" applyProtection="1">
      <alignment vertical="center"/>
      <protection locked="0"/>
    </xf>
    <xf numFmtId="0" fontId="6" fillId="0" borderId="0" xfId="0" applyFont="1" applyAlignment="1" applyProtection="1">
      <alignment vertical="center"/>
      <protection locked="0"/>
    </xf>
    <xf numFmtId="0" fontId="162" fillId="0" borderId="0" xfId="0" applyFont="1" applyAlignment="1" applyProtection="1">
      <alignment vertical="center"/>
      <protection locked="0"/>
    </xf>
    <xf numFmtId="0" fontId="6" fillId="0" borderId="0" xfId="0" applyFont="1" applyAlignment="1" applyProtection="1">
      <alignment vertical="center"/>
      <protection locked="0"/>
    </xf>
    <xf numFmtId="0" fontId="130" fillId="0" borderId="0" xfId="0" applyFont="1" applyAlignment="1">
      <alignment vertical="center"/>
    </xf>
    <xf numFmtId="0" fontId="6" fillId="0" borderId="0" xfId="0" applyFont="1" applyBorder="1" applyAlignment="1" applyProtection="1">
      <alignment horizontal="center" vertical="center"/>
      <protection locked="0"/>
    </xf>
    <xf numFmtId="0" fontId="130" fillId="36" borderId="0" xfId="0" applyFont="1" applyFill="1" applyAlignment="1" applyProtection="1">
      <alignment vertical="center"/>
      <protection locked="0"/>
    </xf>
    <xf numFmtId="0" fontId="104" fillId="36" borderId="0" xfId="44" applyFill="1" applyAlignment="1" applyProtection="1">
      <alignment vertical="center"/>
      <protection locked="0"/>
    </xf>
    <xf numFmtId="0" fontId="124" fillId="7" borderId="25" xfId="0" applyFont="1" applyFill="1" applyBorder="1" applyAlignment="1" applyProtection="1">
      <alignment horizontal="left" vertical="center" wrapText="1"/>
      <protection locked="0"/>
    </xf>
    <xf numFmtId="0" fontId="124" fillId="7" borderId="12" xfId="0" applyFont="1" applyFill="1" applyBorder="1" applyAlignment="1" applyProtection="1">
      <alignment horizontal="left" vertical="center" wrapText="1"/>
      <protection locked="0"/>
    </xf>
    <xf numFmtId="0" fontId="124" fillId="7" borderId="13" xfId="0" applyFont="1" applyFill="1" applyBorder="1" applyAlignment="1" applyProtection="1">
      <alignment horizontal="left" vertical="center" wrapText="1"/>
      <protection locked="0"/>
    </xf>
    <xf numFmtId="0" fontId="124" fillId="7" borderId="13" xfId="0" applyFont="1" applyFill="1" applyBorder="1" applyAlignment="1" applyProtection="1">
      <alignment horizontal="left" vertical="center" wrapText="1" shrinkToFit="1"/>
      <protection locked="0"/>
    </xf>
    <xf numFmtId="176" fontId="9" fillId="7" borderId="13" xfId="0" applyNumberFormat="1" applyFont="1" applyFill="1" applyBorder="1" applyAlignment="1" applyProtection="1">
      <alignment horizontal="left" vertical="center" wrapText="1"/>
      <protection locked="0"/>
    </xf>
    <xf numFmtId="176" fontId="9" fillId="7" borderId="13" xfId="0" applyNumberFormat="1" applyFont="1" applyFill="1" applyBorder="1" applyAlignment="1" applyProtection="1">
      <alignment horizontal="right" vertical="center" wrapText="1"/>
      <protection locked="0"/>
    </xf>
    <xf numFmtId="176" fontId="9" fillId="7" borderId="22" xfId="0" applyNumberFormat="1" applyFont="1" applyFill="1" applyBorder="1" applyAlignment="1" applyProtection="1">
      <alignment horizontal="left" vertical="center" wrapText="1"/>
      <protection locked="0"/>
    </xf>
    <xf numFmtId="176" fontId="9" fillId="7" borderId="22" xfId="0" applyNumberFormat="1" applyFont="1" applyFill="1" applyBorder="1" applyAlignment="1" applyProtection="1">
      <alignment horizontal="right" vertical="center" wrapText="1"/>
      <protection locked="0"/>
    </xf>
    <xf numFmtId="176" fontId="9" fillId="7" borderId="12" xfId="0" applyNumberFormat="1" applyFont="1" applyFill="1" applyBorder="1" applyAlignment="1" applyProtection="1">
      <alignment horizontal="right" vertical="center" wrapText="1"/>
      <protection locked="0"/>
    </xf>
    <xf numFmtId="176" fontId="9" fillId="7" borderId="21" xfId="0" applyNumberFormat="1" applyFont="1" applyFill="1" applyBorder="1" applyAlignment="1" applyProtection="1">
      <alignment horizontal="right" vertical="center" wrapText="1"/>
      <protection locked="0"/>
    </xf>
    <xf numFmtId="0" fontId="124" fillId="7" borderId="22" xfId="0" applyFont="1" applyFill="1" applyBorder="1" applyAlignment="1" applyProtection="1">
      <alignment horizontal="left" vertical="center" wrapText="1"/>
      <protection locked="0"/>
    </xf>
    <xf numFmtId="0" fontId="6" fillId="6" borderId="32" xfId="0" applyFont="1" applyFill="1" applyBorder="1" applyAlignment="1" applyProtection="1">
      <alignment horizontal="center" vertical="center" wrapText="1"/>
      <protection locked="0"/>
    </xf>
    <xf numFmtId="0" fontId="163" fillId="0" borderId="0" xfId="0" applyFont="1" applyAlignment="1" applyProtection="1">
      <alignment vertical="center"/>
      <protection locked="0"/>
    </xf>
    <xf numFmtId="0" fontId="104" fillId="0" borderId="13" xfId="44" applyBorder="1" applyAlignment="1" applyProtection="1">
      <alignment vertical="center"/>
      <protection/>
    </xf>
    <xf numFmtId="0" fontId="0" fillId="0" borderId="0" xfId="0" applyFont="1" applyAlignment="1" applyProtection="1">
      <alignment horizontal="left" vertical="center"/>
      <protection locked="0"/>
    </xf>
    <xf numFmtId="0" fontId="120" fillId="0" borderId="21" xfId="0" applyFont="1" applyBorder="1" applyAlignment="1" applyProtection="1">
      <alignment horizontal="center" vertical="center" wrapText="1"/>
      <protection locked="0"/>
    </xf>
    <xf numFmtId="0" fontId="125" fillId="33" borderId="18" xfId="0" applyFont="1" applyFill="1" applyBorder="1" applyAlignment="1" applyProtection="1">
      <alignment horizontal="center" vertical="center" wrapText="1"/>
      <protection locked="0"/>
    </xf>
    <xf numFmtId="0" fontId="120" fillId="0" borderId="90" xfId="0" applyFont="1" applyBorder="1" applyAlignment="1" applyProtection="1">
      <alignment horizontal="center" vertical="top" wrapText="1"/>
      <protection locked="0"/>
    </xf>
    <xf numFmtId="0" fontId="0" fillId="0" borderId="91" xfId="0" applyBorder="1" applyAlignment="1">
      <alignment vertical="center"/>
    </xf>
    <xf numFmtId="0" fontId="0" fillId="0" borderId="92" xfId="0" applyBorder="1" applyAlignment="1">
      <alignment horizontal="center" vertical="center"/>
    </xf>
    <xf numFmtId="0" fontId="0" fillId="0" borderId="91" xfId="0" applyBorder="1" applyAlignment="1">
      <alignment horizontal="center" vertical="center"/>
    </xf>
    <xf numFmtId="0" fontId="0" fillId="0" borderId="13" xfId="0" applyBorder="1" applyAlignment="1">
      <alignment horizontal="center" vertical="center"/>
    </xf>
    <xf numFmtId="0" fontId="11" fillId="0" borderId="36" xfId="0" applyFont="1" applyBorder="1" applyAlignment="1" applyProtection="1">
      <alignment horizontal="center" vertical="center"/>
      <protection locked="0"/>
    </xf>
    <xf numFmtId="0" fontId="11" fillId="0" borderId="0" xfId="0" applyFont="1" applyBorder="1" applyAlignment="1" applyProtection="1">
      <alignment horizontal="center" vertical="center"/>
      <protection locked="0"/>
    </xf>
    <xf numFmtId="0" fontId="8" fillId="0" borderId="36" xfId="0" applyFont="1" applyBorder="1" applyAlignment="1" applyProtection="1">
      <alignment horizontal="center" vertical="center" wrapText="1"/>
      <protection locked="0"/>
    </xf>
    <xf numFmtId="0" fontId="132" fillId="0" borderId="36" xfId="0" applyFont="1" applyBorder="1" applyAlignment="1" applyProtection="1">
      <alignment vertical="top" textRotation="255" shrinkToFit="1"/>
      <protection locked="0"/>
    </xf>
    <xf numFmtId="0" fontId="164" fillId="0" borderId="36" xfId="0" applyFont="1" applyFill="1" applyBorder="1" applyAlignment="1" applyProtection="1">
      <alignment vertical="top" textRotation="255"/>
      <protection locked="0"/>
    </xf>
    <xf numFmtId="0" fontId="0" fillId="0" borderId="36" xfId="0" applyBorder="1" applyAlignment="1">
      <alignment vertical="top" textRotation="255"/>
    </xf>
    <xf numFmtId="0" fontId="11" fillId="0" borderId="49" xfId="0" applyFont="1" applyBorder="1" applyAlignment="1" applyProtection="1">
      <alignment horizontal="center" vertical="center" wrapText="1"/>
      <protection locked="0"/>
    </xf>
    <xf numFmtId="0" fontId="0" fillId="0" borderId="0" xfId="0" applyFont="1" applyAlignment="1" applyProtection="1">
      <alignment horizontal="left" vertical="center"/>
      <protection locked="0"/>
    </xf>
    <xf numFmtId="0" fontId="0" fillId="0" borderId="0" xfId="0" applyFont="1" applyAlignment="1" applyProtection="1">
      <alignment horizontal="left" vertical="center" shrinkToFit="1"/>
      <protection locked="0"/>
    </xf>
    <xf numFmtId="0" fontId="0" fillId="0" borderId="0" xfId="0" applyFont="1" applyBorder="1" applyAlignment="1" applyProtection="1">
      <alignment vertical="center"/>
      <protection locked="0"/>
    </xf>
    <xf numFmtId="0" fontId="120" fillId="0" borderId="0" xfId="0" applyFont="1" applyAlignment="1" applyProtection="1">
      <alignment horizontal="left" vertical="center"/>
      <protection locked="0"/>
    </xf>
    <xf numFmtId="0" fontId="0" fillId="0" borderId="13" xfId="0" applyFont="1" applyBorder="1" applyAlignment="1" applyProtection="1">
      <alignment horizontal="center" vertical="center"/>
      <protection locked="0"/>
    </xf>
    <xf numFmtId="14" fontId="0" fillId="0" borderId="0" xfId="0" applyNumberFormat="1" applyFont="1" applyAlignment="1" applyProtection="1">
      <alignment vertical="center"/>
      <protection locked="0"/>
    </xf>
    <xf numFmtId="0" fontId="120" fillId="0" borderId="0" xfId="0" applyFont="1" applyAlignment="1" applyProtection="1">
      <alignment horizontal="justify" vertical="center"/>
      <protection locked="0"/>
    </xf>
    <xf numFmtId="0" fontId="118" fillId="0" borderId="0" xfId="0" applyFont="1" applyBorder="1" applyAlignment="1" applyProtection="1">
      <alignment horizontal="right" vertical="center"/>
      <protection locked="0"/>
    </xf>
    <xf numFmtId="0" fontId="0" fillId="0" borderId="18" xfId="0" applyFont="1" applyBorder="1" applyAlignment="1" applyProtection="1">
      <alignment horizontal="center" vertical="top" wrapText="1"/>
      <protection locked="0"/>
    </xf>
    <xf numFmtId="0" fontId="0" fillId="0" borderId="28" xfId="0" applyFont="1" applyBorder="1" applyAlignment="1" applyProtection="1">
      <alignment horizontal="center" vertical="top" wrapText="1"/>
      <protection locked="0"/>
    </xf>
    <xf numFmtId="0" fontId="120" fillId="0" borderId="21" xfId="0" applyFont="1" applyBorder="1" applyAlignment="1" applyProtection="1">
      <alignment horizontal="left" vertical="center" wrapText="1"/>
      <protection locked="0"/>
    </xf>
    <xf numFmtId="0" fontId="0" fillId="0" borderId="21" xfId="0" applyFont="1" applyBorder="1" applyAlignment="1" applyProtection="1">
      <alignment horizontal="center" vertical="top" wrapText="1"/>
      <protection locked="0"/>
    </xf>
    <xf numFmtId="0" fontId="124" fillId="7" borderId="14" xfId="0" applyFont="1" applyFill="1" applyBorder="1" applyAlignment="1" applyProtection="1">
      <alignment horizontal="left" vertical="center" wrapText="1"/>
      <protection locked="0"/>
    </xf>
    <xf numFmtId="0" fontId="124" fillId="7" borderId="15" xfId="0" applyFont="1" applyFill="1" applyBorder="1" applyAlignment="1" applyProtection="1">
      <alignment horizontal="left" vertical="center" wrapText="1"/>
      <protection locked="0"/>
    </xf>
    <xf numFmtId="0" fontId="9" fillId="7" borderId="13" xfId="0" applyFont="1" applyFill="1" applyBorder="1" applyAlignment="1" applyProtection="1">
      <alignment horizontal="left" vertical="center" wrapText="1"/>
      <protection locked="0"/>
    </xf>
    <xf numFmtId="0" fontId="124" fillId="7" borderId="15" xfId="0" applyFont="1" applyFill="1" applyBorder="1" applyAlignment="1" applyProtection="1">
      <alignment horizontal="left" vertical="center" shrinkToFit="1"/>
      <protection locked="0"/>
    </xf>
    <xf numFmtId="0" fontId="124" fillId="7" borderId="23" xfId="0" applyFont="1" applyFill="1" applyBorder="1" applyAlignment="1" applyProtection="1">
      <alignment horizontal="left" vertical="center" wrapText="1"/>
      <protection locked="0"/>
    </xf>
    <xf numFmtId="38" fontId="0" fillId="0" borderId="0" xfId="50" applyFont="1" applyAlignment="1" applyProtection="1">
      <alignment vertical="center"/>
      <protection locked="0"/>
    </xf>
    <xf numFmtId="38" fontId="120" fillId="0" borderId="10" xfId="50" applyFont="1" applyBorder="1" applyAlignment="1" applyProtection="1">
      <alignment horizontal="center" vertical="top" wrapText="1"/>
      <protection locked="0"/>
    </xf>
    <xf numFmtId="38" fontId="120" fillId="0" borderId="21" xfId="50" applyFont="1" applyBorder="1" applyAlignment="1" applyProtection="1">
      <alignment horizontal="center" vertical="center" wrapText="1"/>
      <protection locked="0"/>
    </xf>
    <xf numFmtId="0" fontId="120" fillId="0" borderId="0" xfId="0" applyFont="1" applyBorder="1" applyAlignment="1" applyProtection="1">
      <alignment horizontal="center" vertical="center" wrapText="1"/>
      <protection locked="0"/>
    </xf>
    <xf numFmtId="0" fontId="124" fillId="7" borderId="13" xfId="0" applyFont="1" applyFill="1" applyBorder="1" applyAlignment="1" applyProtection="1">
      <alignment horizontal="left" vertical="center" shrinkToFit="1"/>
      <protection locked="0"/>
    </xf>
    <xf numFmtId="0" fontId="120" fillId="0" borderId="12" xfId="0" applyFont="1" applyBorder="1" applyAlignment="1" applyProtection="1">
      <alignment horizontal="center" vertical="center" wrapText="1"/>
      <protection locked="0"/>
    </xf>
    <xf numFmtId="0" fontId="0" fillId="7" borderId="93" xfId="0" applyFont="1" applyFill="1" applyBorder="1" applyAlignment="1" applyProtection="1">
      <alignment horizontal="center" vertical="center"/>
      <protection locked="0"/>
    </xf>
    <xf numFmtId="0" fontId="120" fillId="0" borderId="13" xfId="0" applyFont="1" applyBorder="1" applyAlignment="1" applyProtection="1">
      <alignment horizontal="center" vertical="center" wrapText="1"/>
      <protection locked="0"/>
    </xf>
    <xf numFmtId="0" fontId="120" fillId="0" borderId="22" xfId="0" applyFont="1" applyBorder="1" applyAlignment="1" applyProtection="1">
      <alignment horizontal="center" vertical="center" wrapText="1"/>
      <protection locked="0"/>
    </xf>
    <xf numFmtId="0" fontId="0" fillId="7" borderId="29" xfId="0" applyFont="1" applyFill="1" applyBorder="1" applyAlignment="1" applyProtection="1">
      <alignment horizontal="center" vertical="center"/>
      <protection locked="0"/>
    </xf>
    <xf numFmtId="0" fontId="120" fillId="0" borderId="0" xfId="0" applyFont="1" applyAlignment="1" applyProtection="1">
      <alignment horizontal="left" vertical="center" shrinkToFit="1"/>
      <protection locked="0"/>
    </xf>
    <xf numFmtId="0" fontId="120" fillId="0" borderId="10" xfId="0" applyFont="1" applyBorder="1" applyAlignment="1" applyProtection="1">
      <alignment horizontal="center" vertical="top" shrinkToFit="1"/>
      <protection locked="0"/>
    </xf>
    <xf numFmtId="0" fontId="120" fillId="0" borderId="21" xfId="0" applyFont="1" applyBorder="1" applyAlignment="1" applyProtection="1">
      <alignment horizontal="left" vertical="center" shrinkToFit="1"/>
      <protection locked="0"/>
    </xf>
    <xf numFmtId="0" fontId="0" fillId="7" borderId="94" xfId="0" applyFont="1" applyFill="1" applyBorder="1" applyAlignment="1" applyProtection="1">
      <alignment horizontal="center" vertical="center"/>
      <protection locked="0"/>
    </xf>
    <xf numFmtId="0" fontId="0" fillId="7" borderId="24" xfId="0" applyFont="1" applyFill="1" applyBorder="1" applyAlignment="1" applyProtection="1">
      <alignment horizontal="center" vertical="center"/>
      <protection locked="0"/>
    </xf>
    <xf numFmtId="0" fontId="120" fillId="33" borderId="13" xfId="0" applyFont="1" applyFill="1" applyBorder="1" applyAlignment="1" applyProtection="1">
      <alignment horizontal="center" vertical="center" wrapText="1"/>
      <protection locked="0"/>
    </xf>
    <xf numFmtId="0" fontId="120" fillId="33" borderId="0" xfId="0" applyFont="1" applyFill="1" applyBorder="1" applyAlignment="1" applyProtection="1">
      <alignment horizontal="center" vertical="center" wrapText="1"/>
      <protection locked="0"/>
    </xf>
    <xf numFmtId="0" fontId="120" fillId="33" borderId="12" xfId="0" applyFont="1" applyFill="1" applyBorder="1" applyAlignment="1" applyProtection="1">
      <alignment horizontal="center" vertical="center" wrapText="1"/>
      <protection locked="0"/>
    </xf>
    <xf numFmtId="0" fontId="124" fillId="7" borderId="15" xfId="0" applyFont="1" applyFill="1" applyBorder="1" applyAlignment="1" applyProtection="1">
      <alignment horizontal="left" vertical="center" wrapText="1" shrinkToFit="1"/>
      <protection locked="0"/>
    </xf>
    <xf numFmtId="0" fontId="120" fillId="0" borderId="14" xfId="0" applyFont="1" applyBorder="1" applyAlignment="1" applyProtection="1" quotePrefix="1">
      <alignment horizontal="center" vertical="center" wrapText="1"/>
      <protection locked="0"/>
    </xf>
    <xf numFmtId="0" fontId="120" fillId="33" borderId="17" xfId="0" applyFont="1" applyFill="1" applyBorder="1" applyAlignment="1" applyProtection="1">
      <alignment horizontal="center" vertical="center" wrapText="1"/>
      <protection locked="0"/>
    </xf>
    <xf numFmtId="0" fontId="120" fillId="33" borderId="14" xfId="0" applyFont="1" applyFill="1" applyBorder="1" applyAlignment="1" applyProtection="1" quotePrefix="1">
      <alignment horizontal="center" vertical="center" wrapText="1"/>
      <protection locked="0"/>
    </xf>
    <xf numFmtId="0" fontId="0" fillId="33" borderId="0" xfId="0" applyFont="1" applyFill="1" applyAlignment="1" applyProtection="1">
      <alignment horizontal="center" vertical="center"/>
      <protection locked="0"/>
    </xf>
    <xf numFmtId="0" fontId="120" fillId="0" borderId="28" xfId="0" applyFont="1" applyBorder="1" applyAlignment="1" applyProtection="1" quotePrefix="1">
      <alignment horizontal="center" vertical="center" wrapText="1"/>
      <protection locked="0"/>
    </xf>
    <xf numFmtId="0" fontId="120" fillId="33" borderId="16" xfId="0" applyFont="1" applyFill="1" applyBorder="1" applyAlignment="1" applyProtection="1">
      <alignment horizontal="center" vertical="center" wrapText="1"/>
      <protection locked="0"/>
    </xf>
    <xf numFmtId="38" fontId="15" fillId="0" borderId="35" xfId="50" applyFont="1" applyFill="1" applyBorder="1" applyAlignment="1" applyProtection="1">
      <alignment horizontal="center" vertical="center"/>
      <protection/>
    </xf>
    <xf numFmtId="176" fontId="15" fillId="0" borderId="37" xfId="0" applyNumberFormat="1" applyFont="1" applyFill="1" applyBorder="1" applyAlignment="1" applyProtection="1">
      <alignment horizontal="right" vertical="center"/>
      <protection/>
    </xf>
    <xf numFmtId="176" fontId="15" fillId="0" borderId="95" xfId="0" applyNumberFormat="1" applyFont="1" applyFill="1" applyBorder="1" applyAlignment="1" applyProtection="1">
      <alignment horizontal="right" vertical="center" wrapText="1"/>
      <protection/>
    </xf>
    <xf numFmtId="0" fontId="15" fillId="0" borderId="96" xfId="0" applyFont="1" applyBorder="1" applyAlignment="1" applyProtection="1">
      <alignment horizontal="center" vertical="center"/>
      <protection locked="0"/>
    </xf>
    <xf numFmtId="176" fontId="15" fillId="0" borderId="97" xfId="0" applyNumberFormat="1" applyFont="1" applyBorder="1" applyAlignment="1" applyProtection="1">
      <alignment horizontal="center" vertical="center"/>
      <protection locked="0"/>
    </xf>
    <xf numFmtId="0" fontId="15" fillId="0" borderId="98" xfId="0" applyFont="1" applyBorder="1" applyAlignment="1" applyProtection="1">
      <alignment horizontal="center" vertical="center"/>
      <protection locked="0"/>
    </xf>
    <xf numFmtId="0" fontId="24" fillId="0" borderId="0" xfId="50" applyNumberFormat="1" applyFont="1" applyBorder="1" applyAlignment="1" applyProtection="1">
      <alignment vertical="center"/>
      <protection locked="0"/>
    </xf>
    <xf numFmtId="0" fontId="130" fillId="37" borderId="0" xfId="0" applyFont="1" applyFill="1" applyAlignment="1" applyProtection="1">
      <alignment vertical="center"/>
      <protection locked="0"/>
    </xf>
    <xf numFmtId="0" fontId="104" fillId="37" borderId="0" xfId="44" applyFill="1" applyAlignment="1" applyProtection="1">
      <alignment vertical="center"/>
      <protection/>
    </xf>
    <xf numFmtId="176" fontId="15" fillId="7" borderId="13" xfId="0" applyNumberFormat="1" applyFont="1" applyFill="1" applyBorder="1" applyAlignment="1" applyProtection="1">
      <alignment horizontal="right" vertical="center" wrapText="1"/>
      <protection locked="0"/>
    </xf>
    <xf numFmtId="176" fontId="15" fillId="7" borderId="99" xfId="0" applyNumberFormat="1" applyFont="1" applyFill="1" applyBorder="1" applyAlignment="1" applyProtection="1">
      <alignment horizontal="right" vertical="center"/>
      <protection locked="0"/>
    </xf>
    <xf numFmtId="176" fontId="15" fillId="7" borderId="100" xfId="0" applyNumberFormat="1" applyFont="1" applyFill="1" applyBorder="1" applyAlignment="1" applyProtection="1">
      <alignment horizontal="right" vertical="center"/>
      <protection locked="0"/>
    </xf>
    <xf numFmtId="176" fontId="15" fillId="7" borderId="101" xfId="0" applyNumberFormat="1" applyFont="1" applyFill="1" applyBorder="1" applyAlignment="1" applyProtection="1">
      <alignment horizontal="right" vertical="center"/>
      <protection locked="0"/>
    </xf>
    <xf numFmtId="176" fontId="15" fillId="0" borderId="102" xfId="0" applyNumberFormat="1" applyFont="1" applyFill="1" applyBorder="1" applyAlignment="1" applyProtection="1">
      <alignment horizontal="right" vertical="center" wrapText="1"/>
      <protection/>
    </xf>
    <xf numFmtId="0" fontId="120" fillId="0" borderId="103" xfId="0" applyFont="1" applyBorder="1" applyAlignment="1" applyProtection="1">
      <alignment horizontal="center" vertical="center" wrapText="1"/>
      <protection locked="0"/>
    </xf>
    <xf numFmtId="176" fontId="9" fillId="0" borderId="104" xfId="0" applyNumberFormat="1" applyFont="1" applyBorder="1" applyAlignment="1" applyProtection="1">
      <alignment horizontal="right" vertical="center" wrapText="1"/>
      <protection/>
    </xf>
    <xf numFmtId="0" fontId="0" fillId="0" borderId="0" xfId="0" applyFont="1" applyFill="1" applyAlignment="1" applyProtection="1">
      <alignment horizontal="left" vertical="center"/>
      <protection locked="0"/>
    </xf>
    <xf numFmtId="0" fontId="165" fillId="0" borderId="0" xfId="0" applyFont="1" applyAlignment="1" applyProtection="1">
      <alignment vertical="center"/>
      <protection locked="0"/>
    </xf>
    <xf numFmtId="225" fontId="9" fillId="7" borderId="12" xfId="0" applyNumberFormat="1" applyFont="1" applyFill="1" applyBorder="1" applyAlignment="1" applyProtection="1">
      <alignment horizontal="right" vertical="center" wrapText="1"/>
      <protection locked="0"/>
    </xf>
    <xf numFmtId="0" fontId="0" fillId="0" borderId="13" xfId="0" applyFont="1" applyBorder="1" applyAlignment="1" applyProtection="1">
      <alignment horizontal="center" vertical="center" shrinkToFit="1"/>
      <protection locked="0"/>
    </xf>
    <xf numFmtId="0" fontId="104" fillId="0" borderId="0" xfId="44" applyAlignment="1" applyProtection="1">
      <alignment vertical="center"/>
      <protection locked="0"/>
    </xf>
    <xf numFmtId="38" fontId="15" fillId="0" borderId="102" xfId="50" applyFont="1" applyFill="1" applyBorder="1" applyAlignment="1" applyProtection="1">
      <alignment horizontal="center" vertical="center"/>
      <protection/>
    </xf>
    <xf numFmtId="176" fontId="15" fillId="0" borderId="13" xfId="0" applyNumberFormat="1" applyFont="1" applyFill="1" applyBorder="1" applyAlignment="1" applyProtection="1">
      <alignment vertical="center" wrapText="1"/>
      <protection locked="0"/>
    </xf>
    <xf numFmtId="38" fontId="15" fillId="0" borderId="13" xfId="50" applyFont="1" applyFill="1" applyBorder="1" applyAlignment="1" applyProtection="1">
      <alignment vertical="center"/>
      <protection/>
    </xf>
    <xf numFmtId="0" fontId="123" fillId="0" borderId="0" xfId="0" applyFont="1" applyFill="1" applyAlignment="1" applyProtection="1">
      <alignment vertical="center"/>
      <protection locked="0"/>
    </xf>
    <xf numFmtId="0" fontId="122" fillId="0" borderId="0" xfId="0" applyFont="1" applyFill="1" applyAlignment="1" applyProtection="1">
      <alignment vertical="center"/>
      <protection locked="0"/>
    </xf>
    <xf numFmtId="176" fontId="135" fillId="0" borderId="13" xfId="0" applyNumberFormat="1" applyFont="1" applyFill="1" applyBorder="1" applyAlignment="1" applyProtection="1">
      <alignment vertical="center" wrapText="1"/>
      <protection locked="0"/>
    </xf>
    <xf numFmtId="0" fontId="129" fillId="0" borderId="13" xfId="0" applyFont="1" applyFill="1" applyBorder="1" applyAlignment="1" applyProtection="1">
      <alignment vertical="center"/>
      <protection locked="0"/>
    </xf>
    <xf numFmtId="176" fontId="15" fillId="0" borderId="0" xfId="0" applyNumberFormat="1" applyFont="1" applyFill="1" applyAlignment="1" applyProtection="1">
      <alignment horizontal="right" vertical="center"/>
      <protection/>
    </xf>
    <xf numFmtId="176" fontId="15" fillId="0" borderId="0" xfId="0" applyNumberFormat="1" applyFont="1" applyFill="1" applyAlignment="1" applyProtection="1">
      <alignment horizontal="right"/>
      <protection/>
    </xf>
    <xf numFmtId="176" fontId="135" fillId="7" borderId="62" xfId="0" applyNumberFormat="1" applyFont="1" applyFill="1" applyBorder="1" applyAlignment="1" applyProtection="1">
      <alignment horizontal="right" vertical="center" wrapText="1"/>
      <protection locked="0"/>
    </xf>
    <xf numFmtId="176" fontId="135" fillId="7" borderId="68" xfId="0" applyNumberFormat="1" applyFont="1" applyFill="1" applyBorder="1" applyAlignment="1" applyProtection="1">
      <alignment horizontal="right" vertical="center" wrapText="1"/>
      <protection locked="0"/>
    </xf>
    <xf numFmtId="176" fontId="135" fillId="7" borderId="105" xfId="0" applyNumberFormat="1" applyFont="1" applyFill="1" applyBorder="1" applyAlignment="1" applyProtection="1">
      <alignment horizontal="right" vertical="center" wrapText="1"/>
      <protection locked="0"/>
    </xf>
    <xf numFmtId="176" fontId="18" fillId="0" borderId="0" xfId="0" applyNumberFormat="1" applyFont="1" applyFill="1" applyBorder="1" applyAlignment="1" applyProtection="1">
      <alignment vertical="center" wrapText="1"/>
      <protection locked="0"/>
    </xf>
    <xf numFmtId="176" fontId="18" fillId="0" borderId="0" xfId="0" applyNumberFormat="1" applyFont="1" applyFill="1" applyBorder="1" applyAlignment="1" applyProtection="1" quotePrefix="1">
      <alignment vertical="center" wrapText="1"/>
      <protection locked="0"/>
    </xf>
    <xf numFmtId="0" fontId="123" fillId="0" borderId="0" xfId="0" applyFont="1" applyBorder="1" applyAlignment="1" applyProtection="1">
      <alignment vertical="center" wrapText="1"/>
      <protection locked="0"/>
    </xf>
    <xf numFmtId="0" fontId="118" fillId="0" borderId="106" xfId="0" applyFont="1" applyFill="1" applyBorder="1" applyAlignment="1" applyProtection="1">
      <alignment horizontal="center" vertical="center"/>
      <protection locked="0"/>
    </xf>
    <xf numFmtId="0" fontId="0" fillId="0" borderId="0" xfId="0" applyFill="1" applyAlignment="1">
      <alignment vertical="center"/>
    </xf>
    <xf numFmtId="0" fontId="129" fillId="0" borderId="0" xfId="0" applyFont="1" applyFill="1" applyAlignment="1" applyProtection="1">
      <alignment vertical="center"/>
      <protection locked="0"/>
    </xf>
    <xf numFmtId="0" fontId="136" fillId="0" borderId="0" xfId="0" applyFont="1" applyFill="1" applyBorder="1" applyAlignment="1" applyProtection="1">
      <alignment vertical="center"/>
      <protection/>
    </xf>
    <xf numFmtId="0" fontId="136" fillId="0" borderId="0" xfId="0" applyFont="1" applyFill="1" applyAlignment="1" applyProtection="1">
      <alignment horizontal="center" vertical="center"/>
      <protection/>
    </xf>
    <xf numFmtId="38" fontId="15" fillId="0" borderId="107" xfId="50" applyFont="1" applyFill="1" applyBorder="1" applyAlignment="1" applyProtection="1">
      <alignment vertical="center"/>
      <protection/>
    </xf>
    <xf numFmtId="176" fontId="15" fillId="0" borderId="108" xfId="0" applyNumberFormat="1" applyFont="1" applyFill="1" applyBorder="1" applyAlignment="1" applyProtection="1">
      <alignment horizontal="right" vertical="center" wrapText="1"/>
      <protection/>
    </xf>
    <xf numFmtId="0" fontId="21" fillId="0" borderId="109" xfId="0" applyFont="1" applyBorder="1" applyAlignment="1" applyProtection="1">
      <alignment horizontal="center" vertical="center"/>
      <protection locked="0"/>
    </xf>
    <xf numFmtId="176" fontId="123" fillId="0" borderId="110" xfId="0" applyNumberFormat="1" applyFont="1" applyBorder="1" applyAlignment="1" applyProtection="1">
      <alignment vertical="center"/>
      <protection/>
    </xf>
    <xf numFmtId="176" fontId="123" fillId="0" borderId="111" xfId="0" applyNumberFormat="1" applyFont="1" applyBorder="1" applyAlignment="1" applyProtection="1">
      <alignment vertical="center"/>
      <protection/>
    </xf>
    <xf numFmtId="178" fontId="124" fillId="36" borderId="103" xfId="0" applyNumberFormat="1" applyFont="1" applyFill="1" applyBorder="1" applyAlignment="1" applyProtection="1">
      <alignment horizontal="right" vertical="center" wrapText="1"/>
      <protection/>
    </xf>
    <xf numFmtId="0" fontId="120" fillId="0" borderId="112" xfId="0" applyFont="1" applyBorder="1" applyAlignment="1" applyProtection="1">
      <alignment horizontal="center" vertical="top" wrapText="1"/>
      <protection locked="0"/>
    </xf>
    <xf numFmtId="0" fontId="125" fillId="33" borderId="18" xfId="0" applyFont="1" applyFill="1" applyBorder="1" applyAlignment="1" applyProtection="1">
      <alignment horizontal="center" vertical="center" wrapText="1"/>
      <protection locked="0"/>
    </xf>
    <xf numFmtId="0" fontId="127" fillId="0" borderId="0" xfId="0" applyFont="1" applyAlignment="1" applyProtection="1">
      <alignment vertical="center" shrinkToFit="1"/>
      <protection locked="0"/>
    </xf>
    <xf numFmtId="0" fontId="166" fillId="0" borderId="0" xfId="0" applyFont="1" applyAlignment="1" applyProtection="1">
      <alignment vertical="center"/>
      <protection locked="0"/>
    </xf>
    <xf numFmtId="0" fontId="166" fillId="0" borderId="0" xfId="0" applyFont="1" applyAlignment="1" applyProtection="1">
      <alignment vertical="center" shrinkToFit="1"/>
      <protection locked="0"/>
    </xf>
    <xf numFmtId="0" fontId="161" fillId="38" borderId="0" xfId="0" applyFont="1" applyFill="1" applyBorder="1" applyAlignment="1" applyProtection="1">
      <alignment horizontal="center" vertical="center" shrinkToFit="1"/>
      <protection locked="0"/>
    </xf>
    <xf numFmtId="0" fontId="120" fillId="0" borderId="21" xfId="0" applyFont="1" applyBorder="1" applyAlignment="1" applyProtection="1">
      <alignment vertical="center" wrapText="1"/>
      <protection locked="0"/>
    </xf>
    <xf numFmtId="177" fontId="9" fillId="7" borderId="25" xfId="0" applyNumberFormat="1" applyFont="1" applyFill="1" applyBorder="1" applyAlignment="1" applyProtection="1">
      <alignment horizontal="center" vertical="center" wrapText="1" shrinkToFit="1"/>
      <protection locked="0"/>
    </xf>
    <xf numFmtId="177" fontId="9" fillId="7" borderId="13" xfId="0" applyNumberFormat="1" applyFont="1" applyFill="1" applyBorder="1" applyAlignment="1" applyProtection="1">
      <alignment horizontal="center" vertical="center" wrapText="1" shrinkToFit="1"/>
      <protection locked="0"/>
    </xf>
    <xf numFmtId="177" fontId="9" fillId="7" borderId="12" xfId="0" applyNumberFormat="1" applyFont="1" applyFill="1" applyBorder="1" applyAlignment="1" applyProtection="1">
      <alignment horizontal="center" vertical="center" wrapText="1" shrinkToFit="1"/>
      <protection locked="0"/>
    </xf>
    <xf numFmtId="177" fontId="9" fillId="7" borderId="12" xfId="0" applyNumberFormat="1" applyFont="1" applyFill="1" applyBorder="1" applyAlignment="1" applyProtection="1">
      <alignment horizontal="center" vertical="center" wrapText="1"/>
      <protection locked="0"/>
    </xf>
    <xf numFmtId="177" fontId="9" fillId="7" borderId="22" xfId="0" applyNumberFormat="1" applyFont="1" applyFill="1" applyBorder="1" applyAlignment="1" applyProtection="1">
      <alignment horizontal="center" vertical="center" wrapText="1"/>
      <protection locked="0"/>
    </xf>
    <xf numFmtId="177" fontId="9" fillId="7" borderId="21" xfId="0" applyNumberFormat="1" applyFont="1" applyFill="1" applyBorder="1" applyAlignment="1" applyProtection="1">
      <alignment horizontal="center" vertical="center" wrapText="1"/>
      <protection locked="0"/>
    </xf>
    <xf numFmtId="177" fontId="9" fillId="7" borderId="13" xfId="0" applyNumberFormat="1" applyFont="1" applyFill="1" applyBorder="1" applyAlignment="1" applyProtection="1">
      <alignment horizontal="center" vertical="center" wrapText="1"/>
      <protection locked="0"/>
    </xf>
    <xf numFmtId="176" fontId="9" fillId="7" borderId="13" xfId="0" applyNumberFormat="1" applyFont="1" applyFill="1" applyBorder="1" applyAlignment="1" applyProtection="1">
      <alignment horizontal="center" vertical="center" wrapText="1"/>
      <protection locked="0"/>
    </xf>
    <xf numFmtId="176" fontId="9" fillId="7" borderId="22" xfId="0" applyNumberFormat="1" applyFont="1" applyFill="1" applyBorder="1" applyAlignment="1" applyProtection="1">
      <alignment horizontal="center" vertical="center" wrapText="1"/>
      <protection locked="0"/>
    </xf>
    <xf numFmtId="176" fontId="9" fillId="7" borderId="12" xfId="0" applyNumberFormat="1" applyFont="1" applyFill="1" applyBorder="1" applyAlignment="1" applyProtection="1">
      <alignment horizontal="right" vertical="center" wrapText="1" shrinkToFit="1"/>
      <protection locked="0"/>
    </xf>
    <xf numFmtId="176" fontId="124" fillId="7" borderId="25" xfId="0" applyNumberFormat="1" applyFont="1" applyFill="1" applyBorder="1" applyAlignment="1" applyProtection="1">
      <alignment horizontal="right" vertical="center" wrapText="1" shrinkToFit="1"/>
      <protection locked="0"/>
    </xf>
    <xf numFmtId="176" fontId="9" fillId="7" borderId="25" xfId="0" applyNumberFormat="1" applyFont="1" applyFill="1" applyBorder="1" applyAlignment="1" applyProtection="1">
      <alignment horizontal="right" vertical="center" wrapText="1" shrinkToFit="1"/>
      <protection locked="0"/>
    </xf>
    <xf numFmtId="176" fontId="9" fillId="7" borderId="13" xfId="0" applyNumberFormat="1" applyFont="1" applyFill="1" applyBorder="1" applyAlignment="1" applyProtection="1">
      <alignment horizontal="right" vertical="center" wrapText="1" shrinkToFit="1"/>
      <protection locked="0"/>
    </xf>
    <xf numFmtId="225" fontId="9" fillId="7" borderId="25" xfId="0" applyNumberFormat="1" applyFont="1" applyFill="1" applyBorder="1" applyAlignment="1" applyProtection="1">
      <alignment horizontal="right" vertical="center" wrapText="1" shrinkToFit="1"/>
      <protection locked="0"/>
    </xf>
    <xf numFmtId="225" fontId="9" fillId="7" borderId="13" xfId="0" applyNumberFormat="1" applyFont="1" applyFill="1" applyBorder="1" applyAlignment="1" applyProtection="1">
      <alignment horizontal="right" vertical="center" wrapText="1" shrinkToFit="1"/>
      <protection locked="0"/>
    </xf>
    <xf numFmtId="225" fontId="9" fillId="7" borderId="12" xfId="0" applyNumberFormat="1" applyFont="1" applyFill="1" applyBorder="1" applyAlignment="1" applyProtection="1">
      <alignment horizontal="right" vertical="center" wrapText="1" shrinkToFit="1"/>
      <protection locked="0"/>
    </xf>
    <xf numFmtId="0" fontId="118" fillId="0" borderId="0" xfId="0" applyFont="1" applyAlignment="1" applyProtection="1">
      <alignment horizontal="right" vertical="center"/>
      <protection locked="0"/>
    </xf>
    <xf numFmtId="225" fontId="9" fillId="7" borderId="22" xfId="0" applyNumberFormat="1" applyFont="1" applyFill="1" applyBorder="1" applyAlignment="1" applyProtection="1">
      <alignment horizontal="right" vertical="center" wrapText="1"/>
      <protection locked="0"/>
    </xf>
    <xf numFmtId="225" fontId="9" fillId="7" borderId="22" xfId="0" applyNumberFormat="1" applyFont="1" applyFill="1" applyBorder="1" applyAlignment="1" applyProtection="1">
      <alignment horizontal="right" vertical="center" wrapText="1" shrinkToFit="1"/>
      <protection locked="0"/>
    </xf>
    <xf numFmtId="0" fontId="120" fillId="7" borderId="16" xfId="0" applyFont="1" applyFill="1" applyBorder="1" applyAlignment="1" applyProtection="1">
      <alignment horizontal="center" vertical="center" wrapText="1"/>
      <protection locked="0"/>
    </xf>
    <xf numFmtId="0" fontId="120" fillId="7" borderId="17" xfId="0" applyFont="1" applyFill="1" applyBorder="1" applyAlignment="1" applyProtection="1">
      <alignment horizontal="center" vertical="center" wrapText="1"/>
      <protection locked="0"/>
    </xf>
    <xf numFmtId="0" fontId="120" fillId="7" borderId="20" xfId="0" applyFont="1" applyFill="1" applyBorder="1" applyAlignment="1" applyProtection="1">
      <alignment horizontal="center" vertical="center" wrapText="1"/>
      <protection locked="0"/>
    </xf>
    <xf numFmtId="176" fontId="33" fillId="0" borderId="113" xfId="0" applyNumberFormat="1" applyFont="1" applyFill="1" applyBorder="1" applyAlignment="1" applyProtection="1">
      <alignment vertical="center"/>
      <protection/>
    </xf>
    <xf numFmtId="176" fontId="167" fillId="0" borderId="113" xfId="0" applyNumberFormat="1" applyFont="1" applyFill="1" applyBorder="1" applyAlignment="1" applyProtection="1">
      <alignment vertical="center"/>
      <protection/>
    </xf>
    <xf numFmtId="176" fontId="167" fillId="0" borderId="114" xfId="0" applyNumberFormat="1" applyFont="1" applyFill="1" applyBorder="1" applyAlignment="1" applyProtection="1">
      <alignment vertical="center"/>
      <protection/>
    </xf>
    <xf numFmtId="38" fontId="135" fillId="7" borderId="34" xfId="50" applyFont="1" applyFill="1" applyBorder="1" applyAlignment="1" applyProtection="1">
      <alignment horizontal="right" vertical="center"/>
      <protection locked="0"/>
    </xf>
    <xf numFmtId="176" fontId="135" fillId="7" borderId="34" xfId="0" applyNumberFormat="1" applyFont="1" applyFill="1" applyBorder="1" applyAlignment="1" applyProtection="1">
      <alignment horizontal="right" vertical="center" wrapText="1"/>
      <protection locked="0"/>
    </xf>
    <xf numFmtId="38" fontId="135" fillId="7" borderId="35" xfId="50" applyFont="1" applyFill="1" applyBorder="1" applyAlignment="1" applyProtection="1">
      <alignment horizontal="right" vertical="center"/>
      <protection locked="0"/>
    </xf>
    <xf numFmtId="176" fontId="135" fillId="7" borderId="35" xfId="0" applyNumberFormat="1" applyFont="1" applyFill="1" applyBorder="1" applyAlignment="1" applyProtection="1">
      <alignment horizontal="right" vertical="center" wrapText="1"/>
      <protection locked="0"/>
    </xf>
    <xf numFmtId="38" fontId="135" fillId="7" borderId="37" xfId="50" applyFont="1" applyFill="1" applyBorder="1" applyAlignment="1" applyProtection="1">
      <alignment horizontal="right" vertical="center"/>
      <protection locked="0"/>
    </xf>
    <xf numFmtId="176" fontId="135" fillId="7" borderId="37" xfId="0" applyNumberFormat="1" applyFont="1" applyFill="1" applyBorder="1" applyAlignment="1" applyProtection="1">
      <alignment horizontal="right" vertical="center" wrapText="1"/>
      <protection locked="0"/>
    </xf>
    <xf numFmtId="0" fontId="16" fillId="0" borderId="115" xfId="0" applyFont="1" applyFill="1" applyBorder="1" applyAlignment="1" applyProtection="1">
      <alignment horizontal="center" vertical="center" wrapText="1"/>
      <protection locked="0"/>
    </xf>
    <xf numFmtId="0" fontId="16" fillId="0" borderId="116" xfId="0" applyFont="1" applyFill="1" applyBorder="1" applyAlignment="1" applyProtection="1">
      <alignment horizontal="center" vertical="center" wrapText="1"/>
      <protection locked="0"/>
    </xf>
    <xf numFmtId="0" fontId="16" fillId="0" borderId="117" xfId="0" applyFont="1" applyFill="1" applyBorder="1" applyAlignment="1" applyProtection="1">
      <alignment horizontal="center" vertical="center" wrapText="1"/>
      <protection locked="0"/>
    </xf>
    <xf numFmtId="178" fontId="124" fillId="36" borderId="118" xfId="0" applyNumberFormat="1" applyFont="1" applyFill="1" applyBorder="1" applyAlignment="1" applyProtection="1">
      <alignment horizontal="right" vertical="center" wrapText="1"/>
      <protection/>
    </xf>
    <xf numFmtId="176" fontId="9" fillId="0" borderId="119" xfId="0" applyNumberFormat="1" applyFont="1" applyBorder="1" applyAlignment="1" applyProtection="1">
      <alignment horizontal="right" vertical="center" wrapText="1"/>
      <protection/>
    </xf>
    <xf numFmtId="0" fontId="120" fillId="0" borderId="112" xfId="0" applyFont="1" applyBorder="1" applyAlignment="1" applyProtection="1">
      <alignment horizontal="center" vertical="top" wrapText="1"/>
      <protection locked="0"/>
    </xf>
    <xf numFmtId="0" fontId="120" fillId="0" borderId="103" xfId="0" applyFont="1" applyBorder="1" applyAlignment="1" applyProtection="1">
      <alignment horizontal="center" vertical="center" wrapText="1"/>
      <protection locked="0"/>
    </xf>
    <xf numFmtId="0" fontId="120" fillId="33" borderId="20" xfId="0" applyFont="1" applyFill="1" applyBorder="1" applyAlignment="1" applyProtection="1">
      <alignment horizontal="center" vertical="center" wrapText="1"/>
      <protection locked="0"/>
    </xf>
    <xf numFmtId="0" fontId="120" fillId="33" borderId="29" xfId="0" applyFont="1" applyFill="1" applyBorder="1" applyAlignment="1" applyProtection="1">
      <alignment horizontal="center" vertical="center" wrapText="1"/>
      <protection locked="0"/>
    </xf>
    <xf numFmtId="176" fontId="9" fillId="0" borderId="120" xfId="0" applyNumberFormat="1" applyFont="1" applyBorder="1" applyAlignment="1" applyProtection="1">
      <alignment horizontal="right" vertical="center" wrapText="1"/>
      <protection/>
    </xf>
    <xf numFmtId="176" fontId="9" fillId="0" borderId="17" xfId="0" applyNumberFormat="1" applyFont="1" applyBorder="1" applyAlignment="1" applyProtection="1">
      <alignment horizontal="right" vertical="center" wrapText="1"/>
      <protection/>
    </xf>
    <xf numFmtId="176" fontId="9" fillId="33" borderId="121" xfId="0" applyNumberFormat="1" applyFont="1" applyFill="1" applyBorder="1" applyAlignment="1" applyProtection="1">
      <alignment horizontal="right" vertical="center" wrapText="1"/>
      <protection/>
    </xf>
    <xf numFmtId="176" fontId="9" fillId="0" borderId="121" xfId="0" applyNumberFormat="1" applyFont="1" applyFill="1" applyBorder="1" applyAlignment="1" applyProtection="1">
      <alignment horizontal="right" vertical="center" wrapText="1"/>
      <protection/>
    </xf>
    <xf numFmtId="176" fontId="9" fillId="0" borderId="122" xfId="0" applyNumberFormat="1" applyFont="1" applyBorder="1" applyAlignment="1" applyProtection="1">
      <alignment horizontal="right" vertical="center" wrapText="1"/>
      <protection/>
    </xf>
    <xf numFmtId="176" fontId="9" fillId="0" borderId="123" xfId="0" applyNumberFormat="1" applyFont="1" applyFill="1" applyBorder="1" applyAlignment="1" applyProtection="1">
      <alignment horizontal="right" vertical="center" wrapText="1"/>
      <protection/>
    </xf>
    <xf numFmtId="178" fontId="124" fillId="33" borderId="124" xfId="0" applyNumberFormat="1" applyFont="1" applyFill="1" applyBorder="1" applyAlignment="1" applyProtection="1">
      <alignment horizontal="right" vertical="center" wrapText="1"/>
      <protection/>
    </xf>
    <xf numFmtId="178" fontId="124" fillId="33" borderId="125" xfId="0" applyNumberFormat="1" applyFont="1" applyFill="1" applyBorder="1" applyAlignment="1" applyProtection="1">
      <alignment horizontal="right" vertical="center" wrapText="1"/>
      <protection/>
    </xf>
    <xf numFmtId="0" fontId="118" fillId="0" borderId="126" xfId="0" applyFont="1" applyBorder="1" applyAlignment="1" applyProtection="1">
      <alignment vertical="center" wrapText="1"/>
      <protection/>
    </xf>
    <xf numFmtId="0" fontId="118" fillId="0" borderId="0" xfId="0" applyFont="1" applyBorder="1" applyAlignment="1" applyProtection="1">
      <alignment vertical="center" wrapText="1"/>
      <protection/>
    </xf>
    <xf numFmtId="176" fontId="118" fillId="0" borderId="126" xfId="0" applyNumberFormat="1" applyFont="1" applyBorder="1" applyAlignment="1" applyProtection="1">
      <alignment vertical="center" wrapText="1"/>
      <protection/>
    </xf>
    <xf numFmtId="176" fontId="118" fillId="0" borderId="0" xfId="0" applyNumberFormat="1" applyFont="1" applyBorder="1" applyAlignment="1" applyProtection="1">
      <alignment vertical="center" wrapText="1"/>
      <protection/>
    </xf>
    <xf numFmtId="0" fontId="0" fillId="0" borderId="0" xfId="0" applyFont="1" applyAlignment="1">
      <alignment vertical="center"/>
    </xf>
    <xf numFmtId="176" fontId="15" fillId="0" borderId="127" xfId="0" applyNumberFormat="1" applyFont="1" applyFill="1" applyBorder="1" applyAlignment="1" applyProtection="1">
      <alignment horizontal="right" vertical="center" wrapText="1"/>
      <protection/>
    </xf>
    <xf numFmtId="38" fontId="15" fillId="0" borderId="127" xfId="50" applyFont="1" applyFill="1" applyBorder="1" applyAlignment="1" applyProtection="1">
      <alignment horizontal="center" vertical="center"/>
      <protection/>
    </xf>
    <xf numFmtId="38" fontId="15" fillId="0" borderId="127" xfId="50" applyFont="1" applyFill="1" applyBorder="1" applyAlignment="1" applyProtection="1">
      <alignment vertical="center"/>
      <protection/>
    </xf>
    <xf numFmtId="176" fontId="15" fillId="0" borderId="0" xfId="0" applyNumberFormat="1" applyFont="1" applyFill="1" applyBorder="1" applyAlignment="1" applyProtection="1">
      <alignment horizontal="right" vertical="center" wrapText="1"/>
      <protection/>
    </xf>
    <xf numFmtId="38" fontId="15" fillId="0" borderId="0" xfId="50" applyFont="1" applyFill="1" applyBorder="1" applyAlignment="1" applyProtection="1">
      <alignment horizontal="center" vertical="center"/>
      <protection/>
    </xf>
    <xf numFmtId="38" fontId="15" fillId="0" borderId="0" xfId="50" applyFont="1" applyFill="1" applyBorder="1" applyAlignment="1" applyProtection="1">
      <alignment vertical="center"/>
      <protection/>
    </xf>
    <xf numFmtId="176" fontId="15" fillId="0" borderId="0" xfId="0" applyNumberFormat="1" applyFont="1" applyBorder="1" applyAlignment="1" applyProtection="1">
      <alignment horizontal="right" vertical="center"/>
      <protection/>
    </xf>
    <xf numFmtId="0" fontId="6" fillId="0" borderId="0" xfId="0" applyFont="1" applyFill="1" applyBorder="1" applyAlignment="1" applyProtection="1">
      <alignment horizontal="center" vertical="center" wrapText="1"/>
      <protection locked="0"/>
    </xf>
    <xf numFmtId="0" fontId="126" fillId="0" borderId="0" xfId="0" applyFont="1" applyFill="1" applyBorder="1" applyAlignment="1" applyProtection="1">
      <alignment horizontal="center" vertical="center"/>
      <protection/>
    </xf>
    <xf numFmtId="38" fontId="15" fillId="0" borderId="0" xfId="50" applyNumberFormat="1" applyFont="1" applyFill="1" applyBorder="1" applyAlignment="1" applyProtection="1">
      <alignment horizontal="right" vertical="center"/>
      <protection/>
    </xf>
    <xf numFmtId="38" fontId="15" fillId="0" borderId="0" xfId="0" applyNumberFormat="1" applyFont="1" applyFill="1" applyBorder="1" applyAlignment="1" applyProtection="1">
      <alignment vertical="center" shrinkToFit="1"/>
      <protection/>
    </xf>
    <xf numFmtId="38" fontId="15" fillId="0" borderId="0" xfId="50" applyNumberFormat="1" applyFont="1" applyFill="1" applyBorder="1" applyAlignment="1" applyProtection="1">
      <alignment vertical="center"/>
      <protection/>
    </xf>
    <xf numFmtId="213" fontId="126" fillId="0" borderId="0" xfId="0" applyNumberFormat="1" applyFont="1" applyFill="1" applyBorder="1" applyAlignment="1" applyProtection="1">
      <alignment horizontal="center" vertical="center"/>
      <protection/>
    </xf>
    <xf numFmtId="0" fontId="168" fillId="0" borderId="0" xfId="0" applyFont="1" applyBorder="1" applyAlignment="1" applyProtection="1">
      <alignment vertical="center"/>
      <protection locked="0"/>
    </xf>
    <xf numFmtId="0" fontId="31" fillId="0" borderId="128" xfId="0" applyFont="1" applyFill="1" applyBorder="1" applyAlignment="1" applyProtection="1">
      <alignment horizontal="center" vertical="center" wrapText="1"/>
      <protection/>
    </xf>
    <xf numFmtId="0" fontId="31" fillId="0" borderId="92" xfId="0" applyFont="1" applyFill="1" applyBorder="1" applyAlignment="1" applyProtection="1">
      <alignment horizontal="center" vertical="center" wrapText="1"/>
      <protection/>
    </xf>
    <xf numFmtId="0" fontId="31" fillId="0" borderId="129" xfId="0" applyFont="1" applyFill="1" applyBorder="1" applyAlignment="1" applyProtection="1">
      <alignment horizontal="center" vertical="center" wrapText="1"/>
      <protection/>
    </xf>
    <xf numFmtId="0" fontId="31" fillId="0" borderId="130" xfId="0" applyFont="1" applyFill="1" applyBorder="1" applyAlignment="1" applyProtection="1">
      <alignment horizontal="center" vertical="center" wrapText="1"/>
      <protection/>
    </xf>
    <xf numFmtId="0" fontId="31" fillId="0" borderId="131" xfId="0" applyFont="1" applyFill="1" applyBorder="1" applyAlignment="1" applyProtection="1">
      <alignment vertical="center"/>
      <protection/>
    </xf>
    <xf numFmtId="213" fontId="31" fillId="0" borderId="132" xfId="50" applyNumberFormat="1" applyFont="1" applyFill="1" applyBorder="1" applyAlignment="1" applyProtection="1">
      <alignment vertical="center" wrapText="1"/>
      <protection/>
    </xf>
    <xf numFmtId="213" fontId="31" fillId="0" borderId="91" xfId="50" applyNumberFormat="1" applyFont="1" applyFill="1" applyBorder="1" applyAlignment="1" applyProtection="1">
      <alignment vertical="center" wrapText="1"/>
      <protection/>
    </xf>
    <xf numFmtId="0" fontId="31" fillId="0" borderId="91" xfId="0" applyNumberFormat="1" applyFont="1" applyFill="1" applyBorder="1" applyAlignment="1" applyProtection="1">
      <alignment horizontal="center" vertical="center"/>
      <protection/>
    </xf>
    <xf numFmtId="0" fontId="31" fillId="0" borderId="131" xfId="0" applyNumberFormat="1" applyFont="1" applyFill="1" applyBorder="1" applyAlignment="1" applyProtection="1">
      <alignment horizontal="center" vertical="center"/>
      <protection/>
    </xf>
    <xf numFmtId="213" fontId="31" fillId="0" borderId="14" xfId="50" applyNumberFormat="1" applyFont="1" applyFill="1" applyBorder="1" applyAlignment="1" applyProtection="1">
      <alignment vertical="center" wrapText="1"/>
      <protection/>
    </xf>
    <xf numFmtId="213" fontId="31" fillId="0" borderId="12" xfId="50" applyNumberFormat="1" applyFont="1" applyFill="1" applyBorder="1" applyAlignment="1" applyProtection="1">
      <alignment vertical="center" wrapText="1"/>
      <protection/>
    </xf>
    <xf numFmtId="0" fontId="31" fillId="0" borderId="12" xfId="50" applyNumberFormat="1" applyFont="1" applyFill="1" applyBorder="1" applyAlignment="1" applyProtection="1">
      <alignment horizontal="center" vertical="center" wrapText="1"/>
      <protection/>
    </xf>
    <xf numFmtId="0" fontId="31" fillId="0" borderId="133" xfId="0" applyFont="1" applyFill="1" applyBorder="1" applyAlignment="1" applyProtection="1">
      <alignment vertical="center"/>
      <protection/>
    </xf>
    <xf numFmtId="213" fontId="31" fillId="0" borderId="15" xfId="50" applyNumberFormat="1" applyFont="1" applyFill="1" applyBorder="1" applyAlignment="1" applyProtection="1">
      <alignment vertical="center" wrapText="1"/>
      <protection/>
    </xf>
    <xf numFmtId="213" fontId="31" fillId="0" borderId="13" xfId="50" applyNumberFormat="1" applyFont="1" applyFill="1" applyBorder="1" applyAlignment="1" applyProtection="1">
      <alignment vertical="center" wrapText="1"/>
      <protection/>
    </xf>
    <xf numFmtId="0" fontId="31" fillId="0" borderId="13" xfId="0" applyNumberFormat="1" applyFont="1" applyFill="1" applyBorder="1" applyAlignment="1" applyProtection="1">
      <alignment horizontal="center" vertical="center"/>
      <protection/>
    </xf>
    <xf numFmtId="0" fontId="31" fillId="0" borderId="134" xfId="0" applyNumberFormat="1" applyFont="1" applyFill="1" applyBorder="1" applyAlignment="1" applyProtection="1">
      <alignment horizontal="center" vertical="center"/>
      <protection/>
    </xf>
    <xf numFmtId="0" fontId="31" fillId="0" borderId="134" xfId="0" applyFont="1" applyFill="1" applyBorder="1" applyAlignment="1" applyProtection="1">
      <alignment vertical="center"/>
      <protection/>
    </xf>
    <xf numFmtId="0" fontId="31" fillId="0" borderId="15" xfId="0" applyFont="1" applyFill="1" applyBorder="1" applyAlignment="1" applyProtection="1">
      <alignment vertical="center" wrapText="1"/>
      <protection/>
    </xf>
    <xf numFmtId="176" fontId="31" fillId="0" borderId="13" xfId="0" applyNumberFormat="1" applyFont="1" applyFill="1" applyBorder="1" applyAlignment="1" applyProtection="1">
      <alignment vertical="center"/>
      <protection/>
    </xf>
    <xf numFmtId="0" fontId="31" fillId="39" borderId="13" xfId="0" applyNumberFormat="1" applyFont="1" applyFill="1" applyBorder="1" applyAlignment="1" applyProtection="1" quotePrefix="1">
      <alignment horizontal="center" vertical="center" wrapText="1"/>
      <protection/>
    </xf>
    <xf numFmtId="0" fontId="31" fillId="0" borderId="13" xfId="0" applyFont="1" applyFill="1" applyBorder="1" applyAlignment="1" applyProtection="1">
      <alignment vertical="center" wrapText="1"/>
      <protection/>
    </xf>
    <xf numFmtId="0" fontId="31" fillId="0" borderId="134" xfId="0" applyFont="1" applyFill="1" applyBorder="1" applyAlignment="1" applyProtection="1">
      <alignment vertical="center" wrapText="1"/>
      <protection/>
    </xf>
    <xf numFmtId="0" fontId="31" fillId="39" borderId="134" xfId="0" applyNumberFormat="1" applyFont="1" applyFill="1" applyBorder="1" applyAlignment="1" applyProtection="1" quotePrefix="1">
      <alignment horizontal="center" vertical="center" wrapText="1"/>
      <protection/>
    </xf>
    <xf numFmtId="213" fontId="31" fillId="0" borderId="135" xfId="50" applyNumberFormat="1" applyFont="1" applyFill="1" applyBorder="1" applyAlignment="1" applyProtection="1">
      <alignment vertical="center" wrapText="1"/>
      <protection/>
    </xf>
    <xf numFmtId="0" fontId="31" fillId="0" borderId="0" xfId="0" applyFont="1" applyFill="1" applyAlignment="1" applyProtection="1">
      <alignment vertical="center"/>
      <protection/>
    </xf>
    <xf numFmtId="0" fontId="145" fillId="0" borderId="0" xfId="0" applyFont="1" applyAlignment="1" applyProtection="1">
      <alignment vertical="center"/>
      <protection/>
    </xf>
    <xf numFmtId="0" fontId="31" fillId="0" borderId="0" xfId="0" applyFont="1" applyAlignment="1" applyProtection="1">
      <alignment vertical="center"/>
      <protection/>
    </xf>
    <xf numFmtId="0" fontId="31" fillId="0" borderId="0" xfId="0" applyNumberFormat="1" applyFont="1" applyAlignment="1" applyProtection="1">
      <alignment vertical="center"/>
      <protection/>
    </xf>
    <xf numFmtId="0" fontId="31" fillId="0" borderId="0" xfId="0" applyFont="1" applyFill="1" applyBorder="1" applyAlignment="1" applyProtection="1">
      <alignment horizontal="center" vertical="center"/>
      <protection/>
    </xf>
    <xf numFmtId="0" fontId="31" fillId="0" borderId="0" xfId="0" applyFont="1" applyFill="1" applyBorder="1" applyAlignment="1" applyProtection="1">
      <alignment horizontal="center" vertical="center" wrapText="1"/>
      <protection/>
    </xf>
    <xf numFmtId="213" fontId="31" fillId="0" borderId="0" xfId="50" applyNumberFormat="1" applyFont="1" applyFill="1" applyBorder="1" applyAlignment="1" applyProtection="1">
      <alignment vertical="center" wrapText="1"/>
      <protection/>
    </xf>
    <xf numFmtId="0" fontId="31" fillId="0" borderId="0" xfId="0" applyFont="1" applyFill="1" applyBorder="1" applyAlignment="1" applyProtection="1">
      <alignment vertical="center"/>
      <protection/>
    </xf>
    <xf numFmtId="0" fontId="130" fillId="0" borderId="0" xfId="0" applyFont="1" applyFill="1" applyAlignment="1" applyProtection="1">
      <alignment vertical="center"/>
      <protection locked="0"/>
    </xf>
    <xf numFmtId="0" fontId="169" fillId="7" borderId="33" xfId="0" applyFont="1" applyFill="1" applyBorder="1" applyAlignment="1" applyProtection="1">
      <alignment horizontal="left" vertical="center"/>
      <protection locked="0"/>
    </xf>
    <xf numFmtId="0" fontId="165" fillId="7" borderId="43" xfId="0" applyFont="1" applyFill="1" applyBorder="1" applyAlignment="1" applyProtection="1">
      <alignment vertical="center"/>
      <protection locked="0"/>
    </xf>
    <xf numFmtId="0" fontId="130" fillId="7" borderId="43" xfId="0" applyFont="1" applyFill="1" applyBorder="1" applyAlignment="1" applyProtection="1">
      <alignment vertical="center"/>
      <protection locked="0"/>
    </xf>
    <xf numFmtId="0" fontId="130" fillId="7" borderId="45" xfId="0" applyFont="1" applyFill="1" applyBorder="1" applyAlignment="1" applyProtection="1">
      <alignment vertical="center"/>
      <protection locked="0"/>
    </xf>
    <xf numFmtId="0" fontId="169" fillId="7" borderId="49" xfId="0" applyFont="1" applyFill="1" applyBorder="1" applyAlignment="1" applyProtection="1">
      <alignment vertical="center"/>
      <protection locked="0"/>
    </xf>
    <xf numFmtId="0" fontId="165" fillId="7" borderId="0" xfId="0" applyFont="1" applyFill="1" applyBorder="1" applyAlignment="1" applyProtection="1">
      <alignment vertical="center"/>
      <protection locked="0"/>
    </xf>
    <xf numFmtId="0" fontId="130" fillId="7" borderId="0" xfId="0" applyFont="1" applyFill="1" applyBorder="1" applyAlignment="1" applyProtection="1">
      <alignment vertical="center"/>
      <protection locked="0"/>
    </xf>
    <xf numFmtId="0" fontId="130" fillId="7" borderId="51" xfId="0" applyFont="1" applyFill="1" applyBorder="1" applyAlignment="1" applyProtection="1">
      <alignment vertical="center"/>
      <protection locked="0"/>
    </xf>
    <xf numFmtId="0" fontId="130" fillId="7" borderId="54" xfId="0" applyFont="1" applyFill="1" applyBorder="1" applyAlignment="1" applyProtection="1">
      <alignment vertical="center"/>
      <protection locked="0"/>
    </xf>
    <xf numFmtId="0" fontId="130" fillId="7" borderId="36" xfId="0" applyFont="1" applyFill="1" applyBorder="1" applyAlignment="1" applyProtection="1">
      <alignment vertical="center"/>
      <protection locked="0"/>
    </xf>
    <xf numFmtId="0" fontId="130" fillId="7" borderId="14" xfId="0" applyFont="1" applyFill="1" applyBorder="1" applyAlignment="1" applyProtection="1">
      <alignment vertical="center"/>
      <protection locked="0"/>
    </xf>
    <xf numFmtId="0" fontId="6" fillId="33" borderId="0" xfId="0" applyFont="1" applyFill="1" applyAlignment="1">
      <alignment vertical="center"/>
    </xf>
    <xf numFmtId="0" fontId="130" fillId="0" borderId="0" xfId="0" applyFont="1" applyFill="1" applyBorder="1" applyAlignment="1" applyProtection="1">
      <alignment vertical="center"/>
      <protection locked="0"/>
    </xf>
    <xf numFmtId="0" fontId="130" fillId="0" borderId="0" xfId="0" applyFont="1" applyFill="1" applyAlignment="1">
      <alignment vertical="center"/>
    </xf>
    <xf numFmtId="0" fontId="165" fillId="0" borderId="0" xfId="0" applyFont="1" applyAlignment="1">
      <alignment vertical="center"/>
    </xf>
    <xf numFmtId="0" fontId="169" fillId="0" borderId="0" xfId="0" applyFont="1" applyAlignment="1">
      <alignment vertical="center"/>
    </xf>
    <xf numFmtId="3" fontId="0" fillId="0" borderId="13" xfId="0" applyNumberFormat="1" applyBorder="1" applyAlignment="1">
      <alignment horizontal="center" vertical="center"/>
    </xf>
    <xf numFmtId="0" fontId="0" fillId="0" borderId="13" xfId="0" applyBorder="1" applyAlignment="1">
      <alignment vertical="center"/>
    </xf>
    <xf numFmtId="3" fontId="0" fillId="0" borderId="13" xfId="0" applyNumberFormat="1" applyBorder="1" applyAlignment="1">
      <alignment vertical="center"/>
    </xf>
    <xf numFmtId="3" fontId="0" fillId="0" borderId="0" xfId="0" applyNumberFormat="1" applyAlignment="1">
      <alignment vertical="center"/>
    </xf>
    <xf numFmtId="0" fontId="170" fillId="0" borderId="0" xfId="0" applyNumberFormat="1" applyFont="1" applyFill="1" applyAlignment="1" applyProtection="1">
      <alignment vertical="center"/>
      <protection/>
    </xf>
    <xf numFmtId="0" fontId="171" fillId="0" borderId="0" xfId="0" applyFont="1" applyFill="1" applyAlignment="1" applyProtection="1">
      <alignment vertical="center"/>
      <protection/>
    </xf>
    <xf numFmtId="176" fontId="4" fillId="0" borderId="13" xfId="0" applyNumberFormat="1" applyFont="1" applyFill="1" applyBorder="1" applyAlignment="1" applyProtection="1">
      <alignment horizontal="left" vertical="center" wrapText="1"/>
      <protection/>
    </xf>
    <xf numFmtId="176" fontId="135" fillId="0" borderId="14" xfId="0" applyNumberFormat="1" applyFont="1" applyFill="1" applyBorder="1" applyAlignment="1" applyProtection="1">
      <alignment horizontal="right" vertical="center" wrapText="1"/>
      <protection/>
    </xf>
    <xf numFmtId="176" fontId="135" fillId="0" borderId="12" xfId="0" applyNumberFormat="1" applyFont="1" applyFill="1" applyBorder="1" applyAlignment="1" applyProtection="1">
      <alignment horizontal="right" vertical="center" wrapText="1"/>
      <protection/>
    </xf>
    <xf numFmtId="176" fontId="135" fillId="0" borderId="54" xfId="0" applyNumberFormat="1" applyFont="1" applyFill="1" applyBorder="1" applyAlignment="1" applyProtection="1">
      <alignment horizontal="right" vertical="center" wrapText="1"/>
      <protection/>
    </xf>
    <xf numFmtId="176" fontId="135" fillId="0" borderId="136" xfId="0" applyNumberFormat="1" applyFont="1" applyFill="1" applyBorder="1" applyAlignment="1" applyProtection="1">
      <alignment horizontal="right" vertical="center" wrapText="1"/>
      <protection/>
    </xf>
    <xf numFmtId="176" fontId="135" fillId="0" borderId="34" xfId="0" applyNumberFormat="1" applyFont="1" applyFill="1" applyBorder="1" applyAlignment="1" applyProtection="1">
      <alignment horizontal="right" vertical="center" wrapText="1"/>
      <protection/>
    </xf>
    <xf numFmtId="176" fontId="135" fillId="0" borderId="58" xfId="0" applyNumberFormat="1" applyFont="1" applyFill="1" applyBorder="1" applyAlignment="1" applyProtection="1">
      <alignment horizontal="right" vertical="center" wrapText="1"/>
      <protection/>
    </xf>
    <xf numFmtId="176" fontId="135" fillId="0" borderId="137" xfId="0" applyNumberFormat="1" applyFont="1" applyFill="1" applyBorder="1" applyAlignment="1" applyProtection="1">
      <alignment horizontal="right" vertical="center" wrapText="1"/>
      <protection/>
    </xf>
    <xf numFmtId="176" fontId="135" fillId="0" borderId="138" xfId="0" applyNumberFormat="1" applyFont="1" applyFill="1" applyBorder="1" applyAlignment="1" applyProtection="1">
      <alignment horizontal="right" vertical="center" wrapText="1"/>
      <protection/>
    </xf>
    <xf numFmtId="176" fontId="135" fillId="0" borderId="35" xfId="0" applyNumberFormat="1" applyFont="1" applyFill="1" applyBorder="1" applyAlignment="1" applyProtection="1">
      <alignment horizontal="right" vertical="center" wrapText="1"/>
      <protection/>
    </xf>
    <xf numFmtId="176" fontId="135" fillId="0" borderId="64" xfId="0" applyNumberFormat="1" applyFont="1" applyFill="1" applyBorder="1" applyAlignment="1" applyProtection="1">
      <alignment horizontal="right" vertical="center" wrapText="1"/>
      <protection/>
    </xf>
    <xf numFmtId="176" fontId="135" fillId="0" borderId="139" xfId="0" applyNumberFormat="1" applyFont="1" applyFill="1" applyBorder="1" applyAlignment="1" applyProtection="1">
      <alignment horizontal="right" vertical="center" wrapText="1"/>
      <protection/>
    </xf>
    <xf numFmtId="176" fontId="135" fillId="0" borderId="140" xfId="0" applyNumberFormat="1" applyFont="1" applyFill="1" applyBorder="1" applyAlignment="1" applyProtection="1">
      <alignment horizontal="right" vertical="center" wrapText="1"/>
      <protection/>
    </xf>
    <xf numFmtId="176" fontId="135" fillId="0" borderId="37" xfId="0" applyNumberFormat="1" applyFont="1" applyFill="1" applyBorder="1" applyAlignment="1" applyProtection="1">
      <alignment horizontal="right" vertical="center" wrapText="1"/>
      <protection/>
    </xf>
    <xf numFmtId="176" fontId="135" fillId="0" borderId="70" xfId="0" applyNumberFormat="1" applyFont="1" applyFill="1" applyBorder="1" applyAlignment="1" applyProtection="1">
      <alignment horizontal="right" vertical="center" wrapText="1"/>
      <protection/>
    </xf>
    <xf numFmtId="176" fontId="135" fillId="0" borderId="141" xfId="0" applyNumberFormat="1" applyFont="1" applyFill="1" applyBorder="1" applyAlignment="1" applyProtection="1">
      <alignment horizontal="right" vertical="center" wrapText="1"/>
      <protection/>
    </xf>
    <xf numFmtId="176" fontId="135" fillId="0" borderId="142" xfId="0" applyNumberFormat="1" applyFont="1" applyFill="1" applyBorder="1" applyAlignment="1" applyProtection="1">
      <alignment horizontal="right" vertical="center" wrapText="1"/>
      <protection/>
    </xf>
    <xf numFmtId="176" fontId="135" fillId="0" borderId="143" xfId="0" applyNumberFormat="1" applyFont="1" applyFill="1" applyBorder="1" applyAlignment="1" applyProtection="1">
      <alignment horizontal="right" vertical="center" wrapText="1"/>
      <protection/>
    </xf>
    <xf numFmtId="176" fontId="135" fillId="0" borderId="42" xfId="0" applyNumberFormat="1" applyFont="1" applyFill="1" applyBorder="1" applyAlignment="1" applyProtection="1">
      <alignment horizontal="right" vertical="center" wrapText="1"/>
      <protection/>
    </xf>
    <xf numFmtId="0" fontId="21" fillId="33" borderId="144" xfId="0" applyFont="1" applyFill="1" applyBorder="1" applyAlignment="1" applyProtection="1">
      <alignment vertical="center"/>
      <protection/>
    </xf>
    <xf numFmtId="0" fontId="21" fillId="33" borderId="138" xfId="0" applyFont="1" applyFill="1" applyBorder="1" applyAlignment="1" applyProtection="1">
      <alignment vertical="center"/>
      <protection/>
    </xf>
    <xf numFmtId="0" fontId="21" fillId="0" borderId="138" xfId="0" applyFont="1" applyFill="1" applyBorder="1" applyAlignment="1" applyProtection="1">
      <alignment horizontal="left" vertical="center"/>
      <protection/>
    </xf>
    <xf numFmtId="0" fontId="21" fillId="0" borderId="145" xfId="0" applyFont="1" applyFill="1" applyBorder="1" applyAlignment="1" applyProtection="1">
      <alignment horizontal="left" vertical="center"/>
      <protection/>
    </xf>
    <xf numFmtId="213" fontId="21" fillId="0" borderId="146" xfId="0" applyNumberFormat="1" applyFont="1" applyFill="1" applyBorder="1" applyAlignment="1" applyProtection="1">
      <alignment horizontal="center" vertical="center"/>
      <protection/>
    </xf>
    <xf numFmtId="213" fontId="31" fillId="0" borderId="12" xfId="50" applyNumberFormat="1" applyFont="1" applyFill="1" applyBorder="1" applyAlignment="1" applyProtection="1">
      <alignment horizontal="center" vertical="center" wrapText="1"/>
      <protection/>
    </xf>
    <xf numFmtId="176" fontId="15" fillId="0" borderId="147" xfId="0" applyNumberFormat="1" applyFont="1" applyBorder="1" applyAlignment="1" applyProtection="1">
      <alignment horizontal="center" vertical="center"/>
      <protection/>
    </xf>
    <xf numFmtId="0" fontId="37" fillId="7" borderId="12" xfId="0" applyFont="1" applyFill="1" applyBorder="1" applyAlignment="1" applyProtection="1">
      <alignment horizontal="left" vertical="center"/>
      <protection locked="0"/>
    </xf>
    <xf numFmtId="0" fontId="16" fillId="0" borderId="36" xfId="0" applyFont="1" applyFill="1" applyBorder="1" applyAlignment="1" applyProtection="1">
      <alignment horizontal="right" vertical="top"/>
      <protection locked="0"/>
    </xf>
    <xf numFmtId="213" fontId="21" fillId="0" borderId="148" xfId="0" applyNumberFormat="1" applyFont="1" applyFill="1" applyBorder="1" applyAlignment="1" applyProtection="1">
      <alignment horizontal="center" vertical="center"/>
      <protection/>
    </xf>
    <xf numFmtId="0" fontId="32" fillId="0" borderId="0" xfId="0" applyFont="1" applyAlignment="1" applyProtection="1">
      <alignment horizontal="left" vertical="center"/>
      <protection locked="0"/>
    </xf>
    <xf numFmtId="0" fontId="129" fillId="0" borderId="0" xfId="0" applyFont="1" applyAlignment="1">
      <alignment vertical="center"/>
    </xf>
    <xf numFmtId="0" fontId="7" fillId="0" borderId="0" xfId="0" applyFont="1" applyAlignment="1">
      <alignment vertical="center"/>
    </xf>
    <xf numFmtId="0" fontId="6" fillId="0" borderId="149" xfId="0" applyFont="1" applyFill="1" applyBorder="1" applyAlignment="1" applyProtection="1">
      <alignment horizontal="center" vertical="center" wrapText="1"/>
      <protection locked="0"/>
    </xf>
    <xf numFmtId="0" fontId="172" fillId="0" borderId="150" xfId="0" applyFont="1" applyFill="1" applyBorder="1" applyAlignment="1">
      <alignment horizontal="center" vertical="center"/>
    </xf>
    <xf numFmtId="0" fontId="172" fillId="0" borderId="151" xfId="0" applyFont="1" applyFill="1" applyBorder="1" applyAlignment="1">
      <alignment horizontal="center" vertical="center"/>
    </xf>
    <xf numFmtId="0" fontId="172" fillId="0" borderId="152" xfId="0" applyFont="1" applyFill="1" applyBorder="1" applyAlignment="1">
      <alignment horizontal="center" vertical="center"/>
    </xf>
    <xf numFmtId="0" fontId="6" fillId="0" borderId="153" xfId="0" applyFont="1" applyFill="1" applyBorder="1" applyAlignment="1" applyProtection="1">
      <alignment vertical="center" wrapText="1"/>
      <protection locked="0"/>
    </xf>
    <xf numFmtId="0" fontId="6" fillId="0" borderId="148" xfId="0" applyFont="1" applyFill="1" applyBorder="1" applyAlignment="1" applyProtection="1">
      <alignment vertical="center" wrapText="1"/>
      <protection locked="0"/>
    </xf>
    <xf numFmtId="0" fontId="6" fillId="0" borderId="154" xfId="0" applyFont="1" applyFill="1" applyBorder="1" applyAlignment="1" applyProtection="1">
      <alignment vertical="center" wrapText="1"/>
      <protection locked="0"/>
    </xf>
    <xf numFmtId="0" fontId="126" fillId="0" borderId="13" xfId="0" applyFont="1" applyFill="1" applyBorder="1" applyAlignment="1" applyProtection="1">
      <alignment horizontal="center" vertical="center"/>
      <protection/>
    </xf>
    <xf numFmtId="213" fontId="31" fillId="0" borderId="155" xfId="50" applyNumberFormat="1" applyFont="1" applyFill="1" applyBorder="1" applyAlignment="1" applyProtection="1">
      <alignment vertical="center" wrapText="1"/>
      <protection/>
    </xf>
    <xf numFmtId="176" fontId="31" fillId="0" borderId="13" xfId="0" applyNumberFormat="1" applyFont="1" applyFill="1" applyBorder="1" applyAlignment="1" applyProtection="1" quotePrefix="1">
      <alignment vertical="center" wrapText="1"/>
      <protection/>
    </xf>
    <xf numFmtId="0" fontId="118" fillId="0" borderId="0" xfId="0" applyNumberFormat="1" applyFont="1" applyFill="1" applyBorder="1" applyAlignment="1" applyProtection="1">
      <alignment horizontal="right" vertical="center" wrapText="1"/>
      <protection/>
    </xf>
    <xf numFmtId="0" fontId="172" fillId="0" borderId="156" xfId="0" applyFont="1" applyFill="1" applyBorder="1" applyAlignment="1" applyProtection="1">
      <alignment horizontal="center" vertical="center"/>
      <protection/>
    </xf>
    <xf numFmtId="0" fontId="172" fillId="0" borderId="157" xfId="0" applyFont="1" applyFill="1" applyBorder="1" applyAlignment="1" applyProtection="1">
      <alignment horizontal="center" vertical="center"/>
      <protection/>
    </xf>
    <xf numFmtId="0" fontId="172" fillId="0" borderId="158" xfId="0" applyFont="1" applyFill="1" applyBorder="1" applyAlignment="1" applyProtection="1">
      <alignment horizontal="center" vertical="center"/>
      <protection/>
    </xf>
    <xf numFmtId="0" fontId="172" fillId="0" borderId="159" xfId="0" applyFont="1" applyFill="1" applyBorder="1" applyAlignment="1" applyProtection="1">
      <alignment horizontal="center" vertical="center"/>
      <protection/>
    </xf>
    <xf numFmtId="0" fontId="172" fillId="0" borderId="160" xfId="0" applyFont="1" applyFill="1" applyBorder="1" applyAlignment="1" applyProtection="1">
      <alignment horizontal="center" vertical="center"/>
      <protection/>
    </xf>
    <xf numFmtId="0" fontId="172" fillId="0" borderId="161" xfId="0" applyFont="1" applyFill="1" applyBorder="1" applyAlignment="1" applyProtection="1">
      <alignment horizontal="center" vertical="center"/>
      <protection/>
    </xf>
    <xf numFmtId="0" fontId="126" fillId="0" borderId="15" xfId="0" applyFont="1" applyFill="1" applyBorder="1" applyAlignment="1" applyProtection="1">
      <alignment horizontal="center" vertical="center"/>
      <protection/>
    </xf>
    <xf numFmtId="213" fontId="126" fillId="0" borderId="13" xfId="0" applyNumberFormat="1" applyFont="1" applyFill="1" applyBorder="1" applyAlignment="1" applyProtection="1">
      <alignment horizontal="center" vertical="center"/>
      <protection/>
    </xf>
    <xf numFmtId="0" fontId="31" fillId="37" borderId="13" xfId="0" applyNumberFormat="1" applyFont="1" applyFill="1" applyBorder="1" applyAlignment="1" applyProtection="1" quotePrefix="1">
      <alignment vertical="center" wrapText="1"/>
      <protection/>
    </xf>
    <xf numFmtId="0" fontId="31" fillId="37" borderId="13" xfId="0" applyNumberFormat="1" applyFont="1" applyFill="1" applyBorder="1" applyAlignment="1" applyProtection="1" quotePrefix="1">
      <alignment horizontal="center" vertical="center" wrapText="1"/>
      <protection/>
    </xf>
    <xf numFmtId="0" fontId="31" fillId="37" borderId="13" xfId="0" applyFont="1" applyFill="1" applyBorder="1" applyAlignment="1" applyProtection="1" quotePrefix="1">
      <alignment vertical="center" wrapText="1"/>
      <protection/>
    </xf>
    <xf numFmtId="0" fontId="31" fillId="39" borderId="13" xfId="0" applyFont="1" applyFill="1" applyBorder="1" applyAlignment="1" applyProtection="1" quotePrefix="1">
      <alignment vertical="center" wrapText="1"/>
      <protection/>
    </xf>
    <xf numFmtId="176" fontId="31" fillId="37" borderId="13" xfId="0" applyNumberFormat="1" applyFont="1" applyFill="1" applyBorder="1" applyAlignment="1" applyProtection="1" quotePrefix="1">
      <alignment vertical="center" wrapText="1"/>
      <protection/>
    </xf>
    <xf numFmtId="213" fontId="172" fillId="0" borderId="151" xfId="0" applyNumberFormat="1" applyFont="1" applyFill="1" applyBorder="1" applyAlignment="1">
      <alignment horizontal="center" vertical="center"/>
    </xf>
    <xf numFmtId="0" fontId="130" fillId="40" borderId="13" xfId="0" applyFont="1" applyFill="1" applyBorder="1" applyAlignment="1" applyProtection="1">
      <alignment vertical="center"/>
      <protection locked="0"/>
    </xf>
    <xf numFmtId="0" fontId="6" fillId="0" borderId="0" xfId="0" applyFont="1" applyAlignment="1">
      <alignment vertical="center"/>
    </xf>
    <xf numFmtId="0" fontId="6" fillId="0" borderId="0" xfId="0" applyFont="1" applyFill="1" applyAlignment="1" applyProtection="1">
      <alignment vertical="center"/>
      <protection locked="0"/>
    </xf>
    <xf numFmtId="0" fontId="39" fillId="33" borderId="0" xfId="0" applyFont="1" applyFill="1" applyAlignment="1" applyProtection="1">
      <alignment vertical="center"/>
      <protection locked="0"/>
    </xf>
    <xf numFmtId="0" fontId="13" fillId="0" borderId="0" xfId="0" applyFont="1" applyAlignment="1" applyProtection="1">
      <alignment horizontal="left" vertical="center"/>
      <protection locked="0"/>
    </xf>
    <xf numFmtId="0" fontId="21" fillId="0" borderId="0" xfId="0" applyFont="1" applyAlignment="1" applyProtection="1">
      <alignment vertical="center"/>
      <protection locked="0"/>
    </xf>
    <xf numFmtId="0" fontId="130" fillId="7" borderId="30" xfId="0" applyFont="1" applyFill="1" applyBorder="1" applyAlignment="1" applyProtection="1">
      <alignment vertical="center"/>
      <protection locked="0"/>
    </xf>
    <xf numFmtId="0" fontId="130" fillId="7" borderId="162" xfId="0" applyFont="1" applyFill="1" applyBorder="1" applyAlignment="1" applyProtection="1">
      <alignment vertical="center"/>
      <protection locked="0"/>
    </xf>
    <xf numFmtId="0" fontId="130" fillId="7" borderId="15" xfId="0" applyFont="1" applyFill="1" applyBorder="1" applyAlignment="1" applyProtection="1">
      <alignment vertical="center"/>
      <protection locked="0"/>
    </xf>
    <xf numFmtId="196" fontId="6" fillId="7" borderId="30" xfId="0" applyNumberFormat="1" applyFont="1" applyFill="1" applyBorder="1" applyAlignment="1" applyProtection="1">
      <alignment vertical="center" shrinkToFit="1"/>
      <protection locked="0"/>
    </xf>
    <xf numFmtId="196" fontId="6" fillId="7" borderId="162" xfId="0" applyNumberFormat="1" applyFont="1" applyFill="1" applyBorder="1" applyAlignment="1" applyProtection="1">
      <alignment vertical="center" shrinkToFit="1"/>
      <protection locked="0"/>
    </xf>
    <xf numFmtId="196" fontId="6" fillId="7" borderId="15" xfId="0" applyNumberFormat="1" applyFont="1" applyFill="1" applyBorder="1" applyAlignment="1" applyProtection="1">
      <alignment vertical="center" shrinkToFit="1"/>
      <protection locked="0"/>
    </xf>
    <xf numFmtId="0" fontId="169" fillId="7" borderId="13" xfId="0" applyFont="1" applyFill="1" applyBorder="1" applyAlignment="1" applyProtection="1">
      <alignment horizontal="center" vertical="center"/>
      <protection locked="0"/>
    </xf>
    <xf numFmtId="0" fontId="6" fillId="7" borderId="13" xfId="0" applyFont="1" applyFill="1" applyBorder="1" applyAlignment="1" applyProtection="1">
      <alignment horizontal="center" vertical="center"/>
      <protection locked="0"/>
    </xf>
    <xf numFmtId="0" fontId="130" fillId="7" borderId="30" xfId="0" applyFont="1" applyFill="1" applyBorder="1" applyAlignment="1" applyProtection="1">
      <alignment vertical="center" shrinkToFit="1"/>
      <protection locked="0"/>
    </xf>
    <xf numFmtId="0" fontId="130" fillId="7" borderId="162" xfId="0" applyFont="1" applyFill="1" applyBorder="1" applyAlignment="1" applyProtection="1">
      <alignment vertical="center" shrinkToFit="1"/>
      <protection locked="0"/>
    </xf>
    <xf numFmtId="0" fontId="130" fillId="7" borderId="15" xfId="0" applyFont="1" applyFill="1" applyBorder="1" applyAlignment="1" applyProtection="1">
      <alignment vertical="center" shrinkToFit="1"/>
      <protection locked="0"/>
    </xf>
    <xf numFmtId="0" fontId="0" fillId="0" borderId="30" xfId="0" applyBorder="1" applyAlignment="1">
      <alignment horizontal="center" vertical="center"/>
    </xf>
    <xf numFmtId="0" fontId="0" fillId="0" borderId="15" xfId="0" applyBorder="1" applyAlignment="1">
      <alignment horizontal="center" vertical="center"/>
    </xf>
    <xf numFmtId="0" fontId="31" fillId="0" borderId="163" xfId="0" applyFont="1" applyFill="1" applyBorder="1" applyAlignment="1" applyProtection="1">
      <alignment horizontal="center" vertical="center"/>
      <protection/>
    </xf>
    <xf numFmtId="0" fontId="31" fillId="0" borderId="162" xfId="0" applyFont="1" applyFill="1" applyBorder="1" applyAlignment="1" applyProtection="1">
      <alignment horizontal="center" vertical="center"/>
      <protection/>
    </xf>
    <xf numFmtId="0" fontId="31" fillId="0" borderId="15" xfId="0" applyFont="1" applyFill="1" applyBorder="1" applyAlignment="1" applyProtection="1">
      <alignment horizontal="center" vertical="center"/>
      <protection/>
    </xf>
    <xf numFmtId="0" fontId="31" fillId="0" borderId="164" xfId="0" applyFont="1" applyFill="1" applyBorder="1" applyAlignment="1" applyProtection="1">
      <alignment horizontal="center" vertical="center" wrapText="1"/>
      <protection/>
    </xf>
    <xf numFmtId="0" fontId="31" fillId="0" borderId="165" xfId="0" applyFont="1" applyFill="1" applyBorder="1" applyAlignment="1" applyProtection="1">
      <alignment horizontal="center" vertical="center" wrapText="1"/>
      <protection/>
    </xf>
    <xf numFmtId="0" fontId="31" fillId="0" borderId="163" xfId="0" applyFont="1" applyFill="1" applyBorder="1" applyAlignment="1" applyProtection="1">
      <alignment horizontal="center" vertical="center" wrapText="1"/>
      <protection/>
    </xf>
    <xf numFmtId="0" fontId="31" fillId="0" borderId="162" xfId="0" applyFont="1" applyFill="1" applyBorder="1" applyAlignment="1" applyProtection="1">
      <alignment horizontal="center" vertical="center" wrapText="1"/>
      <protection/>
    </xf>
    <xf numFmtId="0" fontId="31" fillId="0" borderId="15" xfId="0" applyFont="1" applyFill="1" applyBorder="1" applyAlignment="1" applyProtection="1">
      <alignment horizontal="center" vertical="center" wrapText="1"/>
      <protection/>
    </xf>
    <xf numFmtId="0" fontId="31" fillId="0" borderId="30" xfId="0" applyFont="1" applyFill="1" applyBorder="1" applyAlignment="1" applyProtection="1">
      <alignment horizontal="center" vertical="center" wrapText="1"/>
      <protection/>
    </xf>
    <xf numFmtId="0" fontId="31" fillId="0" borderId="166" xfId="0" applyFont="1" applyFill="1" applyBorder="1" applyAlignment="1" applyProtection="1">
      <alignment horizontal="center" vertical="center" wrapText="1"/>
      <protection/>
    </xf>
    <xf numFmtId="9" fontId="136" fillId="0" borderId="35" xfId="0" applyNumberFormat="1" applyFont="1" applyFill="1" applyBorder="1" applyAlignment="1" applyProtection="1">
      <alignment horizontal="center" vertical="center"/>
      <protection/>
    </xf>
    <xf numFmtId="9" fontId="136" fillId="0" borderId="139" xfId="0" applyNumberFormat="1" applyFont="1" applyFill="1" applyBorder="1" applyAlignment="1" applyProtection="1">
      <alignment horizontal="center" vertical="center"/>
      <protection/>
    </xf>
    <xf numFmtId="0" fontId="118" fillId="0" borderId="167" xfId="0" applyFont="1" applyBorder="1" applyAlignment="1" applyProtection="1">
      <alignment horizontal="center" vertical="center"/>
      <protection locked="0"/>
    </xf>
    <xf numFmtId="0" fontId="118" fillId="0" borderId="168" xfId="0" applyFont="1" applyBorder="1" applyAlignment="1" applyProtection="1">
      <alignment horizontal="center" vertical="center"/>
      <protection locked="0"/>
    </xf>
    <xf numFmtId="0" fontId="118" fillId="0" borderId="169" xfId="0" applyFont="1" applyBorder="1" applyAlignment="1" applyProtection="1">
      <alignment horizontal="center" vertical="center"/>
      <protection locked="0"/>
    </xf>
    <xf numFmtId="0" fontId="118" fillId="0" borderId="170" xfId="0" applyFont="1" applyBorder="1" applyAlignment="1" applyProtection="1">
      <alignment horizontal="center" vertical="center"/>
      <protection locked="0"/>
    </xf>
    <xf numFmtId="176" fontId="18" fillId="0" borderId="171" xfId="0" applyNumberFormat="1" applyFont="1" applyFill="1" applyBorder="1" applyAlignment="1" applyProtection="1">
      <alignment horizontal="center" vertical="center" wrapText="1"/>
      <protection locked="0"/>
    </xf>
    <xf numFmtId="176" fontId="18" fillId="0" borderId="172" xfId="0" applyNumberFormat="1" applyFont="1" applyFill="1" applyBorder="1" applyAlignment="1" applyProtection="1">
      <alignment horizontal="center" vertical="center" wrapText="1"/>
      <protection locked="0"/>
    </xf>
    <xf numFmtId="0" fontId="118" fillId="0" borderId="173" xfId="0" applyFont="1" applyBorder="1" applyAlignment="1" applyProtection="1">
      <alignment horizontal="center" vertical="center"/>
      <protection locked="0"/>
    </xf>
    <xf numFmtId="0" fontId="118" fillId="0" borderId="174" xfId="0" applyFont="1" applyBorder="1" applyAlignment="1" applyProtection="1">
      <alignment horizontal="center" vertical="center"/>
      <protection locked="0"/>
    </xf>
    <xf numFmtId="0" fontId="21" fillId="0" borderId="64" xfId="0" applyNumberFormat="1" applyFont="1" applyFill="1" applyBorder="1" applyAlignment="1" applyProtection="1">
      <alignment horizontal="center" vertical="center"/>
      <protection/>
    </xf>
    <xf numFmtId="0" fontId="21" fillId="0" borderId="68" xfId="0" applyNumberFormat="1" applyFont="1" applyFill="1" applyBorder="1" applyAlignment="1" applyProtection="1">
      <alignment horizontal="center" vertical="center"/>
      <protection/>
    </xf>
    <xf numFmtId="0" fontId="21" fillId="0" borderId="148" xfId="0" applyNumberFormat="1" applyFont="1" applyFill="1" applyBorder="1" applyAlignment="1" applyProtection="1">
      <alignment horizontal="center" vertical="center"/>
      <protection/>
    </xf>
    <xf numFmtId="3" fontId="21" fillId="0" borderId="64" xfId="0" applyNumberFormat="1" applyFont="1" applyFill="1" applyBorder="1" applyAlignment="1" applyProtection="1">
      <alignment vertical="center"/>
      <protection/>
    </xf>
    <xf numFmtId="3" fontId="21" fillId="0" borderId="68" xfId="0" applyNumberFormat="1" applyFont="1" applyFill="1" applyBorder="1" applyAlignment="1" applyProtection="1">
      <alignment vertical="center"/>
      <protection/>
    </xf>
    <xf numFmtId="0" fontId="136" fillId="0" borderId="35" xfId="0" applyNumberFormat="1" applyFont="1" applyFill="1" applyBorder="1" applyAlignment="1" applyProtection="1">
      <alignment horizontal="center" vertical="center"/>
      <protection/>
    </xf>
    <xf numFmtId="0" fontId="136" fillId="0" borderId="139" xfId="0" applyNumberFormat="1" applyFont="1" applyFill="1" applyBorder="1" applyAlignment="1" applyProtection="1">
      <alignment horizontal="center" vertical="center"/>
      <protection/>
    </xf>
    <xf numFmtId="3" fontId="21" fillId="0" borderId="175" xfId="0" applyNumberFormat="1" applyFont="1" applyFill="1" applyBorder="1" applyAlignment="1" applyProtection="1">
      <alignment vertical="center"/>
      <protection/>
    </xf>
    <xf numFmtId="3" fontId="21" fillId="0" borderId="176" xfId="0" applyNumberFormat="1" applyFont="1" applyFill="1" applyBorder="1" applyAlignment="1" applyProtection="1">
      <alignment vertical="center"/>
      <protection/>
    </xf>
    <xf numFmtId="0" fontId="129" fillId="6" borderId="19" xfId="0" applyFont="1" applyFill="1" applyBorder="1" applyAlignment="1" applyProtection="1">
      <alignment horizontal="center" vertical="center"/>
      <protection locked="0"/>
    </xf>
    <xf numFmtId="0" fontId="129" fillId="6" borderId="32" xfId="0" applyFont="1" applyFill="1" applyBorder="1" applyAlignment="1" applyProtection="1">
      <alignment horizontal="center" vertical="center"/>
      <protection locked="0"/>
    </xf>
    <xf numFmtId="0" fontId="129" fillId="6" borderId="12" xfId="0" applyFont="1" applyFill="1" applyBorder="1" applyAlignment="1" applyProtection="1">
      <alignment horizontal="center" vertical="center"/>
      <protection locked="0"/>
    </xf>
    <xf numFmtId="0" fontId="129" fillId="6" borderId="32" xfId="0" applyFont="1" applyFill="1" applyBorder="1" applyAlignment="1" applyProtection="1">
      <alignment horizontal="center" vertical="top" wrapText="1"/>
      <protection locked="0"/>
    </xf>
    <xf numFmtId="0" fontId="129" fillId="6" borderId="12" xfId="0" applyFont="1" applyFill="1" applyBorder="1" applyAlignment="1" applyProtection="1">
      <alignment horizontal="center" vertical="top" wrapText="1"/>
      <protection locked="0"/>
    </xf>
    <xf numFmtId="0" fontId="129" fillId="6" borderId="177" xfId="0" applyFont="1" applyFill="1" applyBorder="1" applyAlignment="1" applyProtection="1">
      <alignment horizontal="center" vertical="top" wrapText="1"/>
      <protection locked="0"/>
    </xf>
    <xf numFmtId="0" fontId="0" fillId="0" borderId="178" xfId="0" applyBorder="1" applyAlignment="1">
      <alignment horizontal="center" vertical="top"/>
    </xf>
    <xf numFmtId="0" fontId="173" fillId="0" borderId="43" xfId="0" applyFont="1" applyBorder="1" applyAlignment="1" applyProtection="1">
      <alignment horizontal="center" vertical="center"/>
      <protection locked="0"/>
    </xf>
    <xf numFmtId="0" fontId="173" fillId="0" borderId="179" xfId="0" applyFont="1" applyBorder="1" applyAlignment="1" applyProtection="1">
      <alignment horizontal="center" vertical="center"/>
      <protection locked="0"/>
    </xf>
    <xf numFmtId="176" fontId="150" fillId="0" borderId="0" xfId="0" applyNumberFormat="1" applyFont="1" applyBorder="1" applyAlignment="1" applyProtection="1">
      <alignment horizontal="center" vertical="center"/>
      <protection locked="0"/>
    </xf>
    <xf numFmtId="176" fontId="150" fillId="0" borderId="179" xfId="0" applyNumberFormat="1" applyFont="1" applyBorder="1" applyAlignment="1" applyProtection="1">
      <alignment horizontal="center" vertical="center"/>
      <protection locked="0"/>
    </xf>
    <xf numFmtId="0" fontId="132" fillId="0" borderId="180" xfId="0" applyFont="1" applyBorder="1" applyAlignment="1" applyProtection="1">
      <alignment horizontal="center" vertical="center"/>
      <protection locked="0"/>
    </xf>
    <xf numFmtId="0" fontId="132" fillId="0" borderId="181" xfId="0" applyFont="1" applyBorder="1" applyAlignment="1" applyProtection="1">
      <alignment horizontal="center" vertical="center"/>
      <protection locked="0"/>
    </xf>
    <xf numFmtId="176" fontId="174" fillId="0" borderId="182" xfId="0" applyNumberFormat="1" applyFont="1" applyFill="1" applyBorder="1" applyAlignment="1" applyProtection="1">
      <alignment horizontal="center" vertical="center"/>
      <protection locked="0"/>
    </xf>
    <xf numFmtId="0" fontId="168" fillId="0" borderId="183" xfId="0" applyFont="1" applyBorder="1" applyAlignment="1" applyProtection="1">
      <alignment horizontal="center" vertical="center"/>
      <protection locked="0"/>
    </xf>
    <xf numFmtId="0" fontId="0" fillId="0" borderId="184" xfId="0" applyBorder="1" applyAlignment="1">
      <alignment horizontal="center" vertical="center"/>
    </xf>
    <xf numFmtId="0" fontId="0" fillId="0" borderId="185" xfId="0" applyBorder="1" applyAlignment="1">
      <alignment horizontal="center" vertical="center"/>
    </xf>
    <xf numFmtId="0" fontId="146" fillId="0" borderId="19" xfId="0" applyFont="1" applyBorder="1" applyAlignment="1" applyProtection="1">
      <alignment horizontal="center" vertical="center" wrapText="1"/>
      <protection locked="0"/>
    </xf>
    <xf numFmtId="0" fontId="146" fillId="0" borderId="12" xfId="0" applyFont="1" applyBorder="1" applyAlignment="1" applyProtection="1">
      <alignment horizontal="center" vertical="center" wrapText="1"/>
      <protection locked="0"/>
    </xf>
    <xf numFmtId="0" fontId="0" fillId="0" borderId="12" xfId="0" applyBorder="1" applyAlignment="1">
      <alignment vertical="center"/>
    </xf>
    <xf numFmtId="0" fontId="146" fillId="0" borderId="33" xfId="0" applyFont="1" applyBorder="1" applyAlignment="1" applyProtection="1">
      <alignment horizontal="center" vertical="center" wrapText="1"/>
      <protection locked="0"/>
    </xf>
    <xf numFmtId="0" fontId="0" fillId="0" borderId="45" xfId="0" applyBorder="1" applyAlignment="1">
      <alignment vertical="center"/>
    </xf>
    <xf numFmtId="0" fontId="0" fillId="0" borderId="54" xfId="0" applyBorder="1" applyAlignment="1">
      <alignment vertical="center"/>
    </xf>
    <xf numFmtId="0" fontId="0" fillId="0" borderId="14" xfId="0" applyBorder="1" applyAlignment="1">
      <alignment vertical="center"/>
    </xf>
    <xf numFmtId="0" fontId="145" fillId="0" borderId="30" xfId="0" applyFont="1" applyBorder="1" applyAlignment="1" applyProtection="1">
      <alignment horizontal="center" vertical="center" wrapText="1"/>
      <protection locked="0"/>
    </xf>
    <xf numFmtId="0" fontId="0" fillId="0" borderId="15" xfId="0" applyFont="1" applyBorder="1" applyAlignment="1">
      <alignment vertical="center"/>
    </xf>
    <xf numFmtId="0" fontId="145" fillId="0" borderId="36" xfId="0" applyFont="1" applyBorder="1" applyAlignment="1" applyProtection="1">
      <alignment horizontal="left" vertical="center"/>
      <protection locked="0"/>
    </xf>
    <xf numFmtId="0" fontId="145" fillId="0" borderId="36" xfId="0" applyFont="1" applyBorder="1" applyAlignment="1" applyProtection="1">
      <alignment horizontal="left" vertical="center" wrapText="1"/>
      <protection locked="0"/>
    </xf>
    <xf numFmtId="0" fontId="145" fillId="34" borderId="30" xfId="0" applyFont="1" applyFill="1" applyBorder="1" applyAlignment="1" applyProtection="1">
      <alignment horizontal="center" vertical="center" wrapText="1"/>
      <protection locked="0"/>
    </xf>
    <xf numFmtId="0" fontId="6" fillId="6" borderId="186" xfId="0" applyFont="1" applyFill="1" applyBorder="1" applyAlignment="1" applyProtection="1">
      <alignment horizontal="center" vertical="top" wrapText="1"/>
      <protection locked="0"/>
    </xf>
    <xf numFmtId="0" fontId="6" fillId="6" borderId="89" xfId="0" applyFont="1" applyFill="1" applyBorder="1" applyAlignment="1" applyProtection="1">
      <alignment horizontal="center" vertical="top" wrapText="1"/>
      <protection locked="0"/>
    </xf>
    <xf numFmtId="0" fontId="118" fillId="0" borderId="187" xfId="0" applyFont="1" applyBorder="1" applyAlignment="1" applyProtection="1">
      <alignment horizontal="center" vertical="center"/>
      <protection locked="0"/>
    </xf>
    <xf numFmtId="0" fontId="118" fillId="0" borderId="188" xfId="0" applyFont="1" applyBorder="1" applyAlignment="1" applyProtection="1">
      <alignment horizontal="center" vertical="center"/>
      <protection locked="0"/>
    </xf>
    <xf numFmtId="0" fontId="173" fillId="0" borderId="0" xfId="0" applyFont="1" applyBorder="1" applyAlignment="1" applyProtection="1">
      <alignment horizontal="center" vertical="center"/>
      <protection locked="0"/>
    </xf>
    <xf numFmtId="213" fontId="17" fillId="0" borderId="189" xfId="50" applyNumberFormat="1" applyFont="1" applyFill="1" applyBorder="1" applyAlignment="1" applyProtection="1">
      <alignment horizontal="center" vertical="center"/>
      <protection/>
    </xf>
    <xf numFmtId="213" fontId="17" fillId="0" borderId="190" xfId="50" applyNumberFormat="1" applyFont="1" applyFill="1" applyBorder="1" applyAlignment="1" applyProtection="1">
      <alignment horizontal="center" vertical="center"/>
      <protection/>
    </xf>
    <xf numFmtId="0" fontId="118" fillId="41" borderId="32" xfId="0" applyFont="1" applyFill="1" applyBorder="1" applyAlignment="1" applyProtection="1">
      <alignment horizontal="center" vertical="top" wrapText="1"/>
      <protection locked="0"/>
    </xf>
    <xf numFmtId="0" fontId="175" fillId="6" borderId="191" xfId="0" applyFont="1" applyFill="1" applyBorder="1" applyAlignment="1" applyProtection="1">
      <alignment horizontal="center" vertical="center" textRotation="255"/>
      <protection locked="0"/>
    </xf>
    <xf numFmtId="0" fontId="175" fillId="6" borderId="192" xfId="0" applyFont="1" applyFill="1" applyBorder="1" applyAlignment="1" applyProtection="1">
      <alignment horizontal="center" vertical="center" textRotation="255"/>
      <protection locked="0"/>
    </xf>
    <xf numFmtId="0" fontId="175" fillId="6" borderId="193" xfId="0" applyFont="1" applyFill="1" applyBorder="1" applyAlignment="1" applyProtection="1">
      <alignment horizontal="center" vertical="center" textRotation="255"/>
      <protection locked="0"/>
    </xf>
    <xf numFmtId="0" fontId="118" fillId="6" borderId="19" xfId="0" applyFont="1" applyFill="1" applyBorder="1" applyAlignment="1" applyProtection="1">
      <alignment horizontal="center" vertical="center" wrapText="1"/>
      <protection locked="0"/>
    </xf>
    <xf numFmtId="0" fontId="118" fillId="6" borderId="32" xfId="0" applyFont="1" applyFill="1" applyBorder="1" applyAlignment="1" applyProtection="1">
      <alignment horizontal="center" vertical="center" wrapText="1"/>
      <protection locked="0"/>
    </xf>
    <xf numFmtId="0" fontId="118" fillId="6" borderId="12" xfId="0" applyFont="1" applyFill="1" applyBorder="1" applyAlignment="1" applyProtection="1">
      <alignment horizontal="center" vertical="center" wrapText="1"/>
      <protection locked="0"/>
    </xf>
    <xf numFmtId="0" fontId="4" fillId="41" borderId="32" xfId="0" applyFont="1" applyFill="1" applyBorder="1" applyAlignment="1" applyProtection="1">
      <alignment horizontal="center" vertical="top" wrapText="1"/>
      <protection locked="0"/>
    </xf>
    <xf numFmtId="0" fontId="121" fillId="41" borderId="12" xfId="0" applyFont="1" applyFill="1" applyBorder="1" applyAlignment="1" applyProtection="1">
      <alignment horizontal="center" vertical="top"/>
      <protection locked="0"/>
    </xf>
    <xf numFmtId="0" fontId="118" fillId="0" borderId="194" xfId="0" applyFont="1" applyBorder="1" applyAlignment="1" applyProtection="1">
      <alignment horizontal="center" vertical="center"/>
      <protection locked="0"/>
    </xf>
    <xf numFmtId="0" fontId="118" fillId="0" borderId="13" xfId="0" applyFont="1" applyBorder="1" applyAlignment="1" applyProtection="1">
      <alignment horizontal="center" vertical="center"/>
      <protection locked="0"/>
    </xf>
    <xf numFmtId="0" fontId="176" fillId="0" borderId="0" xfId="0" applyFont="1" applyFill="1" applyBorder="1" applyAlignment="1" applyProtection="1">
      <alignment horizontal="right" vertical="center"/>
      <protection/>
    </xf>
    <xf numFmtId="176" fontId="21" fillId="0" borderId="0" xfId="0" applyNumberFormat="1" applyFont="1" applyFill="1" applyBorder="1" applyAlignment="1" applyProtection="1">
      <alignment horizontal="right" vertical="center" wrapText="1"/>
      <protection locked="0"/>
    </xf>
    <xf numFmtId="0" fontId="0" fillId="0" borderId="51" xfId="0" applyBorder="1" applyAlignment="1">
      <alignment horizontal="right" vertical="center" wrapText="1"/>
    </xf>
    <xf numFmtId="0" fontId="0" fillId="0" borderId="51" xfId="0" applyBorder="1" applyAlignment="1">
      <alignment horizontal="right" vertical="center"/>
    </xf>
    <xf numFmtId="222" fontId="121" fillId="0" borderId="195" xfId="0" applyNumberFormat="1" applyFont="1" applyFill="1" applyBorder="1" applyAlignment="1" applyProtection="1">
      <alignment horizontal="right" vertical="center"/>
      <protection/>
    </xf>
    <xf numFmtId="0" fontId="129" fillId="0" borderId="0" xfId="0" applyFont="1" applyBorder="1" applyAlignment="1" applyProtection="1">
      <alignment horizontal="right" vertical="center" wrapText="1"/>
      <protection locked="0"/>
    </xf>
    <xf numFmtId="0" fontId="100" fillId="35" borderId="19" xfId="0" applyFont="1" applyFill="1" applyBorder="1" applyAlignment="1" applyProtection="1">
      <alignment horizontal="center" vertical="center" textRotation="255"/>
      <protection locked="0"/>
    </xf>
    <xf numFmtId="0" fontId="100" fillId="35" borderId="32" xfId="0" applyFont="1" applyFill="1" applyBorder="1" applyAlignment="1" applyProtection="1">
      <alignment horizontal="center" vertical="center" textRotation="255"/>
      <protection locked="0"/>
    </xf>
    <xf numFmtId="0" fontId="136" fillId="0" borderId="196" xfId="0" applyFont="1" applyFill="1" applyBorder="1" applyAlignment="1" applyProtection="1">
      <alignment horizontal="center" vertical="center"/>
      <protection/>
    </xf>
    <xf numFmtId="0" fontId="136" fillId="0" borderId="197" xfId="0" applyFont="1" applyFill="1" applyBorder="1" applyAlignment="1" applyProtection="1">
      <alignment horizontal="center" vertical="center"/>
      <protection/>
    </xf>
    <xf numFmtId="0" fontId="118" fillId="6" borderId="51" xfId="0" applyFont="1" applyFill="1" applyBorder="1" applyAlignment="1" applyProtection="1">
      <alignment horizontal="center" vertical="top" wrapText="1"/>
      <protection locked="0"/>
    </xf>
    <xf numFmtId="0" fontId="118" fillId="6" borderId="32" xfId="0" applyFont="1" applyFill="1" applyBorder="1" applyAlignment="1" applyProtection="1">
      <alignment horizontal="center" vertical="top" wrapText="1"/>
      <protection locked="0"/>
    </xf>
    <xf numFmtId="213" fontId="6" fillId="6" borderId="162" xfId="50" applyNumberFormat="1" applyFont="1" applyFill="1" applyBorder="1" applyAlignment="1" applyProtection="1">
      <alignment horizontal="left" vertical="center" wrapText="1"/>
      <protection/>
    </xf>
    <xf numFmtId="213" fontId="6" fillId="6" borderId="15" xfId="50" applyNumberFormat="1" applyFont="1" applyFill="1" applyBorder="1" applyAlignment="1" applyProtection="1">
      <alignment horizontal="left" vertical="center" wrapText="1"/>
      <protection/>
    </xf>
    <xf numFmtId="213" fontId="20" fillId="0" borderId="198" xfId="50" applyNumberFormat="1" applyFont="1" applyFill="1" applyBorder="1" applyAlignment="1" applyProtection="1">
      <alignment horizontal="right" vertical="center" wrapText="1"/>
      <protection/>
    </xf>
    <xf numFmtId="213" fontId="20" fillId="0" borderId="199" xfId="50" applyNumberFormat="1" applyFont="1" applyFill="1" applyBorder="1" applyAlignment="1" applyProtection="1">
      <alignment horizontal="right" vertical="center" wrapText="1"/>
      <protection/>
    </xf>
    <xf numFmtId="213" fontId="6" fillId="0" borderId="200" xfId="50" applyNumberFormat="1" applyFont="1" applyFill="1" applyBorder="1" applyAlignment="1" applyProtection="1">
      <alignment vertical="center" wrapText="1"/>
      <protection/>
    </xf>
    <xf numFmtId="213" fontId="6" fillId="0" borderId="0" xfId="50" applyNumberFormat="1" applyFont="1" applyFill="1" applyBorder="1" applyAlignment="1" applyProtection="1">
      <alignment vertical="center" wrapText="1"/>
      <protection/>
    </xf>
    <xf numFmtId="213" fontId="6" fillId="0" borderId="51" xfId="50" applyNumberFormat="1" applyFont="1" applyFill="1" applyBorder="1" applyAlignment="1" applyProtection="1">
      <alignment vertical="center" wrapText="1"/>
      <protection/>
    </xf>
    <xf numFmtId="0" fontId="154" fillId="0" borderId="201" xfId="0" applyFont="1" applyBorder="1" applyAlignment="1">
      <alignment vertical="center" wrapText="1"/>
    </xf>
    <xf numFmtId="0" fontId="154" fillId="0" borderId="109" xfId="0" applyFont="1" applyBorder="1" applyAlignment="1">
      <alignment vertical="center" wrapText="1"/>
    </xf>
    <xf numFmtId="0" fontId="154" fillId="0" borderId="80" xfId="0" applyFont="1" applyBorder="1" applyAlignment="1">
      <alignment vertical="center" wrapText="1"/>
    </xf>
    <xf numFmtId="0" fontId="154" fillId="0" borderId="202" xfId="0" applyFont="1" applyBorder="1" applyAlignment="1">
      <alignment vertical="center" wrapText="1"/>
    </xf>
    <xf numFmtId="0" fontId="176" fillId="0" borderId="203" xfId="0" applyFont="1" applyBorder="1" applyAlignment="1" applyProtection="1">
      <alignment horizontal="right" vertical="center"/>
      <protection/>
    </xf>
    <xf numFmtId="0" fontId="138" fillId="0" borderId="204" xfId="0" applyFont="1" applyFill="1" applyBorder="1" applyAlignment="1">
      <alignment horizontal="center" vertical="center"/>
    </xf>
    <xf numFmtId="0" fontId="154" fillId="0" borderId="80" xfId="0" applyFont="1" applyBorder="1" applyAlignment="1">
      <alignment vertical="center" wrapText="1" shrinkToFit="1"/>
    </xf>
    <xf numFmtId="0" fontId="154" fillId="0" borderId="202" xfId="0" applyFont="1" applyBorder="1" applyAlignment="1">
      <alignment vertical="center" wrapText="1" shrinkToFit="1"/>
    </xf>
    <xf numFmtId="0" fontId="15" fillId="0" borderId="33" xfId="0" applyFont="1" applyBorder="1" applyAlignment="1" applyProtection="1">
      <alignment vertical="center" wrapText="1"/>
      <protection/>
    </xf>
    <xf numFmtId="0" fontId="15" fillId="0" borderId="43" xfId="0" applyFont="1" applyBorder="1" applyAlignment="1" applyProtection="1">
      <alignment vertical="center" wrapText="1"/>
      <protection/>
    </xf>
    <xf numFmtId="0" fontId="15" fillId="0" borderId="45" xfId="0" applyFont="1" applyBorder="1" applyAlignment="1" applyProtection="1">
      <alignment vertical="center" wrapText="1"/>
      <protection/>
    </xf>
    <xf numFmtId="0" fontId="15" fillId="0" borderId="49" xfId="0" applyFont="1" applyBorder="1" applyAlignment="1" applyProtection="1">
      <alignment vertical="center" wrapText="1"/>
      <protection/>
    </xf>
    <xf numFmtId="0" fontId="15" fillId="0" borderId="0" xfId="0" applyFont="1" applyBorder="1" applyAlignment="1" applyProtection="1">
      <alignment vertical="center" wrapText="1"/>
      <protection/>
    </xf>
    <xf numFmtId="0" fontId="15" fillId="0" borderId="51" xfId="0" applyFont="1" applyBorder="1" applyAlignment="1" applyProtection="1">
      <alignment vertical="center" wrapText="1"/>
      <protection/>
    </xf>
    <xf numFmtId="0" fontId="11" fillId="0" borderId="205" xfId="0" applyFont="1" applyBorder="1" applyAlignment="1" applyProtection="1">
      <alignment horizontal="center" vertical="top" wrapText="1"/>
      <protection locked="0"/>
    </xf>
    <xf numFmtId="0" fontId="11" fillId="0" borderId="45" xfId="0" applyFont="1" applyBorder="1" applyAlignment="1" applyProtection="1">
      <alignment horizontal="center" vertical="top" wrapText="1"/>
      <protection locked="0"/>
    </xf>
    <xf numFmtId="0" fontId="167" fillId="0" borderId="0" xfId="0" applyFont="1" applyAlignment="1" applyProtection="1">
      <alignment vertical="center"/>
      <protection locked="0"/>
    </xf>
    <xf numFmtId="0" fontId="138" fillId="0" borderId="0" xfId="0" applyFont="1" applyFill="1" applyBorder="1" applyAlignment="1">
      <alignment horizontal="center" vertical="center"/>
    </xf>
    <xf numFmtId="0" fontId="154" fillId="0" borderId="0" xfId="0" applyFont="1" applyFill="1" applyBorder="1" applyAlignment="1">
      <alignment vertical="center" wrapText="1"/>
    </xf>
    <xf numFmtId="0" fontId="11" fillId="0" borderId="206" xfId="0" applyFont="1" applyBorder="1" applyAlignment="1" applyProtection="1">
      <alignment horizontal="center" vertical="center" wrapText="1"/>
      <protection locked="0"/>
    </xf>
    <xf numFmtId="0" fontId="11" fillId="0" borderId="207" xfId="0" applyFont="1" applyBorder="1" applyAlignment="1" applyProtection="1">
      <alignment horizontal="center" vertical="center" wrapText="1"/>
      <protection locked="0"/>
    </xf>
    <xf numFmtId="0" fontId="11" fillId="0" borderId="208" xfId="0" applyFont="1" applyBorder="1" applyAlignment="1" applyProtection="1">
      <alignment horizontal="center" vertical="center" wrapText="1"/>
      <protection locked="0"/>
    </xf>
    <xf numFmtId="0" fontId="138" fillId="0" borderId="209" xfId="0" applyFont="1" applyFill="1" applyBorder="1" applyAlignment="1">
      <alignment horizontal="center" vertical="center"/>
    </xf>
    <xf numFmtId="0" fontId="177" fillId="0" borderId="80" xfId="0" applyFont="1" applyBorder="1" applyAlignment="1">
      <alignment vertical="center" wrapText="1" shrinkToFit="1"/>
    </xf>
    <xf numFmtId="0" fontId="177" fillId="0" borderId="202" xfId="0" applyFont="1" applyBorder="1" applyAlignment="1">
      <alignment vertical="center" wrapText="1" shrinkToFit="1"/>
    </xf>
    <xf numFmtId="0" fontId="177" fillId="0" borderId="210" xfId="0" applyFont="1" applyBorder="1" applyAlignment="1">
      <alignment vertical="center" wrapText="1" shrinkToFit="1"/>
    </xf>
    <xf numFmtId="0" fontId="177" fillId="0" borderId="211" xfId="0" applyFont="1" applyBorder="1" applyAlignment="1">
      <alignment vertical="center" wrapText="1" shrinkToFit="1"/>
    </xf>
    <xf numFmtId="0" fontId="160" fillId="0" borderId="212" xfId="0" applyFont="1" applyBorder="1" applyAlignment="1" applyProtection="1">
      <alignment vertical="center" wrapText="1"/>
      <protection locked="0"/>
    </xf>
    <xf numFmtId="0" fontId="160" fillId="0" borderId="213" xfId="0" applyFont="1" applyBorder="1" applyAlignment="1" applyProtection="1">
      <alignment vertical="center" wrapText="1"/>
      <protection locked="0"/>
    </xf>
    <xf numFmtId="0" fontId="160" fillId="0" borderId="214" xfId="0" applyFont="1" applyBorder="1" applyAlignment="1" applyProtection="1">
      <alignment vertical="center" wrapText="1"/>
      <protection locked="0"/>
    </xf>
    <xf numFmtId="0" fontId="160" fillId="0" borderId="215" xfId="0" applyFont="1" applyBorder="1" applyAlignment="1" applyProtection="1">
      <alignment vertical="center" wrapText="1"/>
      <protection locked="0"/>
    </xf>
    <xf numFmtId="0" fontId="160" fillId="0" borderId="0" xfId="0" applyFont="1" applyBorder="1" applyAlignment="1" applyProtection="1">
      <alignment vertical="center" wrapText="1"/>
      <protection locked="0"/>
    </xf>
    <xf numFmtId="0" fontId="160" fillId="0" borderId="182" xfId="0" applyFont="1" applyBorder="1" applyAlignment="1" applyProtection="1">
      <alignment vertical="center" wrapText="1"/>
      <protection locked="0"/>
    </xf>
    <xf numFmtId="0" fontId="160" fillId="0" borderId="216" xfId="0" applyFont="1" applyBorder="1" applyAlignment="1" applyProtection="1">
      <alignment vertical="center" wrapText="1"/>
      <protection locked="0"/>
    </xf>
    <xf numFmtId="0" fontId="160" fillId="0" borderId="217" xfId="0" applyFont="1" applyBorder="1" applyAlignment="1" applyProtection="1">
      <alignment vertical="center" wrapText="1"/>
      <protection locked="0"/>
    </xf>
    <xf numFmtId="0" fontId="160" fillId="0" borderId="218" xfId="0" applyFont="1" applyBorder="1" applyAlignment="1" applyProtection="1">
      <alignment vertical="center" wrapText="1"/>
      <protection locked="0"/>
    </xf>
    <xf numFmtId="0" fontId="17" fillId="0" borderId="189" xfId="0" applyFont="1" applyFill="1" applyBorder="1" applyAlignment="1" applyProtection="1">
      <alignment horizontal="center" vertical="center"/>
      <protection/>
    </xf>
    <xf numFmtId="0" fontId="17" fillId="0" borderId="190" xfId="0" applyFont="1" applyFill="1" applyBorder="1" applyAlignment="1" applyProtection="1">
      <alignment horizontal="center" vertical="center"/>
      <protection/>
    </xf>
    <xf numFmtId="213" fontId="6" fillId="0" borderId="219" xfId="50" applyNumberFormat="1" applyFont="1" applyFill="1" applyBorder="1" applyAlignment="1" applyProtection="1">
      <alignment horizontal="left" vertical="top" wrapText="1"/>
      <protection/>
    </xf>
    <xf numFmtId="213" fontId="6" fillId="0" borderId="220" xfId="50" applyNumberFormat="1" applyFont="1" applyFill="1" applyBorder="1" applyAlignment="1" applyProtection="1">
      <alignment horizontal="left" vertical="top" wrapText="1"/>
      <protection/>
    </xf>
    <xf numFmtId="0" fontId="6" fillId="6" borderId="162" xfId="0" applyFont="1" applyFill="1" applyBorder="1" applyAlignment="1" applyProtection="1">
      <alignment vertical="center" wrapText="1"/>
      <protection locked="0"/>
    </xf>
    <xf numFmtId="0" fontId="6" fillId="6" borderId="162" xfId="0" applyFont="1" applyFill="1" applyBorder="1" applyAlignment="1" applyProtection="1">
      <alignment vertical="center"/>
      <protection locked="0"/>
    </xf>
    <xf numFmtId="0" fontId="6" fillId="6" borderId="15" xfId="0" applyFont="1" applyFill="1" applyBorder="1" applyAlignment="1" applyProtection="1">
      <alignment vertical="center"/>
      <protection locked="0"/>
    </xf>
    <xf numFmtId="0" fontId="137" fillId="0" borderId="43" xfId="0" applyFont="1" applyBorder="1" applyAlignment="1">
      <alignment vertical="top" wrapText="1"/>
    </xf>
    <xf numFmtId="0" fontId="137" fillId="0" borderId="36" xfId="0" applyFont="1" applyBorder="1" applyAlignment="1">
      <alignment vertical="top" wrapText="1"/>
    </xf>
    <xf numFmtId="0" fontId="136" fillId="0" borderId="49" xfId="0" applyFont="1" applyFill="1" applyBorder="1" applyAlignment="1" applyProtection="1">
      <alignment horizontal="center" vertical="center"/>
      <protection locked="0"/>
    </xf>
    <xf numFmtId="38" fontId="25" fillId="0" borderId="0" xfId="50" applyNumberFormat="1" applyFont="1" applyBorder="1" applyAlignment="1" applyProtection="1">
      <alignment horizontal="left" vertical="center"/>
      <protection locked="0"/>
    </xf>
    <xf numFmtId="0" fontId="6" fillId="6" borderId="19" xfId="0" applyFont="1" applyFill="1" applyBorder="1" applyAlignment="1" applyProtection="1">
      <alignment horizontal="center" vertical="center" wrapText="1"/>
      <protection locked="0"/>
    </xf>
    <xf numFmtId="0" fontId="6" fillId="6" borderId="32" xfId="0" applyFont="1" applyFill="1" applyBorder="1" applyAlignment="1" applyProtection="1">
      <alignment horizontal="center" vertical="center" wrapText="1"/>
      <protection locked="0"/>
    </xf>
    <xf numFmtId="0" fontId="6" fillId="6" borderId="12" xfId="0" applyFont="1" applyFill="1" applyBorder="1" applyAlignment="1" applyProtection="1">
      <alignment horizontal="center" vertical="center" wrapText="1"/>
      <protection locked="0"/>
    </xf>
    <xf numFmtId="0" fontId="129" fillId="6" borderId="33" xfId="0" applyFont="1" applyFill="1" applyBorder="1" applyAlignment="1" applyProtection="1">
      <alignment horizontal="center" vertical="center"/>
      <protection locked="0"/>
    </xf>
    <xf numFmtId="0" fontId="129" fillId="6" borderId="49" xfId="0" applyFont="1" applyFill="1" applyBorder="1" applyAlignment="1" applyProtection="1">
      <alignment horizontal="center" vertical="center"/>
      <protection locked="0"/>
    </xf>
    <xf numFmtId="0" fontId="138" fillId="0" borderId="221" xfId="0" applyFont="1" applyFill="1" applyBorder="1" applyAlignment="1">
      <alignment horizontal="center" vertical="center"/>
    </xf>
    <xf numFmtId="0" fontId="178" fillId="0" borderId="222" xfId="0" applyFont="1" applyBorder="1" applyAlignment="1">
      <alignment horizontal="center" vertical="top" textRotation="255" wrapText="1"/>
    </xf>
    <xf numFmtId="0" fontId="178" fillId="0" borderId="200" xfId="0" applyFont="1" applyBorder="1" applyAlignment="1">
      <alignment horizontal="center" vertical="top" textRotation="255" wrapText="1"/>
    </xf>
    <xf numFmtId="0" fontId="132" fillId="0" borderId="219" xfId="0" applyFont="1" applyFill="1" applyBorder="1" applyAlignment="1" applyProtection="1">
      <alignment horizontal="center" vertical="top" textRotation="255"/>
      <protection locked="0"/>
    </xf>
    <xf numFmtId="0" fontId="132" fillId="0" borderId="223" xfId="0" applyFont="1" applyFill="1" applyBorder="1" applyAlignment="1" applyProtection="1">
      <alignment horizontal="center" vertical="top" textRotation="255"/>
      <protection locked="0"/>
    </xf>
    <xf numFmtId="0" fontId="132" fillId="0" borderId="189" xfId="0" applyFont="1" applyBorder="1" applyAlignment="1" applyProtection="1">
      <alignment horizontal="center" vertical="top" textRotation="255" wrapText="1" shrinkToFit="1"/>
      <protection locked="0"/>
    </xf>
    <xf numFmtId="0" fontId="132" fillId="0" borderId="224" xfId="0" applyFont="1" applyBorder="1" applyAlignment="1" applyProtection="1">
      <alignment horizontal="center" vertical="top" textRotation="255" wrapText="1" shrinkToFit="1"/>
      <protection locked="0"/>
    </xf>
    <xf numFmtId="0" fontId="6" fillId="0" borderId="19" xfId="0" applyFont="1" applyFill="1" applyBorder="1" applyAlignment="1" applyProtection="1">
      <alignment horizontal="center" vertical="center" wrapText="1"/>
      <protection locked="0"/>
    </xf>
    <xf numFmtId="0" fontId="6" fillId="0" borderId="143" xfId="0" applyFont="1" applyFill="1" applyBorder="1" applyAlignment="1" applyProtection="1">
      <alignment horizontal="center" vertical="center" wrapText="1"/>
      <protection locked="0"/>
    </xf>
    <xf numFmtId="0" fontId="11" fillId="0" borderId="43" xfId="0" applyFont="1" applyBorder="1" applyAlignment="1" applyProtection="1">
      <alignment horizontal="center" vertical="top" wrapText="1"/>
      <protection locked="0"/>
    </xf>
    <xf numFmtId="0" fontId="118" fillId="0" borderId="15" xfId="0" applyFont="1" applyBorder="1" applyAlignment="1" applyProtection="1">
      <alignment horizontal="center" vertical="center"/>
      <protection locked="0"/>
    </xf>
    <xf numFmtId="0" fontId="6" fillId="0" borderId="225" xfId="0" applyFont="1" applyBorder="1" applyAlignment="1" applyProtection="1">
      <alignment horizontal="center" vertical="center" wrapText="1"/>
      <protection locked="0"/>
    </xf>
    <xf numFmtId="0" fontId="6" fillId="0" borderId="226" xfId="0" applyFont="1" applyBorder="1" applyAlignment="1" applyProtection="1">
      <alignment horizontal="center" vertical="center" wrapText="1"/>
      <protection locked="0"/>
    </xf>
    <xf numFmtId="0" fontId="6" fillId="0" borderId="227" xfId="0" applyFont="1" applyBorder="1" applyAlignment="1" applyProtection="1">
      <alignment horizontal="center" vertical="center" wrapText="1"/>
      <protection locked="0"/>
    </xf>
    <xf numFmtId="0" fontId="11" fillId="0" borderId="162" xfId="0" applyFont="1" applyBorder="1" applyAlignment="1" applyProtection="1">
      <alignment horizontal="center" vertical="center" wrapText="1"/>
      <protection locked="0"/>
    </xf>
    <xf numFmtId="0" fontId="120" fillId="33" borderId="228" xfId="0" applyFont="1" applyFill="1" applyBorder="1" applyAlignment="1" applyProtection="1">
      <alignment horizontal="center" vertical="center" wrapText="1"/>
      <protection locked="0"/>
    </xf>
    <xf numFmtId="0" fontId="120" fillId="33" borderId="229" xfId="0" applyFont="1" applyFill="1" applyBorder="1" applyAlignment="1" applyProtection="1">
      <alignment horizontal="center" vertical="center" wrapText="1"/>
      <protection locked="0"/>
    </xf>
    <xf numFmtId="38" fontId="124" fillId="33" borderId="230" xfId="50" applyFont="1" applyFill="1" applyBorder="1" applyAlignment="1" applyProtection="1">
      <alignment vertical="center"/>
      <protection locked="0"/>
    </xf>
    <xf numFmtId="38" fontId="124" fillId="33" borderId="125" xfId="50" applyFont="1" applyFill="1" applyBorder="1" applyAlignment="1" applyProtection="1">
      <alignment vertical="center"/>
      <protection locked="0"/>
    </xf>
    <xf numFmtId="38" fontId="124" fillId="0" borderId="230" xfId="50" applyFont="1" applyBorder="1" applyAlignment="1" applyProtection="1">
      <alignment vertical="center"/>
      <protection locked="0"/>
    </xf>
    <xf numFmtId="38" fontId="124" fillId="0" borderId="125" xfId="50" applyFont="1" applyBorder="1" applyAlignment="1" applyProtection="1">
      <alignment vertical="center"/>
      <protection locked="0"/>
    </xf>
    <xf numFmtId="14" fontId="124" fillId="7" borderId="12" xfId="0" applyNumberFormat="1" applyFont="1" applyFill="1" applyBorder="1" applyAlignment="1" applyProtection="1">
      <alignment horizontal="center" vertical="center" wrapText="1"/>
      <protection locked="0"/>
    </xf>
    <xf numFmtId="0" fontId="124" fillId="7" borderId="12" xfId="0" applyFont="1" applyFill="1" applyBorder="1" applyAlignment="1" applyProtection="1">
      <alignment horizontal="center" vertical="center" wrapText="1"/>
      <protection locked="0"/>
    </xf>
    <xf numFmtId="0" fontId="120" fillId="0" borderId="231" xfId="0" applyFont="1" applyBorder="1" applyAlignment="1" applyProtection="1">
      <alignment horizontal="center" vertical="top" wrapText="1"/>
      <protection locked="0"/>
    </xf>
    <xf numFmtId="0" fontId="120" fillId="0" borderId="232" xfId="0" applyFont="1" applyBorder="1" applyAlignment="1" applyProtection="1">
      <alignment horizontal="center" vertical="top" wrapText="1"/>
      <protection locked="0"/>
    </xf>
    <xf numFmtId="0" fontId="120" fillId="0" borderId="10" xfId="0" applyFont="1" applyBorder="1" applyAlignment="1" applyProtection="1">
      <alignment horizontal="center" vertical="center" wrapText="1"/>
      <protection locked="0"/>
    </xf>
    <xf numFmtId="0" fontId="120" fillId="0" borderId="21" xfId="0" applyFont="1" applyBorder="1" applyAlignment="1" applyProtection="1">
      <alignment horizontal="center" vertical="center" wrapText="1"/>
      <protection locked="0"/>
    </xf>
    <xf numFmtId="0" fontId="120" fillId="0" borderId="233" xfId="0" applyFont="1" applyBorder="1" applyAlignment="1" applyProtection="1">
      <alignment horizontal="center" vertical="center" wrapText="1"/>
      <protection locked="0"/>
    </xf>
    <xf numFmtId="0" fontId="120" fillId="0" borderId="29" xfId="0" applyFont="1" applyBorder="1" applyAlignment="1" applyProtection="1">
      <alignment horizontal="center" vertical="center" wrapText="1"/>
      <protection locked="0"/>
    </xf>
    <xf numFmtId="14" fontId="124" fillId="7" borderId="25" xfId="0" applyNumberFormat="1" applyFont="1" applyFill="1" applyBorder="1" applyAlignment="1" applyProtection="1">
      <alignment horizontal="center" vertical="center" wrapText="1"/>
      <protection locked="0"/>
    </xf>
    <xf numFmtId="0" fontId="124" fillId="7" borderId="25" xfId="0" applyFont="1" applyFill="1" applyBorder="1" applyAlignment="1" applyProtection="1">
      <alignment horizontal="center" vertical="center" wrapText="1"/>
      <protection locked="0"/>
    </xf>
    <xf numFmtId="14" fontId="124" fillId="7" borderId="13" xfId="0" applyNumberFormat="1" applyFont="1" applyFill="1" applyBorder="1" applyAlignment="1" applyProtection="1">
      <alignment horizontal="center" vertical="center" wrapText="1"/>
      <protection locked="0"/>
    </xf>
    <xf numFmtId="0" fontId="124" fillId="7" borderId="13" xfId="0" applyFont="1" applyFill="1" applyBorder="1" applyAlignment="1" applyProtection="1">
      <alignment horizontal="center" vertical="center" wrapText="1"/>
      <protection locked="0"/>
    </xf>
    <xf numFmtId="0" fontId="120" fillId="0" borderId="0" xfId="0" applyFont="1" applyAlignment="1" applyProtection="1">
      <alignment horizontal="left" vertical="center"/>
      <protection locked="0"/>
    </xf>
    <xf numFmtId="0" fontId="120" fillId="0" borderId="234" xfId="0" applyFont="1" applyBorder="1" applyAlignment="1" applyProtection="1">
      <alignment horizontal="center" vertical="center" wrapText="1"/>
      <protection locked="0"/>
    </xf>
    <xf numFmtId="0" fontId="120" fillId="0" borderId="235" xfId="0" applyFont="1" applyBorder="1" applyAlignment="1" applyProtection="1">
      <alignment horizontal="center" vertical="center" wrapText="1"/>
      <protection locked="0"/>
    </xf>
    <xf numFmtId="38" fontId="124" fillId="0" borderId="230" xfId="50" applyFont="1" applyBorder="1" applyAlignment="1" applyProtection="1">
      <alignment horizontal="right" vertical="center"/>
      <protection locked="0"/>
    </xf>
    <xf numFmtId="38" fontId="124" fillId="0" borderId="125" xfId="50" applyFont="1" applyBorder="1" applyAlignment="1" applyProtection="1">
      <alignment horizontal="right" vertical="center"/>
      <protection locked="0"/>
    </xf>
    <xf numFmtId="0" fontId="125" fillId="33" borderId="230" xfId="0" applyFont="1" applyFill="1" applyBorder="1" applyAlignment="1" applyProtection="1">
      <alignment horizontal="center" vertical="center" wrapText="1"/>
      <protection locked="0"/>
    </xf>
    <xf numFmtId="0" fontId="125" fillId="33" borderId="236" xfId="0" applyFont="1" applyFill="1" applyBorder="1" applyAlignment="1" applyProtection="1">
      <alignment horizontal="center" vertical="center" wrapText="1"/>
      <protection locked="0"/>
    </xf>
    <xf numFmtId="14" fontId="124" fillId="7" borderId="21" xfId="0" applyNumberFormat="1" applyFont="1" applyFill="1" applyBorder="1" applyAlignment="1" applyProtection="1">
      <alignment horizontal="center" vertical="center" wrapText="1"/>
      <protection locked="0"/>
    </xf>
    <xf numFmtId="0" fontId="124" fillId="7" borderId="21" xfId="0" applyFont="1" applyFill="1" applyBorder="1" applyAlignment="1" applyProtection="1">
      <alignment horizontal="center" vertical="center" wrapText="1"/>
      <protection locked="0"/>
    </xf>
    <xf numFmtId="0" fontId="120" fillId="0" borderId="90" xfId="0" applyFont="1" applyBorder="1" applyAlignment="1" applyProtection="1">
      <alignment horizontal="center" vertical="top" wrapText="1"/>
      <protection locked="0"/>
    </xf>
    <xf numFmtId="0" fontId="125" fillId="33" borderId="237" xfId="0" applyFont="1" applyFill="1" applyBorder="1" applyAlignment="1" applyProtection="1">
      <alignment horizontal="center" vertical="center" wrapText="1"/>
      <protection locked="0"/>
    </xf>
    <xf numFmtId="0" fontId="125" fillId="33" borderId="18" xfId="0" applyFont="1" applyFill="1" applyBorder="1" applyAlignment="1" applyProtection="1">
      <alignment horizontal="center" vertical="center" wrapText="1"/>
      <protection locked="0"/>
    </xf>
    <xf numFmtId="0" fontId="124" fillId="7" borderId="54" xfId="0" applyFont="1" applyFill="1" applyBorder="1" applyAlignment="1" applyProtection="1">
      <alignment horizontal="center" vertical="center" wrapText="1"/>
      <protection locked="0"/>
    </xf>
    <xf numFmtId="14" fontId="124" fillId="7" borderId="22" xfId="0" applyNumberFormat="1" applyFont="1" applyFill="1" applyBorder="1" applyAlignment="1" applyProtection="1">
      <alignment horizontal="center" vertical="center" wrapText="1"/>
      <protection locked="0"/>
    </xf>
    <xf numFmtId="0" fontId="124" fillId="7" borderId="22" xfId="0" applyFont="1" applyFill="1" applyBorder="1" applyAlignment="1" applyProtection="1">
      <alignment horizontal="center" vertical="center" wrapText="1"/>
      <protection locked="0"/>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2 2" xfId="65"/>
    <cellStyle name="標準 3" xfId="66"/>
    <cellStyle name="Followed Hyperlink" xfId="67"/>
    <cellStyle name="良い" xfId="68"/>
  </cellStyles>
  <dxfs count="39">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fill>
        <patternFill patternType="none">
          <bgColor indexed="65"/>
        </patternFill>
      </fill>
    </dxf>
    <dxf>
      <font>
        <color theme="0"/>
      </font>
    </dxf>
    <dxf>
      <font>
        <color theme="0"/>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border/>
    </dxf>
    <dxf>
      <font>
        <color theme="0"/>
      </font>
      <border/>
    </dxf>
    <dxf>
      <font>
        <color theme="0"/>
      </font>
      <fill>
        <patternFill patternType="none">
          <bgColor indexed="65"/>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6.png" /></Relationships>
</file>

<file path=xl/drawings/_rels/drawing2.xml.rels><?xml version="1.0" encoding="utf-8" standalone="yes"?><Relationships xmlns="http://schemas.openxmlformats.org/package/2006/relationships"><Relationship Id="rId1" Type="http://schemas.openxmlformats.org/officeDocument/2006/relationships/image" Target="../media/image7.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342900</xdr:colOff>
      <xdr:row>61</xdr:row>
      <xdr:rowOff>219075</xdr:rowOff>
    </xdr:from>
    <xdr:to>
      <xdr:col>10</xdr:col>
      <xdr:colOff>1457325</xdr:colOff>
      <xdr:row>81</xdr:row>
      <xdr:rowOff>95250</xdr:rowOff>
    </xdr:to>
    <xdr:pic>
      <xdr:nvPicPr>
        <xdr:cNvPr id="1" name="図 1"/>
        <xdr:cNvPicPr preferRelativeResize="1">
          <a:picLocks noChangeAspect="1"/>
        </xdr:cNvPicPr>
      </xdr:nvPicPr>
      <xdr:blipFill>
        <a:blip r:embed="rId1"/>
        <a:stretch>
          <a:fillRect/>
        </a:stretch>
      </xdr:blipFill>
      <xdr:spPr>
        <a:xfrm>
          <a:off x="5276850" y="11572875"/>
          <a:ext cx="3886200" cy="3609975"/>
        </a:xfrm>
        <a:prstGeom prst="rect">
          <a:avLst/>
        </a:prstGeom>
        <a:noFill/>
        <a:ln w="19050" cmpd="sng">
          <a:solidFill>
            <a:srgbClr val="000000"/>
          </a:solidFill>
          <a:headEnd type="none"/>
          <a:tailEnd type="none"/>
        </a:ln>
      </xdr:spPr>
    </xdr:pic>
    <xdr:clientData/>
  </xdr:twoCellAnchor>
  <xdr:oneCellAnchor>
    <xdr:from>
      <xdr:col>3</xdr:col>
      <xdr:colOff>866775</xdr:colOff>
      <xdr:row>21</xdr:row>
      <xdr:rowOff>123825</xdr:rowOff>
    </xdr:from>
    <xdr:ext cx="561975" cy="238125"/>
    <xdr:sp>
      <xdr:nvSpPr>
        <xdr:cNvPr id="2" name="テキスト ボックス 21"/>
        <xdr:cNvSpPr txBox="1">
          <a:spLocks noChangeArrowheads="1"/>
        </xdr:cNvSpPr>
      </xdr:nvSpPr>
      <xdr:spPr>
        <a:xfrm>
          <a:off x="2219325" y="4095750"/>
          <a:ext cx="561975"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rPr>
            <a:t>小規模型</a:t>
          </a:r>
        </a:p>
      </xdr:txBody>
    </xdr:sp>
    <xdr:clientData/>
  </xdr:oneCellAnchor>
  <xdr:oneCellAnchor>
    <xdr:from>
      <xdr:col>5</xdr:col>
      <xdr:colOff>885825</xdr:colOff>
      <xdr:row>21</xdr:row>
      <xdr:rowOff>123825</xdr:rowOff>
    </xdr:from>
    <xdr:ext cx="1038225" cy="238125"/>
    <xdr:sp>
      <xdr:nvSpPr>
        <xdr:cNvPr id="3" name="テキスト ボックス 22"/>
        <xdr:cNvSpPr txBox="1">
          <a:spLocks noChangeArrowheads="1"/>
        </xdr:cNvSpPr>
      </xdr:nvSpPr>
      <xdr:spPr>
        <a:xfrm>
          <a:off x="4029075" y="4095750"/>
          <a:ext cx="1038225" cy="238125"/>
        </a:xfrm>
        <a:prstGeom prst="rect">
          <a:avLst/>
        </a:prstGeom>
        <a:noFill/>
        <a:ln w="9525" cmpd="sng">
          <a:noFill/>
        </a:ln>
      </xdr:spPr>
      <xdr:txBody>
        <a:bodyPr vertOverflow="clip" wrap="square"/>
        <a:p>
          <a:pPr algn="l">
            <a:defRPr/>
          </a:pPr>
          <a:r>
            <a:rPr lang="en-US" cap="none" sz="900" b="0" i="0" u="none" baseline="0">
              <a:solidFill>
                <a:srgbClr val="000000"/>
              </a:solidFill>
            </a:rPr>
            <a:t>高度生産性向上型</a:t>
          </a:r>
        </a:p>
      </xdr:txBody>
    </xdr:sp>
    <xdr:clientData/>
  </xdr:oneCellAnchor>
  <xdr:oneCellAnchor>
    <xdr:from>
      <xdr:col>2</xdr:col>
      <xdr:colOff>0</xdr:colOff>
      <xdr:row>19</xdr:row>
      <xdr:rowOff>142875</xdr:rowOff>
    </xdr:from>
    <xdr:ext cx="771525" cy="238125"/>
    <xdr:sp>
      <xdr:nvSpPr>
        <xdr:cNvPr id="4" name="テキスト ボックス 23"/>
        <xdr:cNvSpPr txBox="1">
          <a:spLocks noChangeArrowheads="1"/>
        </xdr:cNvSpPr>
      </xdr:nvSpPr>
      <xdr:spPr>
        <a:xfrm>
          <a:off x="457200" y="3733800"/>
          <a:ext cx="771525" cy="238125"/>
        </a:xfrm>
        <a:prstGeom prst="rect">
          <a:avLst/>
        </a:prstGeom>
        <a:solidFill>
          <a:srgbClr val="FDEADA"/>
        </a:solidFill>
        <a:ln w="9525" cmpd="sng">
          <a:solidFill>
            <a:srgbClr val="000000"/>
          </a:solidFill>
          <a:headEnd type="none"/>
          <a:tailEnd type="none"/>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事業類型型</a:t>
          </a:r>
          <a:r>
            <a:rPr lang="en-US" cap="none" sz="900" b="0" i="0" u="none" baseline="0">
              <a:solidFill>
                <a:srgbClr val="000000"/>
              </a:solidFill>
              <a:latin typeface="Calibri"/>
              <a:ea typeface="Calibri"/>
              <a:cs typeface="Calibri"/>
            </a:rPr>
            <a:t>Ⅱ</a:t>
          </a:r>
        </a:p>
      </xdr:txBody>
    </xdr:sp>
    <xdr:clientData/>
  </xdr:oneCellAnchor>
  <xdr:oneCellAnchor>
    <xdr:from>
      <xdr:col>1</xdr:col>
      <xdr:colOff>219075</xdr:colOff>
      <xdr:row>21</xdr:row>
      <xdr:rowOff>114300</xdr:rowOff>
    </xdr:from>
    <xdr:ext cx="466725" cy="238125"/>
    <xdr:sp>
      <xdr:nvSpPr>
        <xdr:cNvPr id="5" name="テキスト ボックス 24"/>
        <xdr:cNvSpPr txBox="1">
          <a:spLocks noChangeArrowheads="1"/>
        </xdr:cNvSpPr>
      </xdr:nvSpPr>
      <xdr:spPr>
        <a:xfrm>
          <a:off x="447675" y="4086225"/>
          <a:ext cx="466725"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rPr>
            <a:t>一般型</a:t>
          </a:r>
        </a:p>
      </xdr:txBody>
    </xdr:sp>
    <xdr:clientData/>
  </xdr:oneCellAnchor>
  <xdr:oneCellAnchor>
    <xdr:from>
      <xdr:col>2</xdr:col>
      <xdr:colOff>0</xdr:colOff>
      <xdr:row>13</xdr:row>
      <xdr:rowOff>142875</xdr:rowOff>
    </xdr:from>
    <xdr:ext cx="771525" cy="238125"/>
    <xdr:sp>
      <xdr:nvSpPr>
        <xdr:cNvPr id="6" name="テキスト ボックス 25"/>
        <xdr:cNvSpPr txBox="1">
          <a:spLocks noChangeArrowheads="1"/>
        </xdr:cNvSpPr>
      </xdr:nvSpPr>
      <xdr:spPr>
        <a:xfrm>
          <a:off x="457200" y="2590800"/>
          <a:ext cx="771525" cy="238125"/>
        </a:xfrm>
        <a:prstGeom prst="rect">
          <a:avLst/>
        </a:prstGeom>
        <a:solidFill>
          <a:srgbClr val="FDEADA"/>
        </a:solidFill>
        <a:ln w="9525" cmpd="sng">
          <a:solidFill>
            <a:srgbClr val="000000"/>
          </a:solidFill>
          <a:headEnd type="none"/>
          <a:tailEnd type="none"/>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事業類型型</a:t>
          </a:r>
          <a:r>
            <a:rPr lang="en-US" cap="none" sz="900" b="0" i="0" u="none" baseline="0">
              <a:solidFill>
                <a:srgbClr val="000000"/>
              </a:solidFill>
              <a:latin typeface="Calibri"/>
              <a:ea typeface="Calibri"/>
              <a:cs typeface="Calibri"/>
            </a:rPr>
            <a:t>Ⅰ</a:t>
          </a:r>
        </a:p>
      </xdr:txBody>
    </xdr:sp>
    <xdr:clientData/>
  </xdr:oneCellAnchor>
  <xdr:twoCellAnchor>
    <xdr:from>
      <xdr:col>8</xdr:col>
      <xdr:colOff>704850</xdr:colOff>
      <xdr:row>66</xdr:row>
      <xdr:rowOff>57150</xdr:rowOff>
    </xdr:from>
    <xdr:to>
      <xdr:col>9</xdr:col>
      <xdr:colOff>561975</xdr:colOff>
      <xdr:row>67</xdr:row>
      <xdr:rowOff>38100</xdr:rowOff>
    </xdr:to>
    <xdr:sp>
      <xdr:nvSpPr>
        <xdr:cNvPr id="7" name="円/楕円 1"/>
        <xdr:cNvSpPr>
          <a:spLocks/>
        </xdr:cNvSpPr>
      </xdr:nvSpPr>
      <xdr:spPr>
        <a:xfrm>
          <a:off x="6534150" y="12420600"/>
          <a:ext cx="819150" cy="161925"/>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361950</xdr:colOff>
      <xdr:row>64</xdr:row>
      <xdr:rowOff>114300</xdr:rowOff>
    </xdr:from>
    <xdr:to>
      <xdr:col>9</xdr:col>
      <xdr:colOff>371475</xdr:colOff>
      <xdr:row>66</xdr:row>
      <xdr:rowOff>47625</xdr:rowOff>
    </xdr:to>
    <xdr:sp>
      <xdr:nvSpPr>
        <xdr:cNvPr id="8" name="直線矢印コネクタ 19"/>
        <xdr:cNvSpPr>
          <a:spLocks/>
        </xdr:cNvSpPr>
      </xdr:nvSpPr>
      <xdr:spPr>
        <a:xfrm flipH="1">
          <a:off x="7153275" y="12115800"/>
          <a:ext cx="19050" cy="295275"/>
        </a:xfrm>
        <a:prstGeom prst="straightConnector1">
          <a:avLst/>
        </a:prstGeom>
        <a:noFill/>
        <a:ln w="9525" cmpd="sng">
          <a:solidFill>
            <a:srgbClr val="FF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657225</xdr:colOff>
      <xdr:row>63</xdr:row>
      <xdr:rowOff>85725</xdr:rowOff>
    </xdr:from>
    <xdr:to>
      <xdr:col>10</xdr:col>
      <xdr:colOff>304800</xdr:colOff>
      <xdr:row>64</xdr:row>
      <xdr:rowOff>161925</xdr:rowOff>
    </xdr:to>
    <xdr:sp>
      <xdr:nvSpPr>
        <xdr:cNvPr id="9" name="テキスト ボックス 20"/>
        <xdr:cNvSpPr txBox="1">
          <a:spLocks noChangeArrowheads="1"/>
        </xdr:cNvSpPr>
      </xdr:nvSpPr>
      <xdr:spPr>
        <a:xfrm>
          <a:off x="6486525" y="11858625"/>
          <a:ext cx="1524000" cy="304800"/>
        </a:xfrm>
        <a:prstGeom prst="rect">
          <a:avLst/>
        </a:prstGeom>
        <a:noFill/>
        <a:ln w="9525" cmpd="sng">
          <a:noFill/>
        </a:ln>
      </xdr:spPr>
      <xdr:txBody>
        <a:bodyPr vertOverflow="clip" wrap="square"/>
        <a:p>
          <a:pPr algn="l">
            <a:defRPr/>
          </a:pPr>
          <a:r>
            <a:rPr lang="en-US" cap="none" sz="900" b="0" i="0" u="none" baseline="0">
              <a:solidFill>
                <a:srgbClr val="FF0000"/>
              </a:solidFill>
            </a:rPr>
            <a:t>このボタンをクリックする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238125</xdr:colOff>
      <xdr:row>40</xdr:row>
      <xdr:rowOff>38100</xdr:rowOff>
    </xdr:from>
    <xdr:to>
      <xdr:col>7</xdr:col>
      <xdr:colOff>590550</xdr:colOff>
      <xdr:row>43</xdr:row>
      <xdr:rowOff>76200</xdr:rowOff>
    </xdr:to>
    <xdr:sp>
      <xdr:nvSpPr>
        <xdr:cNvPr id="1" name="左中かっこ 1"/>
        <xdr:cNvSpPr>
          <a:spLocks/>
        </xdr:cNvSpPr>
      </xdr:nvSpPr>
      <xdr:spPr>
        <a:xfrm>
          <a:off x="4638675" y="14077950"/>
          <a:ext cx="352425" cy="1181100"/>
        </a:xfrm>
        <a:prstGeom prst="leftBrace">
          <a:avLst>
            <a:gd name="adj1" fmla="val -47106"/>
            <a:gd name="adj2" fmla="val 300"/>
          </a:avLst>
        </a:prstGeom>
        <a:noFill/>
        <a:ln w="1587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13</xdr:col>
      <xdr:colOff>66675</xdr:colOff>
      <xdr:row>28</xdr:row>
      <xdr:rowOff>9525</xdr:rowOff>
    </xdr:from>
    <xdr:to>
      <xdr:col>23</xdr:col>
      <xdr:colOff>19050</xdr:colOff>
      <xdr:row>28</xdr:row>
      <xdr:rowOff>9525</xdr:rowOff>
    </xdr:to>
    <xdr:sp>
      <xdr:nvSpPr>
        <xdr:cNvPr id="2" name="直線コネクタ 2"/>
        <xdr:cNvSpPr>
          <a:spLocks/>
        </xdr:cNvSpPr>
      </xdr:nvSpPr>
      <xdr:spPr>
        <a:xfrm>
          <a:off x="11896725" y="9601200"/>
          <a:ext cx="12553950" cy="0"/>
        </a:xfrm>
        <a:prstGeom prst="line">
          <a:avLst/>
        </a:prstGeom>
        <a:noFill/>
        <a:ln w="9525" cmpd="sng">
          <a:solidFill>
            <a:srgbClr val="A6A6A6"/>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editAs="oneCell">
    <xdr:from>
      <xdr:col>19</xdr:col>
      <xdr:colOff>0</xdr:colOff>
      <xdr:row>23</xdr:row>
      <xdr:rowOff>0</xdr:rowOff>
    </xdr:from>
    <xdr:to>
      <xdr:col>19</xdr:col>
      <xdr:colOff>9525</xdr:colOff>
      <xdr:row>23</xdr:row>
      <xdr:rowOff>9525</xdr:rowOff>
    </xdr:to>
    <xdr:pic>
      <xdr:nvPicPr>
        <xdr:cNvPr id="3" name="図 2" descr="http://aw.dw.impact-ad.jp/c/blue.velvet/?ac=70&amp;p=OSHIETExBADGE300_1&amp;w=300&amp;h=250&amp;if=0&amp;fv=3&amp;url=http%3A%2F%2Foshiete.goo.ne.jp%2Fqa%2F1099309.html&amp;ref=http%3A%2F%2Fsearch.yahoo.co.jp%2Fsearch%3Fp%3D%2523div%252F0%2521%2B%25E8%25A1%25A8%25E7%25A4%25BA%25E3%2581%2597%25E3%2581%25AA%25E3%2581%2584%26search.x%3D1%26fr%3Dtop_ga1_sa%26tid%3Dtop_ga1_sa%26ei%3DUTF-8%26aq%3D2%26oq%3D%2523div&amp;ss=42868345&amp;v=1.8.0"/>
        <xdr:cNvPicPr preferRelativeResize="1">
          <a:picLocks noChangeAspect="1"/>
        </xdr:cNvPicPr>
      </xdr:nvPicPr>
      <xdr:blipFill>
        <a:blip r:embed="rId1"/>
        <a:stretch>
          <a:fillRect/>
        </a:stretch>
      </xdr:blipFill>
      <xdr:spPr>
        <a:xfrm>
          <a:off x="19535775" y="7686675"/>
          <a:ext cx="9525" cy="9525"/>
        </a:xfrm>
        <a:prstGeom prst="rect">
          <a:avLst/>
        </a:prstGeom>
        <a:noFill/>
        <a:ln w="9525" cmpd="sng">
          <a:noFill/>
        </a:ln>
      </xdr:spPr>
    </xdr:pic>
    <xdr:clientData/>
  </xdr:twoCellAnchor>
  <xdr:twoCellAnchor editAs="oneCell">
    <xdr:from>
      <xdr:col>19</xdr:col>
      <xdr:colOff>19050</xdr:colOff>
      <xdr:row>23</xdr:row>
      <xdr:rowOff>0</xdr:rowOff>
    </xdr:from>
    <xdr:to>
      <xdr:col>19</xdr:col>
      <xdr:colOff>28575</xdr:colOff>
      <xdr:row>23</xdr:row>
      <xdr:rowOff>9525</xdr:rowOff>
    </xdr:to>
    <xdr:pic>
      <xdr:nvPicPr>
        <xdr:cNvPr id="4" name="図 3" descr="http://aw.dw.impact-ad.jp/c/blue.velvet/?ac=70&amp;p=OSHIETExBADGE300_2&amp;w=300&amp;h=250&amp;if=0&amp;fv=3&amp;url=http%3A%2F%2Foshiete.goo.ne.jp%2Fqa%2F1099309.html&amp;ref=http%3A%2F%2Fsearch.yahoo.co.jp%2Fsearch%3Fp%3D%2523div%252F0%2521%2B%25E8%25A1%25A8%25E7%25A4%25BA%25E3%2581%2597%25E3%2581%25AA%25E3%2581%2584%26search.x%3D1%26fr%3Dtop_ga1_sa%26tid%3Dtop_ga1_sa%26ei%3DUTF-8%26aq%3D2%26oq%3D%2523div&amp;ss=51776368&amp;v=1.8.0"/>
        <xdr:cNvPicPr preferRelativeResize="1">
          <a:picLocks noChangeAspect="1"/>
        </xdr:cNvPicPr>
      </xdr:nvPicPr>
      <xdr:blipFill>
        <a:blip r:embed="rId1"/>
        <a:stretch>
          <a:fillRect/>
        </a:stretch>
      </xdr:blipFill>
      <xdr:spPr>
        <a:xfrm>
          <a:off x="19554825" y="7686675"/>
          <a:ext cx="9525" cy="9525"/>
        </a:xfrm>
        <a:prstGeom prst="rect">
          <a:avLst/>
        </a:prstGeom>
        <a:noFill/>
        <a:ln w="9525" cmpd="sng">
          <a:noFill/>
        </a:ln>
      </xdr:spPr>
    </xdr:pic>
    <xdr:clientData/>
  </xdr:twoCellAnchor>
  <xdr:twoCellAnchor editAs="oneCell">
    <xdr:from>
      <xdr:col>19</xdr:col>
      <xdr:colOff>28575</xdr:colOff>
      <xdr:row>23</xdr:row>
      <xdr:rowOff>0</xdr:rowOff>
    </xdr:from>
    <xdr:to>
      <xdr:col>19</xdr:col>
      <xdr:colOff>38100</xdr:colOff>
      <xdr:row>23</xdr:row>
      <xdr:rowOff>9525</xdr:rowOff>
    </xdr:to>
    <xdr:pic>
      <xdr:nvPicPr>
        <xdr:cNvPr id="5" name="図 4" descr="http://aw.dw.impact-ad.jp/c/blue.velvet/?ac=70&amp;p=OSHIETExLONG&amp;w=728&amp;h=90&amp;if=0&amp;fv=3&amp;url=http%3A%2F%2Foshiete.goo.ne.jp%2Fqa%2F1099309.html&amp;ref=http%3A%2F%2Fsearch.yahoo.co.jp%2Fsearch%3Fp%3D%2523div%252F0%2521%2B%25E8%25A1%25A8%25E7%25A4%25BA%25E3%2581%2597%25E3%2581%25AA%25E3%2581%2584%26search.x%3D1%26fr%3Dtop_ga1_sa%26tid%3Dtop_ga1_sa%26ei%3DUTF-8%26aq%3D2%26oq%3D%2523div&amp;ss=69883727&amp;v=1.8.0"/>
        <xdr:cNvPicPr preferRelativeResize="1">
          <a:picLocks noChangeAspect="1"/>
        </xdr:cNvPicPr>
      </xdr:nvPicPr>
      <xdr:blipFill>
        <a:blip r:embed="rId1"/>
        <a:stretch>
          <a:fillRect/>
        </a:stretch>
      </xdr:blipFill>
      <xdr:spPr>
        <a:xfrm>
          <a:off x="19564350" y="7686675"/>
          <a:ext cx="9525" cy="9525"/>
        </a:xfrm>
        <a:prstGeom prst="rect">
          <a:avLst/>
        </a:prstGeom>
        <a:noFill/>
        <a:ln w="9525" cmpd="sng">
          <a:noFill/>
        </a:ln>
      </xdr:spPr>
    </xdr:pic>
    <xdr:clientData/>
  </xdr:twoCellAnchor>
  <xdr:twoCellAnchor editAs="oneCell">
    <xdr:from>
      <xdr:col>18</xdr:col>
      <xdr:colOff>0</xdr:colOff>
      <xdr:row>23</xdr:row>
      <xdr:rowOff>0</xdr:rowOff>
    </xdr:from>
    <xdr:to>
      <xdr:col>18</xdr:col>
      <xdr:colOff>9525</xdr:colOff>
      <xdr:row>23</xdr:row>
      <xdr:rowOff>9525</xdr:rowOff>
    </xdr:to>
    <xdr:pic>
      <xdr:nvPicPr>
        <xdr:cNvPr id="6" name="図 2" descr="http://aw.dw.impact-ad.jp/c/blue.velvet/?ac=70&amp;p=OSHIETExBADGE300_1&amp;w=300&amp;h=250&amp;if=0&amp;fv=3&amp;url=http%3A%2F%2Foshiete.goo.ne.jp%2Fqa%2F1099309.html&amp;ref=http%3A%2F%2Fsearch.yahoo.co.jp%2Fsearch%3Fp%3D%2523div%252F0%2521%2B%25E8%25A1%25A8%25E7%25A4%25BA%25E3%2581%2597%25E3%2581%25AA%25E3%2581%2584%26search.x%3D1%26fr%3Dtop_ga1_sa%26tid%3Dtop_ga1_sa%26ei%3DUTF-8%26aq%3D2%26oq%3D%2523div&amp;ss=42868345&amp;v=1.8.0"/>
        <xdr:cNvPicPr preferRelativeResize="1">
          <a:picLocks noChangeAspect="1"/>
        </xdr:cNvPicPr>
      </xdr:nvPicPr>
      <xdr:blipFill>
        <a:blip r:embed="rId1"/>
        <a:stretch>
          <a:fillRect/>
        </a:stretch>
      </xdr:blipFill>
      <xdr:spPr>
        <a:xfrm>
          <a:off x="17373600" y="7686675"/>
          <a:ext cx="9525" cy="9525"/>
        </a:xfrm>
        <a:prstGeom prst="rect">
          <a:avLst/>
        </a:prstGeom>
        <a:noFill/>
        <a:ln w="9525" cmpd="sng">
          <a:noFill/>
        </a:ln>
      </xdr:spPr>
    </xdr:pic>
    <xdr:clientData/>
  </xdr:twoCellAnchor>
  <xdr:twoCellAnchor editAs="oneCell">
    <xdr:from>
      <xdr:col>18</xdr:col>
      <xdr:colOff>19050</xdr:colOff>
      <xdr:row>23</xdr:row>
      <xdr:rowOff>0</xdr:rowOff>
    </xdr:from>
    <xdr:to>
      <xdr:col>18</xdr:col>
      <xdr:colOff>28575</xdr:colOff>
      <xdr:row>23</xdr:row>
      <xdr:rowOff>9525</xdr:rowOff>
    </xdr:to>
    <xdr:pic>
      <xdr:nvPicPr>
        <xdr:cNvPr id="7" name="図 3" descr="http://aw.dw.impact-ad.jp/c/blue.velvet/?ac=70&amp;p=OSHIETExBADGE300_2&amp;w=300&amp;h=250&amp;if=0&amp;fv=3&amp;url=http%3A%2F%2Foshiete.goo.ne.jp%2Fqa%2F1099309.html&amp;ref=http%3A%2F%2Fsearch.yahoo.co.jp%2Fsearch%3Fp%3D%2523div%252F0%2521%2B%25E8%25A1%25A8%25E7%25A4%25BA%25E3%2581%2597%25E3%2581%25AA%25E3%2581%2584%26search.x%3D1%26fr%3Dtop_ga1_sa%26tid%3Dtop_ga1_sa%26ei%3DUTF-8%26aq%3D2%26oq%3D%2523div&amp;ss=51776368&amp;v=1.8.0"/>
        <xdr:cNvPicPr preferRelativeResize="1">
          <a:picLocks noChangeAspect="1"/>
        </xdr:cNvPicPr>
      </xdr:nvPicPr>
      <xdr:blipFill>
        <a:blip r:embed="rId1"/>
        <a:stretch>
          <a:fillRect/>
        </a:stretch>
      </xdr:blipFill>
      <xdr:spPr>
        <a:xfrm>
          <a:off x="17392650" y="7686675"/>
          <a:ext cx="9525" cy="9525"/>
        </a:xfrm>
        <a:prstGeom prst="rect">
          <a:avLst/>
        </a:prstGeom>
        <a:noFill/>
        <a:ln w="9525" cmpd="sng">
          <a:noFill/>
        </a:ln>
      </xdr:spPr>
    </xdr:pic>
    <xdr:clientData/>
  </xdr:twoCellAnchor>
  <xdr:twoCellAnchor editAs="oneCell">
    <xdr:from>
      <xdr:col>18</xdr:col>
      <xdr:colOff>38100</xdr:colOff>
      <xdr:row>23</xdr:row>
      <xdr:rowOff>0</xdr:rowOff>
    </xdr:from>
    <xdr:to>
      <xdr:col>18</xdr:col>
      <xdr:colOff>57150</xdr:colOff>
      <xdr:row>23</xdr:row>
      <xdr:rowOff>9525</xdr:rowOff>
    </xdr:to>
    <xdr:pic>
      <xdr:nvPicPr>
        <xdr:cNvPr id="8" name="図 4" descr="http://aw.dw.impact-ad.jp/c/blue.velvet/?ac=70&amp;p=OSHIETExLONG&amp;w=728&amp;h=90&amp;if=0&amp;fv=3&amp;url=http%3A%2F%2Foshiete.goo.ne.jp%2Fqa%2F1099309.html&amp;ref=http%3A%2F%2Fsearch.yahoo.co.jp%2Fsearch%3Fp%3D%2523div%252F0%2521%2B%25E8%25A1%25A8%25E7%25A4%25BA%25E3%2581%2597%25E3%2581%25AA%25E3%2581%2584%26search.x%3D1%26fr%3Dtop_ga1_sa%26tid%3Dtop_ga1_sa%26ei%3DUTF-8%26aq%3D2%26oq%3D%2523div&amp;ss=69883727&amp;v=1.8.0"/>
        <xdr:cNvPicPr preferRelativeResize="1">
          <a:picLocks noChangeAspect="1"/>
        </xdr:cNvPicPr>
      </xdr:nvPicPr>
      <xdr:blipFill>
        <a:blip r:embed="rId1"/>
        <a:stretch>
          <a:fillRect/>
        </a:stretch>
      </xdr:blipFill>
      <xdr:spPr>
        <a:xfrm>
          <a:off x="17411700" y="7686675"/>
          <a:ext cx="9525" cy="9525"/>
        </a:xfrm>
        <a:prstGeom prst="rect">
          <a:avLst/>
        </a:prstGeom>
        <a:noFill/>
        <a:ln w="9525" cmpd="sng">
          <a:noFill/>
        </a:ln>
      </xdr:spPr>
    </xdr:pic>
    <xdr:clientData/>
  </xdr:twoCellAnchor>
  <xdr:twoCellAnchor>
    <xdr:from>
      <xdr:col>23</xdr:col>
      <xdr:colOff>9525</xdr:colOff>
      <xdr:row>2</xdr:row>
      <xdr:rowOff>0</xdr:rowOff>
    </xdr:from>
    <xdr:to>
      <xdr:col>23</xdr:col>
      <xdr:colOff>9525</xdr:colOff>
      <xdr:row>28</xdr:row>
      <xdr:rowOff>19050</xdr:rowOff>
    </xdr:to>
    <xdr:sp>
      <xdr:nvSpPr>
        <xdr:cNvPr id="9" name="直線コネクタ 9"/>
        <xdr:cNvSpPr>
          <a:spLocks/>
        </xdr:cNvSpPr>
      </xdr:nvSpPr>
      <xdr:spPr>
        <a:xfrm>
          <a:off x="24441150" y="342900"/>
          <a:ext cx="0" cy="9267825"/>
        </a:xfrm>
        <a:prstGeom prst="line">
          <a:avLst/>
        </a:prstGeom>
        <a:noFill/>
        <a:ln w="9525" cmpd="sng">
          <a:solidFill>
            <a:srgbClr val="BFBFBF"/>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32"/>
  <dimension ref="B1:E18"/>
  <sheetViews>
    <sheetView tabSelected="1" zoomScalePageLayoutView="0" workbookViewId="0" topLeftCell="A1">
      <selection activeCell="A1" sqref="A1"/>
    </sheetView>
  </sheetViews>
  <sheetFormatPr defaultColWidth="9.140625" defaultRowHeight="19.5" customHeight="1"/>
  <cols>
    <col min="1" max="1" width="2.57421875" style="0" customWidth="1"/>
    <col min="2" max="2" width="3.421875" style="0" bestFit="1" customWidth="1"/>
    <col min="3" max="3" width="43.7109375" style="0" customWidth="1"/>
  </cols>
  <sheetData>
    <row r="1" spans="2:5" ht="19.5" customHeight="1">
      <c r="B1" s="325" t="s">
        <v>762</v>
      </c>
      <c r="D1" s="301"/>
      <c r="E1" s="301"/>
    </row>
    <row r="2" spans="2:4" ht="19.5" customHeight="1">
      <c r="B2" s="490"/>
      <c r="C2" s="301"/>
      <c r="D2" s="301"/>
    </row>
    <row r="3" spans="2:4" ht="19.5" customHeight="1">
      <c r="B3" t="s">
        <v>761</v>
      </c>
      <c r="C3" s="301"/>
      <c r="D3" s="301"/>
    </row>
    <row r="4" spans="2:3" ht="19.5" customHeight="1" thickBot="1">
      <c r="B4" s="332" t="s">
        <v>665</v>
      </c>
      <c r="C4" s="332" t="s">
        <v>663</v>
      </c>
    </row>
    <row r="5" spans="2:3" ht="19.5" customHeight="1" thickTop="1">
      <c r="B5" s="333">
        <v>1</v>
      </c>
      <c r="C5" s="331" t="s">
        <v>664</v>
      </c>
    </row>
    <row r="6" spans="2:3" ht="19.5" customHeight="1">
      <c r="B6" s="334">
        <v>2</v>
      </c>
      <c r="C6" s="326" t="s">
        <v>753</v>
      </c>
    </row>
    <row r="7" spans="2:3" ht="19.5" customHeight="1">
      <c r="B7" s="334">
        <v>3</v>
      </c>
      <c r="C7" s="326" t="s">
        <v>754</v>
      </c>
    </row>
    <row r="8" spans="2:3" ht="19.5" customHeight="1">
      <c r="B8" s="334">
        <v>4</v>
      </c>
      <c r="C8" s="326" t="s">
        <v>755</v>
      </c>
    </row>
    <row r="9" spans="2:3" ht="19.5" customHeight="1">
      <c r="B9" s="334">
        <v>5</v>
      </c>
      <c r="C9" s="326" t="s">
        <v>739</v>
      </c>
    </row>
    <row r="10" spans="2:3" ht="19.5" customHeight="1">
      <c r="B10" s="334">
        <v>6</v>
      </c>
      <c r="C10" s="326" t="s">
        <v>667</v>
      </c>
    </row>
    <row r="11" spans="2:3" ht="19.5" customHeight="1">
      <c r="B11" s="334">
        <v>7</v>
      </c>
      <c r="C11" s="326" t="s">
        <v>756</v>
      </c>
    </row>
    <row r="12" spans="2:3" ht="19.5" customHeight="1">
      <c r="B12" s="334">
        <v>8</v>
      </c>
      <c r="C12" s="326" t="s">
        <v>34</v>
      </c>
    </row>
    <row r="13" spans="2:3" ht="19.5" customHeight="1">
      <c r="B13" s="334">
        <v>9</v>
      </c>
      <c r="C13" s="326" t="s">
        <v>757</v>
      </c>
    </row>
    <row r="14" spans="2:3" ht="19.5" customHeight="1">
      <c r="B14" s="334">
        <v>10</v>
      </c>
      <c r="C14" s="326" t="s">
        <v>758</v>
      </c>
    </row>
    <row r="15" spans="2:3" ht="19.5" customHeight="1">
      <c r="B15" s="334">
        <v>11</v>
      </c>
      <c r="C15" s="326" t="s">
        <v>759</v>
      </c>
    </row>
    <row r="16" spans="2:3" ht="19.5" customHeight="1">
      <c r="B16" s="334">
        <v>12</v>
      </c>
      <c r="C16" s="326" t="s">
        <v>37</v>
      </c>
    </row>
    <row r="17" spans="2:3" ht="19.5" customHeight="1">
      <c r="B17" s="334">
        <v>13</v>
      </c>
      <c r="C17" s="326" t="s">
        <v>672</v>
      </c>
    </row>
    <row r="18" spans="2:3" ht="19.5" customHeight="1">
      <c r="B18" s="334">
        <v>14</v>
      </c>
      <c r="C18" s="326" t="s">
        <v>760</v>
      </c>
    </row>
  </sheetData>
  <sheetProtection sheet="1" objects="1" scenarios="1"/>
  <hyperlinks>
    <hyperlink ref="C6" location="'基本情報入力（使い方）'!A1" display="基本情報入力（使い方）"/>
    <hyperlink ref="C7" location="経費明細表!A1" display="経費明細"/>
    <hyperlink ref="C8" location="日本標準産業分類!A1" display="日本標準産業分類"/>
    <hyperlink ref="C9" location="'機械装置費（50万円以上）'!A1" display="機械装置費（50万円以上）"/>
    <hyperlink ref="C10" location="'機械装置費（50万円未満）'!A1" display="機械装置費（50万円未満）"/>
    <hyperlink ref="C11" location="原材料費!A1" display="原材料費"/>
    <hyperlink ref="C12" location="技術導入費!A1" display="技術導入費"/>
    <hyperlink ref="C13" location="外注加工費!A1" display="外注加工費"/>
    <hyperlink ref="C14" location="委託費!A1" display="委託費"/>
    <hyperlink ref="C15" location="知的財産権等関連経費!A1" display="知的財産権等関連経費"/>
    <hyperlink ref="C16" location="運搬費!A1" display="運搬費"/>
    <hyperlink ref="C17" location="専門家経費!A1" display="専門家経費"/>
    <hyperlink ref="C18" location="クラウド利用費!A1" display="クラウド利用費"/>
  </hyperlink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Sheet6">
    <tabColor rgb="FF92D050"/>
    <pageSetUpPr fitToPage="1"/>
  </sheetPr>
  <dimension ref="A1:R38"/>
  <sheetViews>
    <sheetView showGridLines="0" zoomScaleSheetLayoutView="80" workbookViewId="0" topLeftCell="A1">
      <pane ySplit="3" topLeftCell="A4" activePane="bottomLeft" state="frozen"/>
      <selection pane="topLeft" activeCell="G15" sqref="G15:G32"/>
      <selection pane="bottomLeft" activeCell="A1" sqref="A1"/>
    </sheetView>
  </sheetViews>
  <sheetFormatPr defaultColWidth="9.140625" defaultRowHeight="15"/>
  <cols>
    <col min="1" max="4" width="3.7109375" style="3" customWidth="1"/>
    <col min="5" max="5" width="16.421875" style="343" customWidth="1"/>
    <col min="6" max="6" width="16.140625" style="327" customWidth="1"/>
    <col min="7" max="7" width="9.140625" style="3" customWidth="1"/>
    <col min="8" max="8" width="6.421875" style="3" customWidth="1"/>
    <col min="9" max="9" width="11.57421875" style="3" customWidth="1"/>
    <col min="10" max="10" width="11.57421875" style="359" customWidth="1"/>
    <col min="11" max="13" width="15.140625" style="3" customWidth="1"/>
    <col min="14" max="15" width="3.8515625" style="8" customWidth="1"/>
    <col min="16" max="16" width="9.00390625" style="3" customWidth="1"/>
    <col min="17" max="17" width="15.140625" style="3" customWidth="1"/>
    <col min="18" max="16384" width="9.00390625" style="3" customWidth="1"/>
  </cols>
  <sheetData>
    <row r="1" spans="1:18" ht="13.5">
      <c r="A1" s="8"/>
      <c r="H1" s="8"/>
      <c r="J1" s="3"/>
      <c r="P1" s="8"/>
      <c r="Q1" s="344"/>
      <c r="R1" s="344"/>
    </row>
    <row r="2" spans="1:18" ht="13.5">
      <c r="A2" s="8"/>
      <c r="B2" s="404" t="s">
        <v>724</v>
      </c>
      <c r="H2" s="8"/>
      <c r="J2" s="3"/>
      <c r="P2" s="8"/>
      <c r="Q2" s="344"/>
      <c r="R2" s="344"/>
    </row>
    <row r="3" spans="1:18" ht="13.5">
      <c r="A3" s="8"/>
      <c r="H3" s="8"/>
      <c r="J3" s="3"/>
      <c r="P3" s="8"/>
      <c r="Q3" s="344"/>
      <c r="R3" s="344"/>
    </row>
    <row r="4" spans="1:6" ht="13.5" customHeight="1">
      <c r="A4" s="817" t="s">
        <v>18</v>
      </c>
      <c r="B4" s="817"/>
      <c r="C4" s="817"/>
      <c r="D4" s="817"/>
      <c r="E4" s="817"/>
      <c r="F4" s="8"/>
    </row>
    <row r="5" spans="1:14" ht="13.5" customHeight="1">
      <c r="A5" s="20"/>
      <c r="B5" s="20"/>
      <c r="C5" s="20"/>
      <c r="D5" s="20"/>
      <c r="E5" s="369"/>
      <c r="F5" s="8"/>
      <c r="N5" s="20"/>
    </row>
    <row r="6" spans="1:14" ht="13.5" customHeight="1">
      <c r="A6" s="20"/>
      <c r="B6" s="20" t="s">
        <v>19</v>
      </c>
      <c r="C6" s="345" t="s">
        <v>21</v>
      </c>
      <c r="D6" s="20"/>
      <c r="E6" s="369"/>
      <c r="F6" s="346" t="s">
        <v>17</v>
      </c>
      <c r="N6" s="20"/>
    </row>
    <row r="7" spans="1:14" ht="13.5" customHeight="1">
      <c r="A7" s="20"/>
      <c r="B7" s="20"/>
      <c r="C7" s="20"/>
      <c r="D7" s="20"/>
      <c r="E7" s="369"/>
      <c r="F7" s="403" t="s">
        <v>36</v>
      </c>
      <c r="N7" s="20"/>
    </row>
    <row r="8" spans="1:15" ht="13.5" customHeight="1">
      <c r="A8" s="20"/>
      <c r="B8" s="20"/>
      <c r="C8" s="20"/>
      <c r="D8" s="20"/>
      <c r="E8" s="369"/>
      <c r="F8" s="8"/>
      <c r="M8" s="3" t="s">
        <v>22</v>
      </c>
      <c r="N8" s="20"/>
      <c r="O8" s="347"/>
    </row>
    <row r="9" spans="1:14" ht="13.5" customHeight="1">
      <c r="A9" s="348"/>
      <c r="F9" s="8"/>
      <c r="K9" s="4" t="s">
        <v>39</v>
      </c>
      <c r="L9" s="12" t="str">
        <f>IF(OR('基本情報入力（使い方）'!C11="",'基本情報入力（使い方）'!C11=0),"",'基本情報入力（使い方）'!C11)</f>
        <v>Ｂ金属株式会社</v>
      </c>
      <c r="N9" s="20"/>
    </row>
    <row r="10" spans="1:14" ht="13.5" customHeight="1" thickBot="1">
      <c r="A10" s="348"/>
      <c r="F10" s="8"/>
      <c r="N10" s="20"/>
    </row>
    <row r="11" spans="1:15" ht="27" customHeight="1">
      <c r="A11" s="818" t="s">
        <v>2</v>
      </c>
      <c r="B11" s="807" t="s">
        <v>3</v>
      </c>
      <c r="C11" s="807"/>
      <c r="D11" s="808"/>
      <c r="E11" s="370" t="s">
        <v>4</v>
      </c>
      <c r="F11" s="5" t="s">
        <v>5</v>
      </c>
      <c r="G11" s="5" t="s">
        <v>6</v>
      </c>
      <c r="H11" s="5" t="s">
        <v>7</v>
      </c>
      <c r="I11" s="5" t="s">
        <v>0</v>
      </c>
      <c r="J11" s="360" t="s">
        <v>0</v>
      </c>
      <c r="K11" s="826" t="s">
        <v>8</v>
      </c>
      <c r="L11" s="808"/>
      <c r="M11" s="330" t="s">
        <v>9</v>
      </c>
      <c r="N11" s="809" t="s">
        <v>2</v>
      </c>
      <c r="O11" s="811" t="s">
        <v>43</v>
      </c>
    </row>
    <row r="12" spans="1:15" ht="42" customHeight="1" thickBot="1">
      <c r="A12" s="819"/>
      <c r="B12" s="350" t="s">
        <v>10</v>
      </c>
      <c r="C12" s="350" t="s">
        <v>11</v>
      </c>
      <c r="D12" s="351" t="s">
        <v>12</v>
      </c>
      <c r="E12" s="371"/>
      <c r="F12" s="353"/>
      <c r="G12" s="328"/>
      <c r="H12" s="328"/>
      <c r="I12" s="328" t="s">
        <v>13</v>
      </c>
      <c r="J12" s="361" t="s">
        <v>27</v>
      </c>
      <c r="K12" s="328" t="s">
        <v>14</v>
      </c>
      <c r="L12" s="6" t="s">
        <v>25</v>
      </c>
      <c r="M12" s="6" t="s">
        <v>15</v>
      </c>
      <c r="N12" s="810"/>
      <c r="O12" s="812"/>
    </row>
    <row r="13" spans="1:15" ht="30.75" customHeight="1">
      <c r="A13" s="25">
        <v>1</v>
      </c>
      <c r="B13" s="805">
        <v>42689</v>
      </c>
      <c r="C13" s="806"/>
      <c r="D13" s="806"/>
      <c r="E13" s="313" t="s">
        <v>706</v>
      </c>
      <c r="F13" s="314" t="s">
        <v>707</v>
      </c>
      <c r="G13" s="453">
        <v>5</v>
      </c>
      <c r="H13" s="440" t="s">
        <v>708</v>
      </c>
      <c r="I13" s="17">
        <f>IF(J13="","",ROUNDDOWN(J13*(1+O13/100),0))</f>
        <v>108000</v>
      </c>
      <c r="J13" s="447">
        <v>100000</v>
      </c>
      <c r="K13" s="17">
        <f>IF(L13="","",ROUNDDOWN(L13*(1+O13/100),0))</f>
        <v>540000</v>
      </c>
      <c r="L13" s="17">
        <f>IF(OR(J13="",G13=""),"",ROUNDDOWN(J13*G13,0))</f>
        <v>500000</v>
      </c>
      <c r="M13" s="18">
        <f aca="true" t="shared" si="0" ref="M13:M32">L13</f>
        <v>500000</v>
      </c>
      <c r="N13" s="21">
        <v>1</v>
      </c>
      <c r="O13" s="372">
        <v>8</v>
      </c>
    </row>
    <row r="14" spans="1:15" ht="30.75" customHeight="1">
      <c r="A14" s="26">
        <v>2</v>
      </c>
      <c r="B14" s="805"/>
      <c r="C14" s="806"/>
      <c r="D14" s="806"/>
      <c r="E14" s="315"/>
      <c r="F14" s="314"/>
      <c r="G14" s="402"/>
      <c r="H14" s="441"/>
      <c r="I14" s="17">
        <f aca="true" t="shared" si="1" ref="I14:I32">IF(J14="","",ROUNDDOWN(J14*(1+O14/100),0))</f>
      </c>
      <c r="J14" s="321"/>
      <c r="K14" s="17">
        <f aca="true" t="shared" si="2" ref="K14:K32">IF(L14="","",ROUNDDOWN(L14*(1+O14/100),0))</f>
      </c>
      <c r="L14" s="17">
        <f aca="true" t="shared" si="3" ref="L14:L32">IF(OR(J14="",G14=""),"",ROUNDDOWN(J14*G14,0))</f>
      </c>
      <c r="M14" s="18">
        <f t="shared" si="0"/>
      </c>
      <c r="N14" s="22">
        <v>2</v>
      </c>
      <c r="O14" s="372">
        <v>8</v>
      </c>
    </row>
    <row r="15" spans="1:15" ht="30.75" customHeight="1">
      <c r="A15" s="25">
        <v>3</v>
      </c>
      <c r="B15" s="805"/>
      <c r="C15" s="806"/>
      <c r="D15" s="806"/>
      <c r="E15" s="315"/>
      <c r="F15" s="315"/>
      <c r="G15" s="402"/>
      <c r="H15" s="441"/>
      <c r="I15" s="17">
        <f t="shared" si="1"/>
      </c>
      <c r="J15" s="321"/>
      <c r="K15" s="17">
        <f t="shared" si="2"/>
      </c>
      <c r="L15" s="17">
        <f t="shared" si="3"/>
      </c>
      <c r="M15" s="18">
        <f t="shared" si="0"/>
      </c>
      <c r="N15" s="21">
        <v>3</v>
      </c>
      <c r="O15" s="372">
        <v>8</v>
      </c>
    </row>
    <row r="16" spans="1:15" s="19" customFormat="1" ht="30.75" customHeight="1">
      <c r="A16" s="26">
        <v>4</v>
      </c>
      <c r="B16" s="805"/>
      <c r="C16" s="806"/>
      <c r="D16" s="806"/>
      <c r="E16" s="315"/>
      <c r="F16" s="315"/>
      <c r="G16" s="402"/>
      <c r="H16" s="441"/>
      <c r="I16" s="17">
        <f t="shared" si="1"/>
      </c>
      <c r="J16" s="321"/>
      <c r="K16" s="17">
        <f t="shared" si="2"/>
      </c>
      <c r="L16" s="17">
        <f t="shared" si="3"/>
      </c>
      <c r="M16" s="18">
        <f t="shared" si="0"/>
      </c>
      <c r="N16" s="27">
        <v>4</v>
      </c>
      <c r="O16" s="372">
        <v>8</v>
      </c>
    </row>
    <row r="17" spans="1:15" s="19" customFormat="1" ht="30.75" customHeight="1">
      <c r="A17" s="25">
        <v>5</v>
      </c>
      <c r="B17" s="805"/>
      <c r="C17" s="806"/>
      <c r="D17" s="806"/>
      <c r="E17" s="315"/>
      <c r="F17" s="315"/>
      <c r="G17" s="402"/>
      <c r="H17" s="441"/>
      <c r="I17" s="17">
        <f t="shared" si="1"/>
      </c>
      <c r="J17" s="321"/>
      <c r="K17" s="17">
        <f t="shared" si="2"/>
      </c>
      <c r="L17" s="17">
        <f t="shared" si="3"/>
      </c>
      <c r="M17" s="18">
        <f t="shared" si="0"/>
      </c>
      <c r="N17" s="28">
        <v>5</v>
      </c>
      <c r="O17" s="372">
        <v>8</v>
      </c>
    </row>
    <row r="18" spans="1:15" ht="30.75" customHeight="1">
      <c r="A18" s="26">
        <v>6</v>
      </c>
      <c r="B18" s="805"/>
      <c r="C18" s="806"/>
      <c r="D18" s="806"/>
      <c r="E18" s="315"/>
      <c r="F18" s="315"/>
      <c r="G18" s="402"/>
      <c r="H18" s="441"/>
      <c r="I18" s="17">
        <f t="shared" si="1"/>
      </c>
      <c r="J18" s="321"/>
      <c r="K18" s="17">
        <f t="shared" si="2"/>
      </c>
      <c r="L18" s="17">
        <f t="shared" si="3"/>
      </c>
      <c r="M18" s="18">
        <f t="shared" si="0"/>
      </c>
      <c r="N18" s="22">
        <v>6</v>
      </c>
      <c r="O18" s="372">
        <v>8</v>
      </c>
    </row>
    <row r="19" spans="1:15" ht="30.75" customHeight="1">
      <c r="A19" s="25">
        <v>7</v>
      </c>
      <c r="B19" s="805"/>
      <c r="C19" s="806"/>
      <c r="D19" s="806"/>
      <c r="E19" s="315"/>
      <c r="F19" s="356"/>
      <c r="G19" s="402"/>
      <c r="H19" s="441"/>
      <c r="I19" s="17">
        <f t="shared" si="1"/>
      </c>
      <c r="J19" s="321"/>
      <c r="K19" s="17">
        <f t="shared" si="2"/>
      </c>
      <c r="L19" s="17">
        <f t="shared" si="3"/>
      </c>
      <c r="M19" s="18">
        <f t="shared" si="0"/>
      </c>
      <c r="N19" s="21">
        <v>7</v>
      </c>
      <c r="O19" s="372">
        <v>8</v>
      </c>
    </row>
    <row r="20" spans="1:15" ht="30.75" customHeight="1">
      <c r="A20" s="26">
        <v>8</v>
      </c>
      <c r="B20" s="805"/>
      <c r="C20" s="806"/>
      <c r="D20" s="806"/>
      <c r="E20" s="315"/>
      <c r="F20" s="315"/>
      <c r="G20" s="402"/>
      <c r="H20" s="441"/>
      <c r="I20" s="17">
        <f t="shared" si="1"/>
      </c>
      <c r="J20" s="321"/>
      <c r="K20" s="17">
        <f t="shared" si="2"/>
      </c>
      <c r="L20" s="17">
        <f t="shared" si="3"/>
      </c>
      <c r="M20" s="18">
        <f t="shared" si="0"/>
      </c>
      <c r="N20" s="22">
        <v>8</v>
      </c>
      <c r="O20" s="372">
        <v>8</v>
      </c>
    </row>
    <row r="21" spans="1:15" ht="30.75" customHeight="1">
      <c r="A21" s="25">
        <v>9</v>
      </c>
      <c r="B21" s="805"/>
      <c r="C21" s="806"/>
      <c r="D21" s="806"/>
      <c r="E21" s="315"/>
      <c r="F21" s="315"/>
      <c r="G21" s="402"/>
      <c r="H21" s="441"/>
      <c r="I21" s="17">
        <f t="shared" si="1"/>
      </c>
      <c r="J21" s="321"/>
      <c r="K21" s="17">
        <f t="shared" si="2"/>
      </c>
      <c r="L21" s="17">
        <f t="shared" si="3"/>
      </c>
      <c r="M21" s="18">
        <f t="shared" si="0"/>
      </c>
      <c r="N21" s="21">
        <v>9</v>
      </c>
      <c r="O21" s="372">
        <v>8</v>
      </c>
    </row>
    <row r="22" spans="1:15" ht="30.75" customHeight="1">
      <c r="A22" s="26">
        <v>10</v>
      </c>
      <c r="B22" s="805"/>
      <c r="C22" s="806"/>
      <c r="D22" s="806"/>
      <c r="E22" s="315"/>
      <c r="F22" s="315"/>
      <c r="G22" s="402"/>
      <c r="H22" s="441"/>
      <c r="I22" s="17">
        <f t="shared" si="1"/>
      </c>
      <c r="J22" s="321"/>
      <c r="K22" s="17">
        <f t="shared" si="2"/>
      </c>
      <c r="L22" s="17">
        <f t="shared" si="3"/>
      </c>
      <c r="M22" s="18">
        <f t="shared" si="0"/>
      </c>
      <c r="N22" s="22">
        <v>10</v>
      </c>
      <c r="O22" s="372">
        <v>8</v>
      </c>
    </row>
    <row r="23" spans="1:16" ht="30.75" customHeight="1">
      <c r="A23" s="25">
        <v>11</v>
      </c>
      <c r="B23" s="805"/>
      <c r="C23" s="806"/>
      <c r="D23" s="806"/>
      <c r="E23" s="315"/>
      <c r="F23" s="315"/>
      <c r="G23" s="402"/>
      <c r="H23" s="441"/>
      <c r="I23" s="17">
        <f t="shared" si="1"/>
      </c>
      <c r="J23" s="321"/>
      <c r="K23" s="17">
        <f t="shared" si="2"/>
      </c>
      <c r="L23" s="17">
        <f t="shared" si="3"/>
      </c>
      <c r="M23" s="18">
        <f t="shared" si="0"/>
      </c>
      <c r="N23" s="21">
        <v>11</v>
      </c>
      <c r="O23" s="372">
        <v>8</v>
      </c>
      <c r="P23" s="344"/>
    </row>
    <row r="24" spans="1:15" ht="30.75" customHeight="1">
      <c r="A24" s="26">
        <v>12</v>
      </c>
      <c r="B24" s="805"/>
      <c r="C24" s="806"/>
      <c r="D24" s="806"/>
      <c r="E24" s="315"/>
      <c r="F24" s="315"/>
      <c r="G24" s="402"/>
      <c r="H24" s="441"/>
      <c r="I24" s="17">
        <f t="shared" si="1"/>
      </c>
      <c r="J24" s="321"/>
      <c r="K24" s="17">
        <f t="shared" si="2"/>
      </c>
      <c r="L24" s="17">
        <f t="shared" si="3"/>
      </c>
      <c r="M24" s="18">
        <f t="shared" si="0"/>
      </c>
      <c r="N24" s="22">
        <v>12</v>
      </c>
      <c r="O24" s="372">
        <v>8</v>
      </c>
    </row>
    <row r="25" spans="1:15" ht="30.75" customHeight="1">
      <c r="A25" s="25">
        <v>13</v>
      </c>
      <c r="B25" s="805"/>
      <c r="C25" s="806"/>
      <c r="D25" s="806"/>
      <c r="E25" s="315"/>
      <c r="F25" s="315"/>
      <c r="G25" s="402"/>
      <c r="H25" s="441"/>
      <c r="I25" s="17">
        <f t="shared" si="1"/>
      </c>
      <c r="J25" s="321"/>
      <c r="K25" s="17">
        <f t="shared" si="2"/>
      </c>
      <c r="L25" s="17">
        <f t="shared" si="3"/>
      </c>
      <c r="M25" s="18">
        <f t="shared" si="0"/>
      </c>
      <c r="N25" s="21">
        <v>13</v>
      </c>
      <c r="O25" s="372">
        <v>8</v>
      </c>
    </row>
    <row r="26" spans="1:15" ht="30.75" customHeight="1">
      <c r="A26" s="26">
        <v>14</v>
      </c>
      <c r="B26" s="805"/>
      <c r="C26" s="806"/>
      <c r="D26" s="806"/>
      <c r="E26" s="316"/>
      <c r="F26" s="315"/>
      <c r="G26" s="402"/>
      <c r="H26" s="441"/>
      <c r="I26" s="17">
        <f t="shared" si="1"/>
      </c>
      <c r="J26" s="321"/>
      <c r="K26" s="17">
        <f t="shared" si="2"/>
      </c>
      <c r="L26" s="17">
        <f t="shared" si="3"/>
      </c>
      <c r="M26" s="18">
        <f t="shared" si="0"/>
      </c>
      <c r="N26" s="22">
        <v>14</v>
      </c>
      <c r="O26" s="372">
        <v>8</v>
      </c>
    </row>
    <row r="27" spans="1:15" ht="30.75" customHeight="1">
      <c r="A27" s="25">
        <v>15</v>
      </c>
      <c r="B27" s="805"/>
      <c r="C27" s="806"/>
      <c r="D27" s="806"/>
      <c r="E27" s="316"/>
      <c r="F27" s="315"/>
      <c r="G27" s="402"/>
      <c r="H27" s="441"/>
      <c r="I27" s="17">
        <f t="shared" si="1"/>
      </c>
      <c r="J27" s="321"/>
      <c r="K27" s="17">
        <f t="shared" si="2"/>
      </c>
      <c r="L27" s="17">
        <f t="shared" si="3"/>
      </c>
      <c r="M27" s="18">
        <f t="shared" si="0"/>
      </c>
      <c r="N27" s="21">
        <v>15</v>
      </c>
      <c r="O27" s="372">
        <v>8</v>
      </c>
    </row>
    <row r="28" spans="1:15" ht="30.75" customHeight="1">
      <c r="A28" s="26">
        <v>16</v>
      </c>
      <c r="B28" s="805"/>
      <c r="C28" s="806"/>
      <c r="D28" s="806"/>
      <c r="E28" s="315"/>
      <c r="F28" s="315"/>
      <c r="G28" s="402"/>
      <c r="H28" s="441"/>
      <c r="I28" s="17">
        <f t="shared" si="1"/>
      </c>
      <c r="J28" s="321"/>
      <c r="K28" s="17">
        <f t="shared" si="2"/>
      </c>
      <c r="L28" s="17">
        <f t="shared" si="3"/>
      </c>
      <c r="M28" s="18">
        <f t="shared" si="0"/>
      </c>
      <c r="N28" s="22">
        <v>16</v>
      </c>
      <c r="O28" s="372">
        <v>8</v>
      </c>
    </row>
    <row r="29" spans="1:15" ht="30.75" customHeight="1">
      <c r="A29" s="25">
        <v>17</v>
      </c>
      <c r="B29" s="805"/>
      <c r="C29" s="806"/>
      <c r="D29" s="806"/>
      <c r="E29" s="315"/>
      <c r="F29" s="315"/>
      <c r="G29" s="402"/>
      <c r="H29" s="441"/>
      <c r="I29" s="17">
        <f t="shared" si="1"/>
      </c>
      <c r="J29" s="321"/>
      <c r="K29" s="17">
        <f t="shared" si="2"/>
      </c>
      <c r="L29" s="17">
        <f t="shared" si="3"/>
      </c>
      <c r="M29" s="18">
        <f t="shared" si="0"/>
      </c>
      <c r="N29" s="21">
        <v>17</v>
      </c>
      <c r="O29" s="372">
        <v>8</v>
      </c>
    </row>
    <row r="30" spans="1:15" ht="30.75" customHeight="1">
      <c r="A30" s="26">
        <v>18</v>
      </c>
      <c r="B30" s="805"/>
      <c r="C30" s="806"/>
      <c r="D30" s="806"/>
      <c r="E30" s="315"/>
      <c r="F30" s="315"/>
      <c r="G30" s="402"/>
      <c r="H30" s="441"/>
      <c r="I30" s="17">
        <f t="shared" si="1"/>
      </c>
      <c r="J30" s="321"/>
      <c r="K30" s="17">
        <f t="shared" si="2"/>
      </c>
      <c r="L30" s="17">
        <f t="shared" si="3"/>
      </c>
      <c r="M30" s="18">
        <f t="shared" si="0"/>
      </c>
      <c r="N30" s="22">
        <v>18</v>
      </c>
      <c r="O30" s="372">
        <v>8</v>
      </c>
    </row>
    <row r="31" spans="1:15" ht="30.75" customHeight="1">
      <c r="A31" s="25">
        <v>19</v>
      </c>
      <c r="B31" s="805"/>
      <c r="C31" s="806"/>
      <c r="D31" s="806"/>
      <c r="E31" s="316"/>
      <c r="F31" s="315"/>
      <c r="G31" s="402"/>
      <c r="H31" s="441"/>
      <c r="I31" s="17">
        <f t="shared" si="1"/>
      </c>
      <c r="J31" s="321"/>
      <c r="K31" s="17">
        <f t="shared" si="2"/>
      </c>
      <c r="L31" s="17">
        <f t="shared" si="3"/>
      </c>
      <c r="M31" s="18">
        <f t="shared" si="0"/>
      </c>
      <c r="N31" s="21">
        <v>19</v>
      </c>
      <c r="O31" s="372">
        <v>8</v>
      </c>
    </row>
    <row r="32" spans="1:15" ht="30.75" customHeight="1" thickBot="1">
      <c r="A32" s="41">
        <v>20</v>
      </c>
      <c r="B32" s="824"/>
      <c r="C32" s="825"/>
      <c r="D32" s="825"/>
      <c r="E32" s="323"/>
      <c r="F32" s="323"/>
      <c r="G32" s="402"/>
      <c r="H32" s="443"/>
      <c r="I32" s="42">
        <f t="shared" si="1"/>
      </c>
      <c r="J32" s="322"/>
      <c r="K32" s="42">
        <f t="shared" si="2"/>
      </c>
      <c r="L32" s="42">
        <f t="shared" si="3"/>
      </c>
      <c r="M32" s="43">
        <f t="shared" si="0"/>
      </c>
      <c r="N32" s="44">
        <v>20</v>
      </c>
      <c r="O32" s="373">
        <v>8</v>
      </c>
    </row>
    <row r="33" spans="1:14" ht="21" customHeight="1" thickBot="1">
      <c r="A33" s="822" t="s">
        <v>16</v>
      </c>
      <c r="B33" s="823"/>
      <c r="C33" s="823"/>
      <c r="D33" s="823"/>
      <c r="E33" s="823"/>
      <c r="F33" s="823"/>
      <c r="G33" s="823"/>
      <c r="H33" s="823"/>
      <c r="I33" s="823"/>
      <c r="J33" s="29"/>
      <c r="K33" s="64">
        <f>SUM(K13:K32)</f>
        <v>540000</v>
      </c>
      <c r="L33" s="64">
        <f>SUM(L13:L32)</f>
        <v>500000</v>
      </c>
      <c r="M33" s="66">
        <f>SUM(M13:M32)</f>
        <v>500000</v>
      </c>
      <c r="N33" s="23"/>
    </row>
    <row r="34" spans="1:14" ht="23.25" customHeight="1">
      <c r="A34" s="348"/>
      <c r="N34" s="20"/>
    </row>
    <row r="35" spans="2:14" ht="23.25" customHeight="1">
      <c r="B35" s="3" t="s">
        <v>838</v>
      </c>
      <c r="D35" s="348"/>
      <c r="E35" s="342"/>
      <c r="N35" s="20"/>
    </row>
    <row r="36" spans="1:15" s="327" customFormat="1" ht="23.25" customHeight="1">
      <c r="A36" s="3"/>
      <c r="B36" s="3" t="s">
        <v>839</v>
      </c>
      <c r="C36" s="3"/>
      <c r="D36" s="3"/>
      <c r="E36" s="342"/>
      <c r="G36" s="3"/>
      <c r="H36" s="3"/>
      <c r="I36" s="3"/>
      <c r="J36" s="359"/>
      <c r="K36" s="3"/>
      <c r="L36" s="3"/>
      <c r="M36" s="3"/>
      <c r="N36" s="24"/>
      <c r="O36" s="8"/>
    </row>
    <row r="37" spans="1:15" s="327" customFormat="1" ht="23.25" customHeight="1">
      <c r="A37" s="3"/>
      <c r="B37" s="3" t="s">
        <v>840</v>
      </c>
      <c r="C37" s="3"/>
      <c r="D37" s="3"/>
      <c r="E37" s="342"/>
      <c r="G37" s="3"/>
      <c r="H37" s="3"/>
      <c r="I37" s="3"/>
      <c r="J37" s="359"/>
      <c r="K37" s="3"/>
      <c r="L37" s="3"/>
      <c r="M37" s="3"/>
      <c r="N37" s="8"/>
      <c r="O37" s="8"/>
    </row>
    <row r="38" spans="1:15" s="327" customFormat="1" ht="23.25" customHeight="1">
      <c r="A38" s="3"/>
      <c r="B38" s="3" t="s">
        <v>841</v>
      </c>
      <c r="C38" s="3"/>
      <c r="D38" s="3"/>
      <c r="E38" s="342"/>
      <c r="G38" s="3"/>
      <c r="H38" s="3"/>
      <c r="I38" s="3"/>
      <c r="J38" s="359"/>
      <c r="K38" s="3"/>
      <c r="L38" s="3"/>
      <c r="M38" s="3"/>
      <c r="N38" s="8"/>
      <c r="O38" s="8"/>
    </row>
  </sheetData>
  <sheetProtection sheet="1" objects="1" scenarios="1"/>
  <mergeCells count="27">
    <mergeCell ref="A4:E4"/>
    <mergeCell ref="A11:A12"/>
    <mergeCell ref="B11:D11"/>
    <mergeCell ref="K11:L11"/>
    <mergeCell ref="N11:N12"/>
    <mergeCell ref="O11:O12"/>
    <mergeCell ref="B13:D13"/>
    <mergeCell ref="B14:D14"/>
    <mergeCell ref="B15:D15"/>
    <mergeCell ref="B16:D16"/>
    <mergeCell ref="B17:D17"/>
    <mergeCell ref="B18:D18"/>
    <mergeCell ref="B19:D19"/>
    <mergeCell ref="B20:D20"/>
    <mergeCell ref="B21:D21"/>
    <mergeCell ref="B22:D22"/>
    <mergeCell ref="B23:D23"/>
    <mergeCell ref="B24:D24"/>
    <mergeCell ref="B31:D31"/>
    <mergeCell ref="B32:D32"/>
    <mergeCell ref="A33:I33"/>
    <mergeCell ref="B25:D25"/>
    <mergeCell ref="B26:D26"/>
    <mergeCell ref="B27:D27"/>
    <mergeCell ref="B28:D28"/>
    <mergeCell ref="B29:D29"/>
    <mergeCell ref="B30:D30"/>
  </mergeCells>
  <dataValidations count="2">
    <dataValidation allowBlank="1" showInputMessage="1" showErrorMessage="1" imeMode="halfAlpha" sqref="I13:M32"/>
    <dataValidation allowBlank="1" showInputMessage="1" showErrorMessage="1" imeMode="hiragana" sqref="L9"/>
  </dataValidations>
  <hyperlinks>
    <hyperlink ref="B2" location="経費明細表!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66" r:id="rId1"/>
</worksheet>
</file>

<file path=xl/worksheets/sheet11.xml><?xml version="1.0" encoding="utf-8"?>
<worksheet xmlns="http://schemas.openxmlformats.org/spreadsheetml/2006/main" xmlns:r="http://schemas.openxmlformats.org/officeDocument/2006/relationships">
  <sheetPr codeName="Sheet7">
    <tabColor rgb="FF92D050"/>
    <pageSetUpPr fitToPage="1"/>
  </sheetPr>
  <dimension ref="A1:R38"/>
  <sheetViews>
    <sheetView showGridLines="0" zoomScaleSheetLayoutView="80" workbookViewId="0" topLeftCell="A1">
      <pane ySplit="3" topLeftCell="A4" activePane="bottomLeft" state="frozen"/>
      <selection pane="topLeft" activeCell="G15" sqref="G15:G32"/>
      <selection pane="bottomLeft" activeCell="A1" sqref="A1"/>
    </sheetView>
  </sheetViews>
  <sheetFormatPr defaultColWidth="9.140625" defaultRowHeight="15"/>
  <cols>
    <col min="1" max="4" width="3.7109375" style="3" customWidth="1"/>
    <col min="5" max="5" width="16.421875" style="327" customWidth="1"/>
    <col min="6" max="6" width="16.140625" style="327" customWidth="1"/>
    <col min="7" max="7" width="9.140625" style="3" customWidth="1"/>
    <col min="8" max="8" width="6.421875" style="3" customWidth="1"/>
    <col min="9" max="10" width="11.57421875" style="3" customWidth="1"/>
    <col min="11" max="13" width="15.140625" style="3" customWidth="1"/>
    <col min="14" max="15" width="3.8515625" style="8" customWidth="1"/>
    <col min="16" max="16" width="9.00390625" style="3" customWidth="1"/>
    <col min="17" max="17" width="15.140625" style="3" customWidth="1"/>
    <col min="18" max="16384" width="9.00390625" style="3" customWidth="1"/>
  </cols>
  <sheetData>
    <row r="1" spans="1:18" ht="13.5">
      <c r="A1" s="8"/>
      <c r="E1" s="343"/>
      <c r="H1" s="8"/>
      <c r="P1" s="8"/>
      <c r="Q1" s="344"/>
      <c r="R1" s="344"/>
    </row>
    <row r="2" spans="1:18" ht="13.5">
      <c r="A2" s="8"/>
      <c r="B2" s="404" t="s">
        <v>724</v>
      </c>
      <c r="E2" s="343"/>
      <c r="H2" s="8"/>
      <c r="P2" s="8"/>
      <c r="Q2" s="344"/>
      <c r="R2" s="344"/>
    </row>
    <row r="3" spans="1:18" ht="13.5">
      <c r="A3" s="8"/>
      <c r="E3" s="343"/>
      <c r="H3" s="8"/>
      <c r="P3" s="8"/>
      <c r="Q3" s="344"/>
      <c r="R3" s="344"/>
    </row>
    <row r="4" spans="1:6" ht="13.5" customHeight="1">
      <c r="A4" s="817" t="s">
        <v>18</v>
      </c>
      <c r="B4" s="817"/>
      <c r="C4" s="817"/>
      <c r="D4" s="817"/>
      <c r="E4" s="817"/>
      <c r="F4" s="8"/>
    </row>
    <row r="5" spans="1:14" ht="13.5" customHeight="1">
      <c r="A5" s="20"/>
      <c r="B5" s="20"/>
      <c r="C5" s="20"/>
      <c r="D5" s="20"/>
      <c r="E5" s="345"/>
      <c r="F5" s="8"/>
      <c r="N5" s="20"/>
    </row>
    <row r="6" spans="1:14" ht="13.5" customHeight="1">
      <c r="A6" s="20"/>
      <c r="B6" s="20" t="s">
        <v>19</v>
      </c>
      <c r="C6" s="345" t="s">
        <v>21</v>
      </c>
      <c r="D6" s="20"/>
      <c r="E6" s="345"/>
      <c r="F6" s="346" t="s">
        <v>17</v>
      </c>
      <c r="N6" s="20"/>
    </row>
    <row r="7" spans="1:14" ht="13.5" customHeight="1">
      <c r="A7" s="20"/>
      <c r="B7" s="20"/>
      <c r="C7" s="20"/>
      <c r="D7" s="20"/>
      <c r="E7" s="345"/>
      <c r="F7" s="403" t="s">
        <v>35</v>
      </c>
      <c r="N7" s="345"/>
    </row>
    <row r="8" spans="1:15" ht="13.5" customHeight="1">
      <c r="A8" s="20"/>
      <c r="B8" s="20"/>
      <c r="C8" s="20"/>
      <c r="D8" s="20"/>
      <c r="E8" s="345"/>
      <c r="F8" s="8"/>
      <c r="M8" s="3" t="s">
        <v>22</v>
      </c>
      <c r="N8" s="20"/>
      <c r="O8" s="347"/>
    </row>
    <row r="9" spans="1:14" ht="13.5" customHeight="1">
      <c r="A9" s="348"/>
      <c r="F9" s="8"/>
      <c r="K9" s="4" t="s">
        <v>39</v>
      </c>
      <c r="L9" s="12" t="str">
        <f>IF(OR('基本情報入力（使い方）'!C11="",'基本情報入力（使い方）'!C11=0),"",'基本情報入力（使い方）'!C11)</f>
        <v>Ｂ金属株式会社</v>
      </c>
      <c r="M9" s="300"/>
      <c r="N9" s="20"/>
    </row>
    <row r="10" spans="1:14" ht="13.5" customHeight="1" thickBot="1">
      <c r="A10" s="348"/>
      <c r="F10" s="8"/>
      <c r="N10" s="20"/>
    </row>
    <row r="11" spans="1:15" ht="27" customHeight="1">
      <c r="A11" s="818" t="s">
        <v>2</v>
      </c>
      <c r="B11" s="807" t="s">
        <v>3</v>
      </c>
      <c r="C11" s="807"/>
      <c r="D11" s="808"/>
      <c r="E11" s="5" t="s">
        <v>4</v>
      </c>
      <c r="F11" s="5" t="s">
        <v>5</v>
      </c>
      <c r="G11" s="5" t="s">
        <v>6</v>
      </c>
      <c r="H11" s="5" t="s">
        <v>7</v>
      </c>
      <c r="I11" s="5" t="s">
        <v>0</v>
      </c>
      <c r="J11" s="5" t="s">
        <v>0</v>
      </c>
      <c r="K11" s="826" t="s">
        <v>8</v>
      </c>
      <c r="L11" s="808"/>
      <c r="M11" s="330" t="s">
        <v>9</v>
      </c>
      <c r="N11" s="809" t="s">
        <v>2</v>
      </c>
      <c r="O11" s="811" t="s">
        <v>43</v>
      </c>
    </row>
    <row r="12" spans="1:15" ht="42" customHeight="1" thickBot="1">
      <c r="A12" s="819"/>
      <c r="B12" s="350" t="s">
        <v>10</v>
      </c>
      <c r="C12" s="350" t="s">
        <v>11</v>
      </c>
      <c r="D12" s="351" t="s">
        <v>12</v>
      </c>
      <c r="E12" s="352"/>
      <c r="F12" s="353"/>
      <c r="G12" s="328"/>
      <c r="H12" s="328"/>
      <c r="I12" s="328" t="s">
        <v>13</v>
      </c>
      <c r="J12" s="328" t="s">
        <v>27</v>
      </c>
      <c r="K12" s="328" t="s">
        <v>14</v>
      </c>
      <c r="L12" s="6" t="s">
        <v>25</v>
      </c>
      <c r="M12" s="6" t="s">
        <v>15</v>
      </c>
      <c r="N12" s="810"/>
      <c r="O12" s="812"/>
    </row>
    <row r="13" spans="1:15" ht="30.75" customHeight="1">
      <c r="A13" s="25">
        <v>1</v>
      </c>
      <c r="B13" s="813">
        <v>42674</v>
      </c>
      <c r="C13" s="814"/>
      <c r="D13" s="814"/>
      <c r="E13" s="354" t="s">
        <v>709</v>
      </c>
      <c r="F13" s="314" t="s">
        <v>710</v>
      </c>
      <c r="G13" s="453">
        <v>2</v>
      </c>
      <c r="H13" s="440" t="s">
        <v>708</v>
      </c>
      <c r="I13" s="17">
        <f>IF(J13="","",ROUNDDOWN(J13*(1+O13/100),0))</f>
        <v>583200</v>
      </c>
      <c r="J13" s="447">
        <v>540000</v>
      </c>
      <c r="K13" s="17">
        <f>IF(L13="","",ROUNDDOWN(L13*(1+O13/100),0))</f>
        <v>1166400</v>
      </c>
      <c r="L13" s="17">
        <f>IF(OR(J13="",G13=""),"",ROUNDDOWN(J13*G13,0))</f>
        <v>1080000</v>
      </c>
      <c r="M13" s="67">
        <f aca="true" t="shared" si="0" ref="M13:M32">L13</f>
        <v>1080000</v>
      </c>
      <c r="N13" s="364">
        <v>1</v>
      </c>
      <c r="O13" s="365">
        <v>8</v>
      </c>
    </row>
    <row r="14" spans="1:15" ht="30.75" customHeight="1">
      <c r="A14" s="26">
        <v>2</v>
      </c>
      <c r="B14" s="805"/>
      <c r="C14" s="806"/>
      <c r="D14" s="806"/>
      <c r="E14" s="355"/>
      <c r="F14" s="315"/>
      <c r="G14" s="402"/>
      <c r="H14" s="441"/>
      <c r="I14" s="17">
        <f aca="true" t="shared" si="1" ref="I14:I32">IF(J14="","",ROUNDDOWN(J14*(1+O14/100),0))</f>
      </c>
      <c r="J14" s="321"/>
      <c r="K14" s="17">
        <f aca="true" t="shared" si="2" ref="K14:K32">IF(L14="","",ROUNDDOWN(L14*(1+O14/100),0))</f>
      </c>
      <c r="L14" s="17">
        <f aca="true" t="shared" si="3" ref="L14:L32">IF(OR(J14="",G14=""),"",ROUNDDOWN(J14*G14,0))</f>
      </c>
      <c r="M14" s="67">
        <f t="shared" si="0"/>
      </c>
      <c r="N14" s="366">
        <v>2</v>
      </c>
      <c r="O14" s="365">
        <v>8</v>
      </c>
    </row>
    <row r="15" spans="1:15" ht="30.75" customHeight="1">
      <c r="A15" s="26">
        <v>3</v>
      </c>
      <c r="B15" s="805"/>
      <c r="C15" s="806"/>
      <c r="D15" s="806"/>
      <c r="E15" s="355"/>
      <c r="F15" s="315"/>
      <c r="G15" s="402"/>
      <c r="H15" s="441"/>
      <c r="I15" s="17">
        <f t="shared" si="1"/>
      </c>
      <c r="J15" s="321"/>
      <c r="K15" s="17">
        <f t="shared" si="2"/>
      </c>
      <c r="L15" s="17">
        <f t="shared" si="3"/>
      </c>
      <c r="M15" s="67">
        <f t="shared" si="0"/>
      </c>
      <c r="N15" s="364">
        <v>3</v>
      </c>
      <c r="O15" s="365">
        <v>8</v>
      </c>
    </row>
    <row r="16" spans="1:15" ht="30.75" customHeight="1">
      <c r="A16" s="26">
        <v>4</v>
      </c>
      <c r="B16" s="805"/>
      <c r="C16" s="806"/>
      <c r="D16" s="806"/>
      <c r="E16" s="355"/>
      <c r="F16" s="315"/>
      <c r="G16" s="402"/>
      <c r="H16" s="441"/>
      <c r="I16" s="17">
        <f t="shared" si="1"/>
      </c>
      <c r="J16" s="321"/>
      <c r="K16" s="17">
        <f t="shared" si="2"/>
      </c>
      <c r="L16" s="17">
        <f t="shared" si="3"/>
      </c>
      <c r="M16" s="67">
        <f t="shared" si="0"/>
      </c>
      <c r="N16" s="366">
        <v>4</v>
      </c>
      <c r="O16" s="365">
        <v>8</v>
      </c>
    </row>
    <row r="17" spans="1:15" ht="30.75" customHeight="1">
      <c r="A17" s="26">
        <v>5</v>
      </c>
      <c r="B17" s="805"/>
      <c r="C17" s="806"/>
      <c r="D17" s="806"/>
      <c r="E17" s="355"/>
      <c r="F17" s="315"/>
      <c r="G17" s="402"/>
      <c r="H17" s="441"/>
      <c r="I17" s="17">
        <f t="shared" si="1"/>
      </c>
      <c r="J17" s="321"/>
      <c r="K17" s="17">
        <f t="shared" si="2"/>
      </c>
      <c r="L17" s="17">
        <f t="shared" si="3"/>
      </c>
      <c r="M17" s="67">
        <f t="shared" si="0"/>
      </c>
      <c r="N17" s="364">
        <v>5</v>
      </c>
      <c r="O17" s="365">
        <v>8</v>
      </c>
    </row>
    <row r="18" spans="1:15" ht="30.75" customHeight="1">
      <c r="A18" s="26">
        <v>6</v>
      </c>
      <c r="B18" s="805"/>
      <c r="C18" s="806"/>
      <c r="D18" s="806"/>
      <c r="E18" s="355"/>
      <c r="F18" s="315"/>
      <c r="G18" s="402"/>
      <c r="H18" s="441"/>
      <c r="I18" s="17">
        <f t="shared" si="1"/>
      </c>
      <c r="J18" s="321"/>
      <c r="K18" s="17">
        <f t="shared" si="2"/>
      </c>
      <c r="L18" s="17">
        <f t="shared" si="3"/>
      </c>
      <c r="M18" s="67">
        <f t="shared" si="0"/>
      </c>
      <c r="N18" s="366">
        <v>6</v>
      </c>
      <c r="O18" s="365">
        <v>8</v>
      </c>
    </row>
    <row r="19" spans="1:15" ht="30.75" customHeight="1">
      <c r="A19" s="26">
        <v>7</v>
      </c>
      <c r="B19" s="805"/>
      <c r="C19" s="806"/>
      <c r="D19" s="806"/>
      <c r="E19" s="355"/>
      <c r="F19" s="356"/>
      <c r="G19" s="402"/>
      <c r="H19" s="441"/>
      <c r="I19" s="17">
        <f t="shared" si="1"/>
      </c>
      <c r="J19" s="321"/>
      <c r="K19" s="17">
        <f t="shared" si="2"/>
      </c>
      <c r="L19" s="17">
        <f t="shared" si="3"/>
      </c>
      <c r="M19" s="67">
        <f t="shared" si="0"/>
      </c>
      <c r="N19" s="364">
        <v>7</v>
      </c>
      <c r="O19" s="365">
        <v>8</v>
      </c>
    </row>
    <row r="20" spans="1:15" ht="30.75" customHeight="1">
      <c r="A20" s="26">
        <v>8</v>
      </c>
      <c r="B20" s="805"/>
      <c r="C20" s="806"/>
      <c r="D20" s="806"/>
      <c r="E20" s="355"/>
      <c r="F20" s="315"/>
      <c r="G20" s="402"/>
      <c r="H20" s="441"/>
      <c r="I20" s="17">
        <f t="shared" si="1"/>
      </c>
      <c r="J20" s="321"/>
      <c r="K20" s="17">
        <f t="shared" si="2"/>
      </c>
      <c r="L20" s="17">
        <f t="shared" si="3"/>
      </c>
      <c r="M20" s="67">
        <f t="shared" si="0"/>
      </c>
      <c r="N20" s="366">
        <v>8</v>
      </c>
      <c r="O20" s="365">
        <v>8</v>
      </c>
    </row>
    <row r="21" spans="1:15" ht="30.75" customHeight="1">
      <c r="A21" s="26">
        <v>9</v>
      </c>
      <c r="B21" s="805"/>
      <c r="C21" s="806"/>
      <c r="D21" s="806"/>
      <c r="E21" s="355"/>
      <c r="F21" s="315"/>
      <c r="G21" s="402"/>
      <c r="H21" s="441"/>
      <c r="I21" s="17">
        <f t="shared" si="1"/>
      </c>
      <c r="J21" s="321"/>
      <c r="K21" s="17">
        <f t="shared" si="2"/>
      </c>
      <c r="L21" s="17">
        <f t="shared" si="3"/>
      </c>
      <c r="M21" s="67">
        <f t="shared" si="0"/>
      </c>
      <c r="N21" s="364">
        <v>9</v>
      </c>
      <c r="O21" s="365">
        <v>8</v>
      </c>
    </row>
    <row r="22" spans="1:15" ht="30.75" customHeight="1">
      <c r="A22" s="26">
        <v>10</v>
      </c>
      <c r="B22" s="805"/>
      <c r="C22" s="806"/>
      <c r="D22" s="806"/>
      <c r="E22" s="355"/>
      <c r="F22" s="315"/>
      <c r="G22" s="402"/>
      <c r="H22" s="441"/>
      <c r="I22" s="17">
        <f t="shared" si="1"/>
      </c>
      <c r="J22" s="321"/>
      <c r="K22" s="17">
        <f t="shared" si="2"/>
      </c>
      <c r="L22" s="17">
        <f t="shared" si="3"/>
      </c>
      <c r="M22" s="67">
        <f t="shared" si="0"/>
      </c>
      <c r="N22" s="366">
        <v>10</v>
      </c>
      <c r="O22" s="365">
        <v>8</v>
      </c>
    </row>
    <row r="23" spans="1:15" ht="30.75" customHeight="1">
      <c r="A23" s="26">
        <v>11</v>
      </c>
      <c r="B23" s="805"/>
      <c r="C23" s="806"/>
      <c r="D23" s="806"/>
      <c r="E23" s="355"/>
      <c r="F23" s="315"/>
      <c r="G23" s="402"/>
      <c r="H23" s="441"/>
      <c r="I23" s="17">
        <f t="shared" si="1"/>
      </c>
      <c r="J23" s="321"/>
      <c r="K23" s="17">
        <f t="shared" si="2"/>
      </c>
      <c r="L23" s="17">
        <f t="shared" si="3"/>
      </c>
      <c r="M23" s="67">
        <f t="shared" si="0"/>
      </c>
      <c r="N23" s="364">
        <v>11</v>
      </c>
      <c r="O23" s="365">
        <v>8</v>
      </c>
    </row>
    <row r="24" spans="1:15" ht="30.75" customHeight="1">
      <c r="A24" s="26">
        <v>12</v>
      </c>
      <c r="B24" s="805"/>
      <c r="C24" s="806"/>
      <c r="D24" s="806"/>
      <c r="E24" s="355"/>
      <c r="F24" s="315"/>
      <c r="G24" s="402"/>
      <c r="H24" s="441"/>
      <c r="I24" s="17">
        <f t="shared" si="1"/>
      </c>
      <c r="J24" s="321"/>
      <c r="K24" s="17">
        <f t="shared" si="2"/>
      </c>
      <c r="L24" s="17">
        <f t="shared" si="3"/>
      </c>
      <c r="M24" s="67">
        <f t="shared" si="0"/>
      </c>
      <c r="N24" s="366">
        <v>12</v>
      </c>
      <c r="O24" s="365">
        <v>8</v>
      </c>
    </row>
    <row r="25" spans="1:15" ht="30.75" customHeight="1">
      <c r="A25" s="26">
        <v>13</v>
      </c>
      <c r="B25" s="805"/>
      <c r="C25" s="806"/>
      <c r="D25" s="806"/>
      <c r="E25" s="355"/>
      <c r="F25" s="315"/>
      <c r="G25" s="402"/>
      <c r="H25" s="441"/>
      <c r="I25" s="17">
        <f t="shared" si="1"/>
      </c>
      <c r="J25" s="321"/>
      <c r="K25" s="17">
        <f t="shared" si="2"/>
      </c>
      <c r="L25" s="17">
        <f t="shared" si="3"/>
      </c>
      <c r="M25" s="67">
        <f t="shared" si="0"/>
      </c>
      <c r="N25" s="364">
        <v>13</v>
      </c>
      <c r="O25" s="365">
        <v>8</v>
      </c>
    </row>
    <row r="26" spans="1:15" ht="30.75" customHeight="1">
      <c r="A26" s="26">
        <v>14</v>
      </c>
      <c r="B26" s="805"/>
      <c r="C26" s="806"/>
      <c r="D26" s="806"/>
      <c r="E26" s="357"/>
      <c r="F26" s="315"/>
      <c r="G26" s="402"/>
      <c r="H26" s="441"/>
      <c r="I26" s="17">
        <f t="shared" si="1"/>
      </c>
      <c r="J26" s="321"/>
      <c r="K26" s="17">
        <f t="shared" si="2"/>
      </c>
      <c r="L26" s="17">
        <f t="shared" si="3"/>
      </c>
      <c r="M26" s="67">
        <f t="shared" si="0"/>
      </c>
      <c r="N26" s="366">
        <v>14</v>
      </c>
      <c r="O26" s="365">
        <v>8</v>
      </c>
    </row>
    <row r="27" spans="1:15" ht="30.75" customHeight="1">
      <c r="A27" s="26">
        <v>15</v>
      </c>
      <c r="B27" s="805"/>
      <c r="C27" s="806"/>
      <c r="D27" s="806"/>
      <c r="E27" s="357"/>
      <c r="F27" s="315"/>
      <c r="G27" s="402"/>
      <c r="H27" s="441"/>
      <c r="I27" s="17">
        <f t="shared" si="1"/>
      </c>
      <c r="J27" s="321"/>
      <c r="K27" s="17">
        <f t="shared" si="2"/>
      </c>
      <c r="L27" s="17">
        <f t="shared" si="3"/>
      </c>
      <c r="M27" s="67">
        <f t="shared" si="0"/>
      </c>
      <c r="N27" s="364">
        <v>15</v>
      </c>
      <c r="O27" s="365">
        <v>8</v>
      </c>
    </row>
    <row r="28" spans="1:15" ht="30.75" customHeight="1">
      <c r="A28" s="26">
        <v>16</v>
      </c>
      <c r="B28" s="805"/>
      <c r="C28" s="806"/>
      <c r="D28" s="806"/>
      <c r="E28" s="355"/>
      <c r="F28" s="315"/>
      <c r="G28" s="402"/>
      <c r="H28" s="441"/>
      <c r="I28" s="17">
        <f t="shared" si="1"/>
      </c>
      <c r="J28" s="321"/>
      <c r="K28" s="17">
        <f t="shared" si="2"/>
      </c>
      <c r="L28" s="17">
        <f t="shared" si="3"/>
      </c>
      <c r="M28" s="67">
        <f t="shared" si="0"/>
      </c>
      <c r="N28" s="366">
        <v>16</v>
      </c>
      <c r="O28" s="365">
        <v>8</v>
      </c>
    </row>
    <row r="29" spans="1:15" ht="30.75" customHeight="1">
      <c r="A29" s="26">
        <v>17</v>
      </c>
      <c r="B29" s="805"/>
      <c r="C29" s="806"/>
      <c r="D29" s="806"/>
      <c r="E29" s="355"/>
      <c r="F29" s="315"/>
      <c r="G29" s="402"/>
      <c r="H29" s="441"/>
      <c r="I29" s="17">
        <f t="shared" si="1"/>
      </c>
      <c r="J29" s="321"/>
      <c r="K29" s="17">
        <f t="shared" si="2"/>
      </c>
      <c r="L29" s="17">
        <f t="shared" si="3"/>
      </c>
      <c r="M29" s="67">
        <f t="shared" si="0"/>
      </c>
      <c r="N29" s="364">
        <v>17</v>
      </c>
      <c r="O29" s="365">
        <v>8</v>
      </c>
    </row>
    <row r="30" spans="1:15" ht="30.75" customHeight="1">
      <c r="A30" s="26">
        <v>18</v>
      </c>
      <c r="B30" s="805"/>
      <c r="C30" s="806"/>
      <c r="D30" s="806"/>
      <c r="E30" s="355"/>
      <c r="F30" s="315"/>
      <c r="G30" s="402"/>
      <c r="H30" s="441"/>
      <c r="I30" s="17">
        <f t="shared" si="1"/>
      </c>
      <c r="J30" s="321"/>
      <c r="K30" s="17">
        <f t="shared" si="2"/>
      </c>
      <c r="L30" s="17">
        <f t="shared" si="3"/>
      </c>
      <c r="M30" s="67">
        <f t="shared" si="0"/>
      </c>
      <c r="N30" s="366">
        <v>18</v>
      </c>
      <c r="O30" s="365">
        <v>8</v>
      </c>
    </row>
    <row r="31" spans="1:15" ht="30.75" customHeight="1">
      <c r="A31" s="26">
        <v>19</v>
      </c>
      <c r="B31" s="805"/>
      <c r="C31" s="806"/>
      <c r="D31" s="806"/>
      <c r="E31" s="357"/>
      <c r="F31" s="315"/>
      <c r="G31" s="402"/>
      <c r="H31" s="441"/>
      <c r="I31" s="17">
        <f t="shared" si="1"/>
      </c>
      <c r="J31" s="321"/>
      <c r="K31" s="17">
        <f t="shared" si="2"/>
      </c>
      <c r="L31" s="17">
        <f t="shared" si="3"/>
      </c>
      <c r="M31" s="67">
        <f t="shared" si="0"/>
      </c>
      <c r="N31" s="364">
        <v>19</v>
      </c>
      <c r="O31" s="365">
        <v>8</v>
      </c>
    </row>
    <row r="32" spans="1:15" ht="30.75" customHeight="1" thickBot="1">
      <c r="A32" s="41">
        <v>20</v>
      </c>
      <c r="B32" s="824"/>
      <c r="C32" s="825"/>
      <c r="D32" s="825"/>
      <c r="E32" s="358"/>
      <c r="F32" s="323"/>
      <c r="G32" s="455"/>
      <c r="H32" s="442"/>
      <c r="I32" s="43">
        <f t="shared" si="1"/>
      </c>
      <c r="J32" s="320"/>
      <c r="K32" s="42">
        <f t="shared" si="2"/>
      </c>
      <c r="L32" s="42">
        <f t="shared" si="3"/>
      </c>
      <c r="M32" s="68">
        <f t="shared" si="0"/>
      </c>
      <c r="N32" s="367">
        <v>20</v>
      </c>
      <c r="O32" s="368">
        <v>8</v>
      </c>
    </row>
    <row r="33" spans="1:14" ht="21" customHeight="1" thickBot="1">
      <c r="A33" s="827" t="s">
        <v>16</v>
      </c>
      <c r="B33" s="828"/>
      <c r="C33" s="828"/>
      <c r="D33" s="828"/>
      <c r="E33" s="828"/>
      <c r="F33" s="828"/>
      <c r="G33" s="828"/>
      <c r="H33" s="828"/>
      <c r="I33" s="828"/>
      <c r="J33" s="329"/>
      <c r="K33" s="45">
        <f>SUM(K13:K32)</f>
        <v>1166400</v>
      </c>
      <c r="L33" s="45">
        <f>SUM(L13:L32)</f>
        <v>1080000</v>
      </c>
      <c r="M33" s="46">
        <f>SUM(M13:M32)</f>
        <v>1080000</v>
      </c>
      <c r="N33" s="23"/>
    </row>
    <row r="34" spans="1:14" ht="23.25" customHeight="1">
      <c r="A34" s="348"/>
      <c r="N34" s="20"/>
    </row>
    <row r="35" spans="1:14" ht="23.25" customHeight="1">
      <c r="A35" s="348"/>
      <c r="B35" s="3" t="s">
        <v>838</v>
      </c>
      <c r="D35" s="348"/>
      <c r="E35" s="342"/>
      <c r="N35" s="20"/>
    </row>
    <row r="36" spans="2:5" ht="23.25" customHeight="1">
      <c r="B36" s="3" t="s">
        <v>839</v>
      </c>
      <c r="E36" s="342"/>
    </row>
    <row r="37" spans="2:5" ht="23.25" customHeight="1">
      <c r="B37" s="3" t="s">
        <v>840</v>
      </c>
      <c r="E37" s="342"/>
    </row>
    <row r="38" spans="2:5" ht="23.25" customHeight="1">
      <c r="B38" s="3" t="s">
        <v>841</v>
      </c>
      <c r="E38" s="342"/>
    </row>
  </sheetData>
  <sheetProtection sheet="1" objects="1" scenarios="1"/>
  <mergeCells count="27">
    <mergeCell ref="A4:E4"/>
    <mergeCell ref="A11:A12"/>
    <mergeCell ref="B11:D11"/>
    <mergeCell ref="K11:L11"/>
    <mergeCell ref="N11:N12"/>
    <mergeCell ref="O11:O12"/>
    <mergeCell ref="B13:D13"/>
    <mergeCell ref="B14:D14"/>
    <mergeCell ref="B15:D15"/>
    <mergeCell ref="B16:D16"/>
    <mergeCell ref="B17:D17"/>
    <mergeCell ref="B18:D18"/>
    <mergeCell ref="B19:D19"/>
    <mergeCell ref="B20:D20"/>
    <mergeCell ref="B21:D21"/>
    <mergeCell ref="B22:D22"/>
    <mergeCell ref="B23:D23"/>
    <mergeCell ref="B24:D24"/>
    <mergeCell ref="B31:D31"/>
    <mergeCell ref="B32:D32"/>
    <mergeCell ref="A33:I33"/>
    <mergeCell ref="B25:D25"/>
    <mergeCell ref="B26:D26"/>
    <mergeCell ref="B27:D27"/>
    <mergeCell ref="B28:D28"/>
    <mergeCell ref="B29:D29"/>
    <mergeCell ref="B30:D30"/>
  </mergeCells>
  <dataValidations count="2">
    <dataValidation allowBlank="1" showInputMessage="1" showErrorMessage="1" imeMode="halfAlpha" sqref="I13:M32"/>
    <dataValidation allowBlank="1" showInputMessage="1" showErrorMessage="1" imeMode="hiragana" sqref="L9"/>
  </dataValidations>
  <hyperlinks>
    <hyperlink ref="B2" location="経費明細表!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69" r:id="rId1"/>
</worksheet>
</file>

<file path=xl/worksheets/sheet12.xml><?xml version="1.0" encoding="utf-8"?>
<worksheet xmlns="http://schemas.openxmlformats.org/spreadsheetml/2006/main" xmlns:r="http://schemas.openxmlformats.org/officeDocument/2006/relationships">
  <sheetPr codeName="Sheet8">
    <tabColor rgb="FF92D050"/>
    <pageSetUpPr fitToPage="1"/>
  </sheetPr>
  <dimension ref="A1:R38"/>
  <sheetViews>
    <sheetView showGridLines="0" zoomScaleSheetLayoutView="80" zoomScalePageLayoutView="0" workbookViewId="0" topLeftCell="A1">
      <pane ySplit="3" topLeftCell="A4" activePane="bottomLeft" state="frozen"/>
      <selection pane="topLeft" activeCell="G15" sqref="G15:G32"/>
      <selection pane="bottomLeft" activeCell="A1" sqref="A1"/>
    </sheetView>
  </sheetViews>
  <sheetFormatPr defaultColWidth="9.140625" defaultRowHeight="15"/>
  <cols>
    <col min="1" max="4" width="3.7109375" style="3" customWidth="1"/>
    <col min="5" max="5" width="16.421875" style="327" customWidth="1"/>
    <col min="6" max="6" width="16.140625" style="327" customWidth="1"/>
    <col min="7" max="7" width="9.140625" style="3" customWidth="1"/>
    <col min="8" max="8" width="6.421875" style="3" customWidth="1"/>
    <col min="9" max="10" width="11.57421875" style="3" customWidth="1"/>
    <col min="11" max="13" width="15.140625" style="3" customWidth="1"/>
    <col min="14" max="15" width="3.8515625" style="8" customWidth="1"/>
    <col min="16" max="16" width="9.00390625" style="3" customWidth="1"/>
    <col min="17" max="17" width="15.140625" style="3" customWidth="1"/>
    <col min="18" max="16384" width="9.00390625" style="3" customWidth="1"/>
  </cols>
  <sheetData>
    <row r="1" spans="1:18" ht="13.5">
      <c r="A1" s="8"/>
      <c r="E1" s="343"/>
      <c r="H1" s="8"/>
      <c r="P1" s="8"/>
      <c r="Q1" s="344"/>
      <c r="R1" s="344"/>
    </row>
    <row r="2" spans="1:18" ht="13.5">
      <c r="A2" s="8"/>
      <c r="B2" s="404" t="s">
        <v>724</v>
      </c>
      <c r="E2" s="343"/>
      <c r="H2" s="8"/>
      <c r="P2" s="8"/>
      <c r="Q2" s="344"/>
      <c r="R2" s="344"/>
    </row>
    <row r="3" spans="1:18" ht="13.5">
      <c r="A3" s="8"/>
      <c r="E3" s="343"/>
      <c r="H3" s="8"/>
      <c r="P3" s="8"/>
      <c r="Q3" s="344"/>
      <c r="R3" s="344"/>
    </row>
    <row r="4" spans="1:6" ht="13.5" customHeight="1">
      <c r="A4" s="817" t="s">
        <v>18</v>
      </c>
      <c r="B4" s="817"/>
      <c r="C4" s="817"/>
      <c r="D4" s="817"/>
      <c r="E4" s="817"/>
      <c r="F4" s="8"/>
    </row>
    <row r="5" spans="1:14" ht="13.5" customHeight="1">
      <c r="A5" s="20"/>
      <c r="B5" s="20"/>
      <c r="C5" s="20"/>
      <c r="D5" s="20"/>
      <c r="E5" s="345"/>
      <c r="F5" s="8"/>
      <c r="N5" s="20"/>
    </row>
    <row r="6" spans="1:14" ht="13.5" customHeight="1">
      <c r="A6" s="20"/>
      <c r="B6" s="20" t="s">
        <v>19</v>
      </c>
      <c r="C6" s="345" t="s">
        <v>21</v>
      </c>
      <c r="D6" s="20"/>
      <c r="E6" s="345"/>
      <c r="F6" s="346" t="s">
        <v>17</v>
      </c>
      <c r="N6" s="20"/>
    </row>
    <row r="7" spans="1:14" ht="13.5" customHeight="1">
      <c r="A7" s="20"/>
      <c r="B7" s="20"/>
      <c r="C7" s="20"/>
      <c r="D7" s="20"/>
      <c r="E7" s="345"/>
      <c r="F7" s="403" t="s">
        <v>54</v>
      </c>
      <c r="N7" s="20"/>
    </row>
    <row r="8" spans="1:15" ht="13.5" customHeight="1">
      <c r="A8" s="20"/>
      <c r="B8" s="20"/>
      <c r="C8" s="20"/>
      <c r="D8" s="20"/>
      <c r="E8" s="345"/>
      <c r="F8" s="8"/>
      <c r="M8" s="3" t="s">
        <v>22</v>
      </c>
      <c r="N8" s="20"/>
      <c r="O8" s="347"/>
    </row>
    <row r="9" spans="1:14" ht="13.5" customHeight="1">
      <c r="A9" s="348"/>
      <c r="F9" s="8"/>
      <c r="K9" s="4" t="s">
        <v>39</v>
      </c>
      <c r="L9" s="12" t="str">
        <f>IF(OR('基本情報入力（使い方）'!C11="",'基本情報入力（使い方）'!C11=0),"",'基本情報入力（使い方）'!C11)</f>
        <v>Ｂ金属株式会社</v>
      </c>
      <c r="M9" s="300"/>
      <c r="N9" s="20"/>
    </row>
    <row r="10" spans="1:14" ht="13.5" customHeight="1" thickBot="1">
      <c r="A10" s="348"/>
      <c r="F10" s="8"/>
      <c r="N10" s="20"/>
    </row>
    <row r="11" spans="1:15" ht="27" customHeight="1">
      <c r="A11" s="818" t="s">
        <v>2</v>
      </c>
      <c r="B11" s="807" t="s">
        <v>3</v>
      </c>
      <c r="C11" s="807"/>
      <c r="D11" s="808"/>
      <c r="E11" s="5" t="s">
        <v>4</v>
      </c>
      <c r="F11" s="5" t="s">
        <v>5</v>
      </c>
      <c r="G11" s="5" t="s">
        <v>6</v>
      </c>
      <c r="H11" s="5" t="s">
        <v>7</v>
      </c>
      <c r="I11" s="5" t="s">
        <v>0</v>
      </c>
      <c r="J11" s="5" t="s">
        <v>0</v>
      </c>
      <c r="K11" s="826" t="s">
        <v>8</v>
      </c>
      <c r="L11" s="808"/>
      <c r="M11" s="330" t="s">
        <v>9</v>
      </c>
      <c r="N11" s="809" t="s">
        <v>2</v>
      </c>
      <c r="O11" s="811" t="s">
        <v>43</v>
      </c>
    </row>
    <row r="12" spans="1:15" ht="42" customHeight="1" thickBot="1">
      <c r="A12" s="819"/>
      <c r="B12" s="350" t="s">
        <v>10</v>
      </c>
      <c r="C12" s="350" t="s">
        <v>11</v>
      </c>
      <c r="D12" s="351" t="s">
        <v>12</v>
      </c>
      <c r="E12" s="352"/>
      <c r="F12" s="353"/>
      <c r="G12" s="328"/>
      <c r="H12" s="328"/>
      <c r="I12" s="328" t="s">
        <v>13</v>
      </c>
      <c r="J12" s="328" t="s">
        <v>27</v>
      </c>
      <c r="K12" s="328" t="s">
        <v>14</v>
      </c>
      <c r="L12" s="6" t="s">
        <v>25</v>
      </c>
      <c r="M12" s="6" t="s">
        <v>15</v>
      </c>
      <c r="N12" s="810"/>
      <c r="O12" s="812"/>
    </row>
    <row r="13" spans="1:15" ht="30.75" customHeight="1">
      <c r="A13" s="25">
        <v>1</v>
      </c>
      <c r="B13" s="805">
        <v>42674</v>
      </c>
      <c r="C13" s="806"/>
      <c r="D13" s="829"/>
      <c r="E13" s="313" t="s">
        <v>711</v>
      </c>
      <c r="F13" s="313" t="s">
        <v>712</v>
      </c>
      <c r="G13" s="451">
        <v>1</v>
      </c>
      <c r="H13" s="438" t="s">
        <v>806</v>
      </c>
      <c r="I13" s="49">
        <f>IF(J13="","",ROUNDDOWN(J13*(1+O13/100),0))</f>
        <v>594000</v>
      </c>
      <c r="J13" s="449">
        <v>550000</v>
      </c>
      <c r="K13" s="49">
        <f>IF(L13="","",ROUNDDOWN(L13*(1+O13/100),0))</f>
        <v>594000</v>
      </c>
      <c r="L13" s="49">
        <f>IF(OR(J13="",G13=""),"",ROUNDDOWN(J13*G13,0))</f>
        <v>550000</v>
      </c>
      <c r="M13" s="49">
        <f aca="true" t="shared" si="0" ref="M13:M32">L13</f>
        <v>550000</v>
      </c>
      <c r="N13" s="21">
        <v>1</v>
      </c>
      <c r="O13" s="372">
        <v>8</v>
      </c>
    </row>
    <row r="14" spans="1:15" ht="30.75" customHeight="1">
      <c r="A14" s="26">
        <v>2</v>
      </c>
      <c r="B14" s="805"/>
      <c r="C14" s="806"/>
      <c r="D14" s="829"/>
      <c r="E14" s="315"/>
      <c r="F14" s="315"/>
      <c r="G14" s="402"/>
      <c r="H14" s="441"/>
      <c r="I14" s="17">
        <f aca="true" t="shared" si="1" ref="I14:I32">IF(J14="","",ROUNDDOWN(J14*(1+O14/100),0))</f>
      </c>
      <c r="J14" s="321"/>
      <c r="K14" s="17">
        <f aca="true" t="shared" si="2" ref="K14:K32">IF(L14="","",ROUNDDOWN(L14*(1+O14/100),0))</f>
      </c>
      <c r="L14" s="17">
        <f aca="true" t="shared" si="3" ref="L14:L32">IF(OR(J14="",G14=""),"",ROUNDDOWN(J14*G14,0))</f>
      </c>
      <c r="M14" s="18">
        <f t="shared" si="0"/>
      </c>
      <c r="N14" s="22">
        <v>2</v>
      </c>
      <c r="O14" s="372">
        <v>8</v>
      </c>
    </row>
    <row r="15" spans="1:15" ht="30.75" customHeight="1">
      <c r="A15" s="26">
        <v>3</v>
      </c>
      <c r="B15" s="805"/>
      <c r="C15" s="806"/>
      <c r="D15" s="829"/>
      <c r="E15" s="315"/>
      <c r="F15" s="315"/>
      <c r="G15" s="402"/>
      <c r="H15" s="441"/>
      <c r="I15" s="17">
        <f t="shared" si="1"/>
      </c>
      <c r="J15" s="321"/>
      <c r="K15" s="17">
        <f t="shared" si="2"/>
      </c>
      <c r="L15" s="17">
        <f t="shared" si="3"/>
      </c>
      <c r="M15" s="18">
        <f t="shared" si="0"/>
      </c>
      <c r="N15" s="21">
        <v>3</v>
      </c>
      <c r="O15" s="372">
        <v>8</v>
      </c>
    </row>
    <row r="16" spans="1:15" ht="30.75" customHeight="1">
      <c r="A16" s="26">
        <v>4</v>
      </c>
      <c r="B16" s="805"/>
      <c r="C16" s="806"/>
      <c r="D16" s="829"/>
      <c r="E16" s="315"/>
      <c r="F16" s="315"/>
      <c r="G16" s="402"/>
      <c r="H16" s="441"/>
      <c r="I16" s="17">
        <f t="shared" si="1"/>
      </c>
      <c r="J16" s="321"/>
      <c r="K16" s="17">
        <f t="shared" si="2"/>
      </c>
      <c r="L16" s="17">
        <f t="shared" si="3"/>
      </c>
      <c r="M16" s="18">
        <f t="shared" si="0"/>
      </c>
      <c r="N16" s="22">
        <v>4</v>
      </c>
      <c r="O16" s="372">
        <v>8</v>
      </c>
    </row>
    <row r="17" spans="1:15" ht="30.75" customHeight="1">
      <c r="A17" s="26">
        <v>5</v>
      </c>
      <c r="B17" s="805"/>
      <c r="C17" s="806"/>
      <c r="D17" s="829"/>
      <c r="E17" s="315"/>
      <c r="F17" s="315"/>
      <c r="G17" s="402"/>
      <c r="H17" s="441"/>
      <c r="I17" s="17">
        <f t="shared" si="1"/>
      </c>
      <c r="J17" s="321"/>
      <c r="K17" s="17">
        <f t="shared" si="2"/>
      </c>
      <c r="L17" s="17">
        <f t="shared" si="3"/>
      </c>
      <c r="M17" s="18">
        <f t="shared" si="0"/>
      </c>
      <c r="N17" s="21">
        <v>5</v>
      </c>
      <c r="O17" s="372">
        <v>8</v>
      </c>
    </row>
    <row r="18" spans="1:15" ht="30.75" customHeight="1">
      <c r="A18" s="26">
        <v>6</v>
      </c>
      <c r="B18" s="805"/>
      <c r="C18" s="806"/>
      <c r="D18" s="829"/>
      <c r="E18" s="315"/>
      <c r="F18" s="315"/>
      <c r="G18" s="402"/>
      <c r="H18" s="441"/>
      <c r="I18" s="17">
        <f t="shared" si="1"/>
      </c>
      <c r="J18" s="321"/>
      <c r="K18" s="17">
        <f t="shared" si="2"/>
      </c>
      <c r="L18" s="17">
        <f t="shared" si="3"/>
      </c>
      <c r="M18" s="18">
        <f t="shared" si="0"/>
      </c>
      <c r="N18" s="22">
        <v>6</v>
      </c>
      <c r="O18" s="372">
        <v>8</v>
      </c>
    </row>
    <row r="19" spans="1:15" ht="30.75" customHeight="1">
      <c r="A19" s="26">
        <v>7</v>
      </c>
      <c r="B19" s="805"/>
      <c r="C19" s="806"/>
      <c r="D19" s="829"/>
      <c r="E19" s="315"/>
      <c r="F19" s="356"/>
      <c r="G19" s="402"/>
      <c r="H19" s="441"/>
      <c r="I19" s="17">
        <f t="shared" si="1"/>
      </c>
      <c r="J19" s="321"/>
      <c r="K19" s="17">
        <f t="shared" si="2"/>
      </c>
      <c r="L19" s="17">
        <f t="shared" si="3"/>
      </c>
      <c r="M19" s="18">
        <f t="shared" si="0"/>
      </c>
      <c r="N19" s="21">
        <v>7</v>
      </c>
      <c r="O19" s="372">
        <v>8</v>
      </c>
    </row>
    <row r="20" spans="1:15" ht="30.75" customHeight="1">
      <c r="A20" s="26">
        <v>8</v>
      </c>
      <c r="B20" s="805"/>
      <c r="C20" s="806"/>
      <c r="D20" s="829"/>
      <c r="E20" s="315"/>
      <c r="F20" s="315"/>
      <c r="G20" s="402"/>
      <c r="H20" s="441"/>
      <c r="I20" s="17">
        <f t="shared" si="1"/>
      </c>
      <c r="J20" s="321"/>
      <c r="K20" s="17">
        <f t="shared" si="2"/>
      </c>
      <c r="L20" s="17">
        <f t="shared" si="3"/>
      </c>
      <c r="M20" s="18">
        <f t="shared" si="0"/>
      </c>
      <c r="N20" s="22">
        <v>8</v>
      </c>
      <c r="O20" s="372">
        <v>8</v>
      </c>
    </row>
    <row r="21" spans="1:15" ht="30.75" customHeight="1">
      <c r="A21" s="26">
        <v>9</v>
      </c>
      <c r="B21" s="805"/>
      <c r="C21" s="806"/>
      <c r="D21" s="829"/>
      <c r="E21" s="315"/>
      <c r="F21" s="315"/>
      <c r="G21" s="402"/>
      <c r="H21" s="441"/>
      <c r="I21" s="17">
        <f t="shared" si="1"/>
      </c>
      <c r="J21" s="321"/>
      <c r="K21" s="17">
        <f t="shared" si="2"/>
      </c>
      <c r="L21" s="17">
        <f t="shared" si="3"/>
      </c>
      <c r="M21" s="18">
        <f t="shared" si="0"/>
      </c>
      <c r="N21" s="21">
        <v>9</v>
      </c>
      <c r="O21" s="372">
        <v>8</v>
      </c>
    </row>
    <row r="22" spans="1:15" ht="30.75" customHeight="1">
      <c r="A22" s="26">
        <v>10</v>
      </c>
      <c r="B22" s="805"/>
      <c r="C22" s="806"/>
      <c r="D22" s="829"/>
      <c r="E22" s="315"/>
      <c r="F22" s="315"/>
      <c r="G22" s="402"/>
      <c r="H22" s="441"/>
      <c r="I22" s="17">
        <f t="shared" si="1"/>
      </c>
      <c r="J22" s="321"/>
      <c r="K22" s="17">
        <f t="shared" si="2"/>
      </c>
      <c r="L22" s="17">
        <f t="shared" si="3"/>
      </c>
      <c r="M22" s="18">
        <f t="shared" si="0"/>
      </c>
      <c r="N22" s="22">
        <v>10</v>
      </c>
      <c r="O22" s="372">
        <v>8</v>
      </c>
    </row>
    <row r="23" spans="1:15" ht="30.75" customHeight="1">
      <c r="A23" s="26">
        <v>11</v>
      </c>
      <c r="B23" s="805"/>
      <c r="C23" s="806"/>
      <c r="D23" s="829"/>
      <c r="E23" s="315"/>
      <c r="F23" s="315"/>
      <c r="G23" s="402"/>
      <c r="H23" s="441"/>
      <c r="I23" s="17">
        <f t="shared" si="1"/>
      </c>
      <c r="J23" s="321"/>
      <c r="K23" s="17">
        <f t="shared" si="2"/>
      </c>
      <c r="L23" s="17">
        <f t="shared" si="3"/>
      </c>
      <c r="M23" s="18">
        <f t="shared" si="0"/>
      </c>
      <c r="N23" s="21">
        <v>11</v>
      </c>
      <c r="O23" s="372">
        <v>8</v>
      </c>
    </row>
    <row r="24" spans="1:15" ht="30.75" customHeight="1">
      <c r="A24" s="26">
        <v>12</v>
      </c>
      <c r="B24" s="805"/>
      <c r="C24" s="806"/>
      <c r="D24" s="829"/>
      <c r="E24" s="315"/>
      <c r="F24" s="315"/>
      <c r="G24" s="402"/>
      <c r="H24" s="441"/>
      <c r="I24" s="17">
        <f t="shared" si="1"/>
      </c>
      <c r="J24" s="321"/>
      <c r="K24" s="17">
        <f t="shared" si="2"/>
      </c>
      <c r="L24" s="17">
        <f t="shared" si="3"/>
      </c>
      <c r="M24" s="18">
        <f t="shared" si="0"/>
      </c>
      <c r="N24" s="22">
        <v>12</v>
      </c>
      <c r="O24" s="372">
        <v>8</v>
      </c>
    </row>
    <row r="25" spans="1:15" ht="30.75" customHeight="1">
      <c r="A25" s="26">
        <v>13</v>
      </c>
      <c r="B25" s="805"/>
      <c r="C25" s="806"/>
      <c r="D25" s="829"/>
      <c r="E25" s="315"/>
      <c r="F25" s="315"/>
      <c r="G25" s="402"/>
      <c r="H25" s="441"/>
      <c r="I25" s="17">
        <f t="shared" si="1"/>
      </c>
      <c r="J25" s="321"/>
      <c r="K25" s="17">
        <f t="shared" si="2"/>
      </c>
      <c r="L25" s="17">
        <f t="shared" si="3"/>
      </c>
      <c r="M25" s="18">
        <f t="shared" si="0"/>
      </c>
      <c r="N25" s="21">
        <v>13</v>
      </c>
      <c r="O25" s="372">
        <v>8</v>
      </c>
    </row>
    <row r="26" spans="1:15" ht="30.75" customHeight="1">
      <c r="A26" s="26">
        <v>14</v>
      </c>
      <c r="B26" s="805"/>
      <c r="C26" s="806"/>
      <c r="D26" s="829"/>
      <c r="E26" s="363"/>
      <c r="F26" s="315"/>
      <c r="G26" s="402"/>
      <c r="H26" s="441"/>
      <c r="I26" s="17">
        <f t="shared" si="1"/>
      </c>
      <c r="J26" s="321"/>
      <c r="K26" s="17">
        <f t="shared" si="2"/>
      </c>
      <c r="L26" s="17">
        <f t="shared" si="3"/>
      </c>
      <c r="M26" s="18">
        <f t="shared" si="0"/>
      </c>
      <c r="N26" s="22">
        <v>14</v>
      </c>
      <c r="O26" s="372">
        <v>8</v>
      </c>
    </row>
    <row r="27" spans="1:15" ht="30.75" customHeight="1">
      <c r="A27" s="26">
        <v>15</v>
      </c>
      <c r="B27" s="805"/>
      <c r="C27" s="806"/>
      <c r="D27" s="829"/>
      <c r="E27" s="363"/>
      <c r="F27" s="315"/>
      <c r="G27" s="402"/>
      <c r="H27" s="441"/>
      <c r="I27" s="17">
        <f t="shared" si="1"/>
      </c>
      <c r="J27" s="321"/>
      <c r="K27" s="17">
        <f t="shared" si="2"/>
      </c>
      <c r="L27" s="17">
        <f t="shared" si="3"/>
      </c>
      <c r="M27" s="18">
        <f t="shared" si="0"/>
      </c>
      <c r="N27" s="21">
        <v>15</v>
      </c>
      <c r="O27" s="372">
        <v>8</v>
      </c>
    </row>
    <row r="28" spans="1:15" ht="30.75" customHeight="1">
      <c r="A28" s="26">
        <v>16</v>
      </c>
      <c r="B28" s="805"/>
      <c r="C28" s="806"/>
      <c r="D28" s="829"/>
      <c r="E28" s="315"/>
      <c r="F28" s="315"/>
      <c r="G28" s="402"/>
      <c r="H28" s="441"/>
      <c r="I28" s="17">
        <f t="shared" si="1"/>
      </c>
      <c r="J28" s="321"/>
      <c r="K28" s="17">
        <f t="shared" si="2"/>
      </c>
      <c r="L28" s="17">
        <f t="shared" si="3"/>
      </c>
      <c r="M28" s="18">
        <f t="shared" si="0"/>
      </c>
      <c r="N28" s="22">
        <v>16</v>
      </c>
      <c r="O28" s="372">
        <v>8</v>
      </c>
    </row>
    <row r="29" spans="1:15" ht="30.75" customHeight="1">
      <c r="A29" s="26">
        <v>17</v>
      </c>
      <c r="B29" s="805"/>
      <c r="C29" s="806"/>
      <c r="D29" s="829"/>
      <c r="E29" s="315"/>
      <c r="F29" s="315"/>
      <c r="G29" s="402"/>
      <c r="H29" s="441"/>
      <c r="I29" s="17">
        <f t="shared" si="1"/>
      </c>
      <c r="J29" s="321"/>
      <c r="K29" s="17">
        <f t="shared" si="2"/>
      </c>
      <c r="L29" s="17">
        <f t="shared" si="3"/>
      </c>
      <c r="M29" s="18">
        <f t="shared" si="0"/>
      </c>
      <c r="N29" s="21">
        <v>17</v>
      </c>
      <c r="O29" s="372">
        <v>8</v>
      </c>
    </row>
    <row r="30" spans="1:15" ht="30.75" customHeight="1">
      <c r="A30" s="26">
        <v>18</v>
      </c>
      <c r="B30" s="805"/>
      <c r="C30" s="806"/>
      <c r="D30" s="829"/>
      <c r="E30" s="315"/>
      <c r="F30" s="315"/>
      <c r="G30" s="402"/>
      <c r="H30" s="441"/>
      <c r="I30" s="17">
        <f t="shared" si="1"/>
      </c>
      <c r="J30" s="321"/>
      <c r="K30" s="17">
        <f t="shared" si="2"/>
      </c>
      <c r="L30" s="17">
        <f t="shared" si="3"/>
      </c>
      <c r="M30" s="18">
        <f t="shared" si="0"/>
      </c>
      <c r="N30" s="22">
        <v>18</v>
      </c>
      <c r="O30" s="372">
        <v>8</v>
      </c>
    </row>
    <row r="31" spans="1:15" ht="30.75" customHeight="1">
      <c r="A31" s="26">
        <v>19</v>
      </c>
      <c r="B31" s="805"/>
      <c r="C31" s="806"/>
      <c r="D31" s="829"/>
      <c r="E31" s="363"/>
      <c r="F31" s="315"/>
      <c r="G31" s="402"/>
      <c r="H31" s="441"/>
      <c r="I31" s="17">
        <f t="shared" si="1"/>
      </c>
      <c r="J31" s="321"/>
      <c r="K31" s="17">
        <f t="shared" si="2"/>
      </c>
      <c r="L31" s="17">
        <f t="shared" si="3"/>
      </c>
      <c r="M31" s="18">
        <f t="shared" si="0"/>
      </c>
      <c r="N31" s="21">
        <v>19</v>
      </c>
      <c r="O31" s="372">
        <v>8</v>
      </c>
    </row>
    <row r="32" spans="1:15" ht="30.75" customHeight="1" thickBot="1">
      <c r="A32" s="41">
        <v>20</v>
      </c>
      <c r="B32" s="830"/>
      <c r="C32" s="831"/>
      <c r="D32" s="831"/>
      <c r="E32" s="358"/>
      <c r="F32" s="323"/>
      <c r="G32" s="455"/>
      <c r="H32" s="442"/>
      <c r="I32" s="43">
        <f t="shared" si="1"/>
      </c>
      <c r="J32" s="322"/>
      <c r="K32" s="42">
        <f t="shared" si="2"/>
      </c>
      <c r="L32" s="42">
        <f t="shared" si="3"/>
      </c>
      <c r="M32" s="43">
        <f t="shared" si="0"/>
      </c>
      <c r="N32" s="44">
        <v>20</v>
      </c>
      <c r="O32" s="373">
        <v>8</v>
      </c>
    </row>
    <row r="33" spans="1:14" ht="21" customHeight="1" thickBot="1">
      <c r="A33" s="827" t="s">
        <v>16</v>
      </c>
      <c r="B33" s="828"/>
      <c r="C33" s="828"/>
      <c r="D33" s="828"/>
      <c r="E33" s="828"/>
      <c r="F33" s="828"/>
      <c r="G33" s="828"/>
      <c r="H33" s="828"/>
      <c r="I33" s="828"/>
      <c r="J33" s="329"/>
      <c r="K33" s="69">
        <f>SUM(K13:K32)</f>
        <v>594000</v>
      </c>
      <c r="L33" s="47">
        <f>SUM(L13:L32)</f>
        <v>550000</v>
      </c>
      <c r="M33" s="48">
        <f>SUM(M13:M32)</f>
        <v>550000</v>
      </c>
      <c r="N33" s="23"/>
    </row>
    <row r="34" spans="1:14" ht="23.25" customHeight="1">
      <c r="A34" s="348"/>
      <c r="N34" s="20"/>
    </row>
    <row r="35" spans="1:14" ht="23.25" customHeight="1">
      <c r="A35" s="348"/>
      <c r="B35" s="3" t="s">
        <v>838</v>
      </c>
      <c r="D35" s="348"/>
      <c r="E35" s="342"/>
      <c r="N35" s="20"/>
    </row>
    <row r="36" spans="2:5" ht="23.25" customHeight="1">
      <c r="B36" s="3" t="s">
        <v>839</v>
      </c>
      <c r="E36" s="342"/>
    </row>
    <row r="37" spans="2:5" ht="23.25" customHeight="1">
      <c r="B37" s="3" t="s">
        <v>840</v>
      </c>
      <c r="E37" s="342"/>
    </row>
    <row r="38" spans="2:5" ht="23.25" customHeight="1">
      <c r="B38" s="3" t="s">
        <v>841</v>
      </c>
      <c r="E38" s="342"/>
    </row>
  </sheetData>
  <sheetProtection sheet="1" objects="1" scenarios="1"/>
  <mergeCells count="27">
    <mergeCell ref="A4:E4"/>
    <mergeCell ref="A11:A12"/>
    <mergeCell ref="B11:D11"/>
    <mergeCell ref="K11:L11"/>
    <mergeCell ref="N11:N12"/>
    <mergeCell ref="O11:O12"/>
    <mergeCell ref="B13:D13"/>
    <mergeCell ref="B14:D14"/>
    <mergeCell ref="B15:D15"/>
    <mergeCell ref="B16:D16"/>
    <mergeCell ref="B17:D17"/>
    <mergeCell ref="B18:D18"/>
    <mergeCell ref="B19:D19"/>
    <mergeCell ref="B20:D20"/>
    <mergeCell ref="B21:D21"/>
    <mergeCell ref="B22:D22"/>
    <mergeCell ref="B23:D23"/>
    <mergeCell ref="B24:D24"/>
    <mergeCell ref="B31:D31"/>
    <mergeCell ref="B32:D32"/>
    <mergeCell ref="A33:I33"/>
    <mergeCell ref="B25:D25"/>
    <mergeCell ref="B26:D26"/>
    <mergeCell ref="B27:D27"/>
    <mergeCell ref="B28:D28"/>
    <mergeCell ref="B29:D29"/>
    <mergeCell ref="B30:D30"/>
  </mergeCells>
  <dataValidations count="2">
    <dataValidation allowBlank="1" showInputMessage="1" showErrorMessage="1" imeMode="halfAlpha" sqref="K33:M33 I13:M32"/>
    <dataValidation allowBlank="1" showInputMessage="1" showErrorMessage="1" imeMode="hiragana" sqref="L9"/>
  </dataValidations>
  <hyperlinks>
    <hyperlink ref="B2" location="経費明細表!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66" r:id="rId1"/>
</worksheet>
</file>

<file path=xl/worksheets/sheet13.xml><?xml version="1.0" encoding="utf-8"?>
<worksheet xmlns="http://schemas.openxmlformats.org/spreadsheetml/2006/main" xmlns:r="http://schemas.openxmlformats.org/officeDocument/2006/relationships">
  <sheetPr codeName="Sheet9">
    <tabColor rgb="FF92D050"/>
    <pageSetUpPr fitToPage="1"/>
  </sheetPr>
  <dimension ref="A1:R38"/>
  <sheetViews>
    <sheetView showGridLines="0" zoomScaleSheetLayoutView="80" zoomScalePageLayoutView="0" workbookViewId="0" topLeftCell="A1">
      <pane ySplit="3" topLeftCell="A4" activePane="bottomLeft" state="frozen"/>
      <selection pane="topLeft" activeCell="G15" sqref="G15:G32"/>
      <selection pane="bottomLeft" activeCell="A1" sqref="A1"/>
    </sheetView>
  </sheetViews>
  <sheetFormatPr defaultColWidth="9.140625" defaultRowHeight="15"/>
  <cols>
    <col min="1" max="4" width="3.7109375" style="3" customWidth="1"/>
    <col min="5" max="5" width="16.421875" style="327" customWidth="1"/>
    <col min="6" max="6" width="16.140625" style="327" customWidth="1"/>
    <col min="7" max="7" width="9.140625" style="3" customWidth="1"/>
    <col min="8" max="8" width="6.421875" style="3" customWidth="1"/>
    <col min="9" max="10" width="11.57421875" style="3" customWidth="1"/>
    <col min="11" max="13" width="15.140625" style="3" customWidth="1"/>
    <col min="14" max="15" width="3.8515625" style="8" customWidth="1"/>
    <col min="16" max="16" width="9.00390625" style="3" customWidth="1"/>
    <col min="17" max="17" width="15.140625" style="3" customWidth="1"/>
    <col min="18" max="16384" width="9.00390625" style="3" customWidth="1"/>
  </cols>
  <sheetData>
    <row r="1" spans="1:18" ht="13.5">
      <c r="A1" s="8"/>
      <c r="E1" s="343"/>
      <c r="H1" s="8"/>
      <c r="P1" s="8"/>
      <c r="Q1" s="344"/>
      <c r="R1" s="344"/>
    </row>
    <row r="2" spans="1:18" ht="13.5">
      <c r="A2" s="8"/>
      <c r="B2" s="404" t="s">
        <v>724</v>
      </c>
      <c r="E2" s="343"/>
      <c r="H2" s="8"/>
      <c r="P2" s="8"/>
      <c r="Q2" s="344"/>
      <c r="R2" s="344"/>
    </row>
    <row r="3" spans="1:18" ht="13.5">
      <c r="A3" s="8"/>
      <c r="E3" s="343"/>
      <c r="H3" s="8"/>
      <c r="P3" s="8"/>
      <c r="Q3" s="344"/>
      <c r="R3" s="344"/>
    </row>
    <row r="4" spans="1:6" ht="13.5" customHeight="1">
      <c r="A4" s="817" t="s">
        <v>18</v>
      </c>
      <c r="B4" s="817"/>
      <c r="C4" s="817"/>
      <c r="D4" s="817"/>
      <c r="E4" s="817"/>
      <c r="F4" s="8"/>
    </row>
    <row r="5" spans="1:14" ht="13.5" customHeight="1">
      <c r="A5" s="20"/>
      <c r="B5" s="20"/>
      <c r="C5" s="20"/>
      <c r="D5" s="20"/>
      <c r="E5" s="345"/>
      <c r="F5" s="8"/>
      <c r="N5" s="20"/>
    </row>
    <row r="6" spans="1:14" ht="13.5" customHeight="1">
      <c r="A6" s="20"/>
      <c r="B6" s="20" t="s">
        <v>19</v>
      </c>
      <c r="C6" s="345" t="s">
        <v>21</v>
      </c>
      <c r="D6" s="20"/>
      <c r="E6" s="345"/>
      <c r="F6" s="346" t="s">
        <v>17</v>
      </c>
      <c r="N6" s="20"/>
    </row>
    <row r="7" spans="1:14" ht="13.5" customHeight="1">
      <c r="A7" s="20"/>
      <c r="B7" s="20"/>
      <c r="C7" s="20"/>
      <c r="D7" s="20"/>
      <c r="E7" s="345"/>
      <c r="F7" s="403" t="s">
        <v>37</v>
      </c>
      <c r="N7" s="20"/>
    </row>
    <row r="8" spans="1:15" ht="13.5" customHeight="1">
      <c r="A8" s="20"/>
      <c r="B8" s="20"/>
      <c r="C8" s="20"/>
      <c r="D8" s="20"/>
      <c r="E8" s="345"/>
      <c r="F8" s="8"/>
      <c r="M8" s="3" t="s">
        <v>22</v>
      </c>
      <c r="N8" s="20"/>
      <c r="O8" s="347"/>
    </row>
    <row r="9" spans="1:14" ht="13.5" customHeight="1">
      <c r="A9" s="348"/>
      <c r="F9" s="8"/>
      <c r="K9" s="4" t="s">
        <v>39</v>
      </c>
      <c r="L9" s="12" t="str">
        <f>IF(OR('基本情報入力（使い方）'!C11="",'基本情報入力（使い方）'!C11=0),"",'基本情報入力（使い方）'!C11)</f>
        <v>Ｂ金属株式会社</v>
      </c>
      <c r="M9" s="349"/>
      <c r="N9" s="20"/>
    </row>
    <row r="10" spans="1:14" ht="13.5" customHeight="1" thickBot="1">
      <c r="A10" s="348"/>
      <c r="F10" s="8"/>
      <c r="N10" s="20"/>
    </row>
    <row r="11" spans="1:15" ht="27" customHeight="1">
      <c r="A11" s="818" t="s">
        <v>2</v>
      </c>
      <c r="B11" s="807" t="s">
        <v>3</v>
      </c>
      <c r="C11" s="807"/>
      <c r="D11" s="808"/>
      <c r="E11" s="5" t="s">
        <v>4</v>
      </c>
      <c r="F11" s="5" t="s">
        <v>5</v>
      </c>
      <c r="G11" s="5" t="s">
        <v>6</v>
      </c>
      <c r="H11" s="5" t="s">
        <v>7</v>
      </c>
      <c r="I11" s="5" t="s">
        <v>0</v>
      </c>
      <c r="J11" s="5" t="s">
        <v>0</v>
      </c>
      <c r="K11" s="826" t="s">
        <v>8</v>
      </c>
      <c r="L11" s="808"/>
      <c r="M11" s="5" t="s">
        <v>9</v>
      </c>
      <c r="N11" s="809" t="s">
        <v>2</v>
      </c>
      <c r="O11" s="811" t="s">
        <v>43</v>
      </c>
    </row>
    <row r="12" spans="1:15" ht="42" customHeight="1" thickBot="1">
      <c r="A12" s="819"/>
      <c r="B12" s="350" t="s">
        <v>10</v>
      </c>
      <c r="C12" s="350" t="s">
        <v>11</v>
      </c>
      <c r="D12" s="351" t="s">
        <v>12</v>
      </c>
      <c r="E12" s="352"/>
      <c r="F12" s="353"/>
      <c r="G12" s="328"/>
      <c r="H12" s="328"/>
      <c r="I12" s="328" t="s">
        <v>13</v>
      </c>
      <c r="J12" s="328" t="s">
        <v>27</v>
      </c>
      <c r="K12" s="328" t="s">
        <v>14</v>
      </c>
      <c r="L12" s="6" t="s">
        <v>25</v>
      </c>
      <c r="M12" s="328" t="s">
        <v>15</v>
      </c>
      <c r="N12" s="810"/>
      <c r="O12" s="812"/>
    </row>
    <row r="13" spans="1:15" ht="30.75" customHeight="1">
      <c r="A13" s="25">
        <v>1</v>
      </c>
      <c r="B13" s="813">
        <v>42674</v>
      </c>
      <c r="C13" s="814"/>
      <c r="D13" s="814"/>
      <c r="E13" s="354" t="s">
        <v>713</v>
      </c>
      <c r="F13" s="314" t="s">
        <v>714</v>
      </c>
      <c r="G13" s="453">
        <v>150</v>
      </c>
      <c r="H13" s="440" t="s">
        <v>715</v>
      </c>
      <c r="I13" s="17">
        <f>IF(J13="","",ROUNDDOWN(J13*(1+O13/100),0))</f>
        <v>6372</v>
      </c>
      <c r="J13" s="448">
        <v>5900</v>
      </c>
      <c r="K13" s="17">
        <f>IF(L13="","",ROUNDDOWN(L13*(1+O13/100),0))</f>
        <v>955800</v>
      </c>
      <c r="L13" s="17">
        <f>IF(OR(J13="",G13=""),"",ROUNDDOWN(J13*G13,0))</f>
        <v>885000</v>
      </c>
      <c r="M13" s="18">
        <f aca="true" t="shared" si="0" ref="M13:M32">L13</f>
        <v>885000</v>
      </c>
      <c r="N13" s="21">
        <v>1</v>
      </c>
      <c r="O13" s="372">
        <v>8</v>
      </c>
    </row>
    <row r="14" spans="1:15" ht="30.75" customHeight="1">
      <c r="A14" s="26">
        <v>2</v>
      </c>
      <c r="B14" s="805"/>
      <c r="C14" s="806"/>
      <c r="D14" s="806"/>
      <c r="E14" s="355"/>
      <c r="F14" s="315"/>
      <c r="G14" s="402"/>
      <c r="H14" s="441"/>
      <c r="I14" s="17">
        <f aca="true" t="shared" si="1" ref="I14:I32">IF(J14="","",ROUNDDOWN(J14*(1+O14/100),0))</f>
      </c>
      <c r="J14" s="321"/>
      <c r="K14" s="17">
        <f aca="true" t="shared" si="2" ref="K14:K32">IF(L14="","",ROUNDDOWN(L14*(1+O14/100),0))</f>
      </c>
      <c r="L14" s="17">
        <f aca="true" t="shared" si="3" ref="L14:L32">IF(OR(J14="",G14=""),"",ROUNDDOWN(J14*G14,0))</f>
      </c>
      <c r="M14" s="18">
        <f t="shared" si="0"/>
      </c>
      <c r="N14" s="22">
        <v>2</v>
      </c>
      <c r="O14" s="372">
        <v>8</v>
      </c>
    </row>
    <row r="15" spans="1:15" ht="30.75" customHeight="1">
      <c r="A15" s="26">
        <v>3</v>
      </c>
      <c r="B15" s="805"/>
      <c r="C15" s="806"/>
      <c r="D15" s="806"/>
      <c r="E15" s="355"/>
      <c r="F15" s="315"/>
      <c r="G15" s="402"/>
      <c r="H15" s="441"/>
      <c r="I15" s="17">
        <f t="shared" si="1"/>
      </c>
      <c r="J15" s="321"/>
      <c r="K15" s="17">
        <f t="shared" si="2"/>
      </c>
      <c r="L15" s="17">
        <f t="shared" si="3"/>
      </c>
      <c r="M15" s="18">
        <f t="shared" si="0"/>
      </c>
      <c r="N15" s="21">
        <v>3</v>
      </c>
      <c r="O15" s="372">
        <v>8</v>
      </c>
    </row>
    <row r="16" spans="1:15" ht="30.75" customHeight="1">
      <c r="A16" s="26">
        <v>4</v>
      </c>
      <c r="B16" s="805"/>
      <c r="C16" s="806"/>
      <c r="D16" s="806"/>
      <c r="E16" s="355"/>
      <c r="F16" s="315"/>
      <c r="G16" s="402"/>
      <c r="H16" s="441"/>
      <c r="I16" s="17">
        <f t="shared" si="1"/>
      </c>
      <c r="J16" s="321"/>
      <c r="K16" s="17">
        <f t="shared" si="2"/>
      </c>
      <c r="L16" s="17">
        <f t="shared" si="3"/>
      </c>
      <c r="M16" s="18">
        <f t="shared" si="0"/>
      </c>
      <c r="N16" s="22">
        <v>4</v>
      </c>
      <c r="O16" s="372">
        <v>8</v>
      </c>
    </row>
    <row r="17" spans="1:15" ht="30.75" customHeight="1">
      <c r="A17" s="26">
        <v>5</v>
      </c>
      <c r="B17" s="805"/>
      <c r="C17" s="806"/>
      <c r="D17" s="806"/>
      <c r="E17" s="355"/>
      <c r="F17" s="315"/>
      <c r="G17" s="402"/>
      <c r="H17" s="441"/>
      <c r="I17" s="17">
        <f t="shared" si="1"/>
      </c>
      <c r="J17" s="321"/>
      <c r="K17" s="17">
        <f t="shared" si="2"/>
      </c>
      <c r="L17" s="17">
        <f t="shared" si="3"/>
      </c>
      <c r="M17" s="18">
        <f t="shared" si="0"/>
      </c>
      <c r="N17" s="21">
        <v>5</v>
      </c>
      <c r="O17" s="372">
        <v>8</v>
      </c>
    </row>
    <row r="18" spans="1:15" ht="30.75" customHeight="1">
      <c r="A18" s="26">
        <v>6</v>
      </c>
      <c r="B18" s="805"/>
      <c r="C18" s="806"/>
      <c r="D18" s="806"/>
      <c r="E18" s="355"/>
      <c r="F18" s="315"/>
      <c r="G18" s="402"/>
      <c r="H18" s="441"/>
      <c r="I18" s="17">
        <f t="shared" si="1"/>
      </c>
      <c r="J18" s="321"/>
      <c r="K18" s="17">
        <f t="shared" si="2"/>
      </c>
      <c r="L18" s="17">
        <f t="shared" si="3"/>
      </c>
      <c r="M18" s="18">
        <f t="shared" si="0"/>
      </c>
      <c r="N18" s="22">
        <v>6</v>
      </c>
      <c r="O18" s="372">
        <v>8</v>
      </c>
    </row>
    <row r="19" spans="1:15" ht="30.75" customHeight="1">
      <c r="A19" s="26">
        <v>7</v>
      </c>
      <c r="B19" s="805"/>
      <c r="C19" s="806"/>
      <c r="D19" s="806"/>
      <c r="E19" s="355"/>
      <c r="F19" s="356"/>
      <c r="G19" s="402"/>
      <c r="H19" s="441"/>
      <c r="I19" s="17">
        <f t="shared" si="1"/>
      </c>
      <c r="J19" s="321"/>
      <c r="K19" s="17">
        <f t="shared" si="2"/>
      </c>
      <c r="L19" s="17">
        <f t="shared" si="3"/>
      </c>
      <c r="M19" s="18">
        <f t="shared" si="0"/>
      </c>
      <c r="N19" s="21">
        <v>7</v>
      </c>
      <c r="O19" s="372">
        <v>8</v>
      </c>
    </row>
    <row r="20" spans="1:15" ht="30.75" customHeight="1">
      <c r="A20" s="26">
        <v>8</v>
      </c>
      <c r="B20" s="805"/>
      <c r="C20" s="806"/>
      <c r="D20" s="806"/>
      <c r="E20" s="355"/>
      <c r="F20" s="315"/>
      <c r="G20" s="402"/>
      <c r="H20" s="441"/>
      <c r="I20" s="17">
        <f t="shared" si="1"/>
      </c>
      <c r="J20" s="321"/>
      <c r="K20" s="17">
        <f t="shared" si="2"/>
      </c>
      <c r="L20" s="17">
        <f t="shared" si="3"/>
      </c>
      <c r="M20" s="18">
        <f t="shared" si="0"/>
      </c>
      <c r="N20" s="22">
        <v>8</v>
      </c>
      <c r="O20" s="372">
        <v>8</v>
      </c>
    </row>
    <row r="21" spans="1:15" ht="30.75" customHeight="1">
      <c r="A21" s="26">
        <v>9</v>
      </c>
      <c r="B21" s="805"/>
      <c r="C21" s="806"/>
      <c r="D21" s="806"/>
      <c r="E21" s="355"/>
      <c r="F21" s="315"/>
      <c r="G21" s="402"/>
      <c r="H21" s="441"/>
      <c r="I21" s="17">
        <f t="shared" si="1"/>
      </c>
      <c r="J21" s="321"/>
      <c r="K21" s="17">
        <f t="shared" si="2"/>
      </c>
      <c r="L21" s="17">
        <f t="shared" si="3"/>
      </c>
      <c r="M21" s="18">
        <f t="shared" si="0"/>
      </c>
      <c r="N21" s="21">
        <v>9</v>
      </c>
      <c r="O21" s="372">
        <v>8</v>
      </c>
    </row>
    <row r="22" spans="1:15" ht="30.75" customHeight="1">
      <c r="A22" s="26">
        <v>10</v>
      </c>
      <c r="B22" s="805"/>
      <c r="C22" s="806"/>
      <c r="D22" s="806"/>
      <c r="E22" s="355"/>
      <c r="F22" s="315"/>
      <c r="G22" s="402"/>
      <c r="H22" s="441"/>
      <c r="I22" s="17">
        <f t="shared" si="1"/>
      </c>
      <c r="J22" s="321"/>
      <c r="K22" s="17">
        <f t="shared" si="2"/>
      </c>
      <c r="L22" s="17">
        <f t="shared" si="3"/>
      </c>
      <c r="M22" s="18">
        <f t="shared" si="0"/>
      </c>
      <c r="N22" s="22">
        <v>10</v>
      </c>
      <c r="O22" s="372">
        <v>8</v>
      </c>
    </row>
    <row r="23" spans="1:15" ht="30.75" customHeight="1">
      <c r="A23" s="26">
        <v>11</v>
      </c>
      <c r="B23" s="805"/>
      <c r="C23" s="806"/>
      <c r="D23" s="806"/>
      <c r="E23" s="355"/>
      <c r="F23" s="315"/>
      <c r="G23" s="402"/>
      <c r="H23" s="441"/>
      <c r="I23" s="17">
        <f t="shared" si="1"/>
      </c>
      <c r="J23" s="321"/>
      <c r="K23" s="17">
        <f t="shared" si="2"/>
      </c>
      <c r="L23" s="17">
        <f t="shared" si="3"/>
      </c>
      <c r="M23" s="18">
        <f t="shared" si="0"/>
      </c>
      <c r="N23" s="21">
        <v>11</v>
      </c>
      <c r="O23" s="372">
        <v>8</v>
      </c>
    </row>
    <row r="24" spans="1:15" ht="30.75" customHeight="1">
      <c r="A24" s="26">
        <v>12</v>
      </c>
      <c r="B24" s="805"/>
      <c r="C24" s="806"/>
      <c r="D24" s="806"/>
      <c r="E24" s="355"/>
      <c r="F24" s="315"/>
      <c r="G24" s="402"/>
      <c r="H24" s="441"/>
      <c r="I24" s="17">
        <f t="shared" si="1"/>
      </c>
      <c r="J24" s="321"/>
      <c r="K24" s="17">
        <f t="shared" si="2"/>
      </c>
      <c r="L24" s="17">
        <f t="shared" si="3"/>
      </c>
      <c r="M24" s="18">
        <f t="shared" si="0"/>
      </c>
      <c r="N24" s="22">
        <v>12</v>
      </c>
      <c r="O24" s="372">
        <v>8</v>
      </c>
    </row>
    <row r="25" spans="1:15" ht="30.75" customHeight="1">
      <c r="A25" s="26">
        <v>13</v>
      </c>
      <c r="B25" s="805"/>
      <c r="C25" s="806"/>
      <c r="D25" s="806"/>
      <c r="E25" s="355"/>
      <c r="F25" s="315"/>
      <c r="G25" s="402"/>
      <c r="H25" s="441"/>
      <c r="I25" s="17">
        <f t="shared" si="1"/>
      </c>
      <c r="J25" s="321"/>
      <c r="K25" s="17">
        <f t="shared" si="2"/>
      </c>
      <c r="L25" s="17">
        <f t="shared" si="3"/>
      </c>
      <c r="M25" s="18">
        <f t="shared" si="0"/>
      </c>
      <c r="N25" s="21">
        <v>13</v>
      </c>
      <c r="O25" s="372">
        <v>8</v>
      </c>
    </row>
    <row r="26" spans="1:15" ht="30.75" customHeight="1">
      <c r="A26" s="26">
        <v>14</v>
      </c>
      <c r="B26" s="805"/>
      <c r="C26" s="806"/>
      <c r="D26" s="806"/>
      <c r="E26" s="357"/>
      <c r="F26" s="315"/>
      <c r="G26" s="402"/>
      <c r="H26" s="441"/>
      <c r="I26" s="17">
        <f t="shared" si="1"/>
      </c>
      <c r="J26" s="321"/>
      <c r="K26" s="17">
        <f t="shared" si="2"/>
      </c>
      <c r="L26" s="17">
        <f t="shared" si="3"/>
      </c>
      <c r="M26" s="18">
        <f t="shared" si="0"/>
      </c>
      <c r="N26" s="22">
        <v>14</v>
      </c>
      <c r="O26" s="372">
        <v>8</v>
      </c>
    </row>
    <row r="27" spans="1:15" ht="30.75" customHeight="1">
      <c r="A27" s="26">
        <v>15</v>
      </c>
      <c r="B27" s="805"/>
      <c r="C27" s="806"/>
      <c r="D27" s="806"/>
      <c r="E27" s="357"/>
      <c r="F27" s="315"/>
      <c r="G27" s="402"/>
      <c r="H27" s="441"/>
      <c r="I27" s="17">
        <f t="shared" si="1"/>
      </c>
      <c r="J27" s="321"/>
      <c r="K27" s="17">
        <f t="shared" si="2"/>
      </c>
      <c r="L27" s="17">
        <f t="shared" si="3"/>
      </c>
      <c r="M27" s="18">
        <f t="shared" si="0"/>
      </c>
      <c r="N27" s="21">
        <v>15</v>
      </c>
      <c r="O27" s="372">
        <v>8</v>
      </c>
    </row>
    <row r="28" spans="1:15" ht="30.75" customHeight="1">
      <c r="A28" s="26">
        <v>16</v>
      </c>
      <c r="B28" s="805"/>
      <c r="C28" s="806"/>
      <c r="D28" s="806"/>
      <c r="E28" s="355"/>
      <c r="F28" s="315"/>
      <c r="G28" s="402"/>
      <c r="H28" s="441"/>
      <c r="I28" s="17">
        <f t="shared" si="1"/>
      </c>
      <c r="J28" s="321"/>
      <c r="K28" s="17">
        <f t="shared" si="2"/>
      </c>
      <c r="L28" s="17">
        <f t="shared" si="3"/>
      </c>
      <c r="M28" s="18">
        <f t="shared" si="0"/>
      </c>
      <c r="N28" s="22">
        <v>16</v>
      </c>
      <c r="O28" s="372">
        <v>8</v>
      </c>
    </row>
    <row r="29" spans="1:15" ht="30.75" customHeight="1">
      <c r="A29" s="26">
        <v>17</v>
      </c>
      <c r="B29" s="805"/>
      <c r="C29" s="806"/>
      <c r="D29" s="806"/>
      <c r="E29" s="355"/>
      <c r="F29" s="315"/>
      <c r="G29" s="402"/>
      <c r="H29" s="441"/>
      <c r="I29" s="17">
        <f t="shared" si="1"/>
      </c>
      <c r="J29" s="321"/>
      <c r="K29" s="17">
        <f t="shared" si="2"/>
      </c>
      <c r="L29" s="17">
        <f t="shared" si="3"/>
      </c>
      <c r="M29" s="18">
        <f t="shared" si="0"/>
      </c>
      <c r="N29" s="21">
        <v>17</v>
      </c>
      <c r="O29" s="372">
        <v>8</v>
      </c>
    </row>
    <row r="30" spans="1:15" ht="30.75" customHeight="1">
      <c r="A30" s="26">
        <v>18</v>
      </c>
      <c r="B30" s="805"/>
      <c r="C30" s="806"/>
      <c r="D30" s="806"/>
      <c r="E30" s="355"/>
      <c r="F30" s="315"/>
      <c r="G30" s="402"/>
      <c r="H30" s="441"/>
      <c r="I30" s="17">
        <f t="shared" si="1"/>
      </c>
      <c r="J30" s="321"/>
      <c r="K30" s="17">
        <f t="shared" si="2"/>
      </c>
      <c r="L30" s="17">
        <f t="shared" si="3"/>
      </c>
      <c r="M30" s="18">
        <f t="shared" si="0"/>
      </c>
      <c r="N30" s="22">
        <v>18</v>
      </c>
      <c r="O30" s="372">
        <v>8</v>
      </c>
    </row>
    <row r="31" spans="1:15" ht="30.75" customHeight="1">
      <c r="A31" s="26">
        <v>19</v>
      </c>
      <c r="B31" s="805"/>
      <c r="C31" s="806"/>
      <c r="D31" s="806"/>
      <c r="E31" s="357"/>
      <c r="F31" s="315"/>
      <c r="G31" s="402"/>
      <c r="H31" s="441"/>
      <c r="I31" s="17">
        <f t="shared" si="1"/>
      </c>
      <c r="J31" s="321"/>
      <c r="K31" s="17">
        <f t="shared" si="2"/>
      </c>
      <c r="L31" s="17">
        <f t="shared" si="3"/>
      </c>
      <c r="M31" s="18">
        <f t="shared" si="0"/>
      </c>
      <c r="N31" s="21">
        <v>19</v>
      </c>
      <c r="O31" s="372">
        <v>8</v>
      </c>
    </row>
    <row r="32" spans="1:15" ht="30.75" customHeight="1" thickBot="1">
      <c r="A32" s="41">
        <v>20</v>
      </c>
      <c r="B32" s="824"/>
      <c r="C32" s="825"/>
      <c r="D32" s="825"/>
      <c r="E32" s="358"/>
      <c r="F32" s="323"/>
      <c r="G32" s="455"/>
      <c r="H32" s="442"/>
      <c r="I32" s="43">
        <f t="shared" si="1"/>
      </c>
      <c r="J32" s="320"/>
      <c r="K32" s="42">
        <f t="shared" si="2"/>
      </c>
      <c r="L32" s="42">
        <f t="shared" si="3"/>
      </c>
      <c r="M32" s="43">
        <f t="shared" si="0"/>
      </c>
      <c r="N32" s="44">
        <v>20</v>
      </c>
      <c r="O32" s="373">
        <v>8</v>
      </c>
    </row>
    <row r="33" spans="1:14" ht="21" customHeight="1" thickBot="1">
      <c r="A33" s="827" t="s">
        <v>16</v>
      </c>
      <c r="B33" s="828"/>
      <c r="C33" s="828"/>
      <c r="D33" s="828"/>
      <c r="E33" s="828"/>
      <c r="F33" s="828"/>
      <c r="G33" s="828"/>
      <c r="H33" s="828"/>
      <c r="I33" s="828"/>
      <c r="J33" s="329"/>
      <c r="K33" s="45">
        <f>SUM(K13:K32)</f>
        <v>955800</v>
      </c>
      <c r="L33" s="45">
        <f>SUM(L13:L32)</f>
        <v>885000</v>
      </c>
      <c r="M33" s="46">
        <f>SUM(M13:M32)</f>
        <v>885000</v>
      </c>
      <c r="N33" s="23"/>
    </row>
    <row r="34" spans="1:14" ht="23.25" customHeight="1">
      <c r="A34" s="348"/>
      <c r="N34" s="20"/>
    </row>
    <row r="35" spans="1:14" ht="23.25" customHeight="1">
      <c r="A35" s="348"/>
      <c r="B35" s="3" t="s">
        <v>838</v>
      </c>
      <c r="D35" s="348"/>
      <c r="E35" s="342"/>
      <c r="N35" s="20"/>
    </row>
    <row r="36" spans="2:5" ht="23.25" customHeight="1">
      <c r="B36" s="3" t="s">
        <v>839</v>
      </c>
      <c r="E36" s="342"/>
    </row>
    <row r="37" spans="2:5" ht="23.25" customHeight="1">
      <c r="B37" s="3" t="s">
        <v>840</v>
      </c>
      <c r="E37" s="342"/>
    </row>
    <row r="38" spans="2:5" ht="23.25" customHeight="1">
      <c r="B38" s="3" t="s">
        <v>841</v>
      </c>
      <c r="E38" s="342"/>
    </row>
  </sheetData>
  <sheetProtection sheet="1" objects="1" scenarios="1"/>
  <mergeCells count="27">
    <mergeCell ref="A4:E4"/>
    <mergeCell ref="A11:A12"/>
    <mergeCell ref="B11:D11"/>
    <mergeCell ref="K11:L11"/>
    <mergeCell ref="N11:N12"/>
    <mergeCell ref="O11:O12"/>
    <mergeCell ref="B13:D13"/>
    <mergeCell ref="B14:D14"/>
    <mergeCell ref="B15:D15"/>
    <mergeCell ref="B16:D16"/>
    <mergeCell ref="B17:D17"/>
    <mergeCell ref="B18:D18"/>
    <mergeCell ref="B19:D19"/>
    <mergeCell ref="B20:D20"/>
    <mergeCell ref="B21:D21"/>
    <mergeCell ref="B22:D22"/>
    <mergeCell ref="B23:D23"/>
    <mergeCell ref="B24:D24"/>
    <mergeCell ref="B31:D31"/>
    <mergeCell ref="B32:D32"/>
    <mergeCell ref="A33:I33"/>
    <mergeCell ref="B25:D25"/>
    <mergeCell ref="B26:D26"/>
    <mergeCell ref="B27:D27"/>
    <mergeCell ref="B28:D28"/>
    <mergeCell ref="B29:D29"/>
    <mergeCell ref="B30:D30"/>
  </mergeCells>
  <dataValidations count="2">
    <dataValidation allowBlank="1" showInputMessage="1" showErrorMessage="1" imeMode="halfAlpha" sqref="I13:M32"/>
    <dataValidation allowBlank="1" showInputMessage="1" showErrorMessage="1" imeMode="hiragana" sqref="L9"/>
  </dataValidations>
  <hyperlinks>
    <hyperlink ref="B2" location="経費明細表!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69" r:id="rId1"/>
</worksheet>
</file>

<file path=xl/worksheets/sheet14.xml><?xml version="1.0" encoding="utf-8"?>
<worksheet xmlns="http://schemas.openxmlformats.org/spreadsheetml/2006/main" xmlns:r="http://schemas.openxmlformats.org/officeDocument/2006/relationships">
  <sheetPr codeName="Sheet11">
    <tabColor rgb="FF92D050"/>
    <pageSetUpPr fitToPage="1"/>
  </sheetPr>
  <dimension ref="A1:R38"/>
  <sheetViews>
    <sheetView showGridLines="0" zoomScaleSheetLayoutView="80" zoomScalePageLayoutView="0" workbookViewId="0" topLeftCell="A1">
      <pane ySplit="3" topLeftCell="A4" activePane="bottomLeft" state="frozen"/>
      <selection pane="topLeft" activeCell="G15" sqref="G15:G32"/>
      <selection pane="bottomLeft" activeCell="A1" sqref="A1"/>
    </sheetView>
  </sheetViews>
  <sheetFormatPr defaultColWidth="9.140625" defaultRowHeight="15"/>
  <cols>
    <col min="1" max="4" width="3.7109375" style="3" customWidth="1"/>
    <col min="5" max="5" width="16.421875" style="327" customWidth="1"/>
    <col min="6" max="6" width="16.140625" style="327" customWidth="1"/>
    <col min="7" max="7" width="9.140625" style="3" customWidth="1"/>
    <col min="8" max="8" width="6.421875" style="3" customWidth="1"/>
    <col min="9" max="10" width="11.57421875" style="3" customWidth="1"/>
    <col min="11" max="13" width="15.140625" style="3" customWidth="1"/>
    <col min="14" max="15" width="3.8515625" style="8" customWidth="1"/>
    <col min="16" max="16" width="9.00390625" style="3" customWidth="1"/>
    <col min="17" max="17" width="15.140625" style="3" customWidth="1"/>
    <col min="18" max="16384" width="9.00390625" style="3" customWidth="1"/>
  </cols>
  <sheetData>
    <row r="1" spans="1:18" ht="13.5">
      <c r="A1" s="8"/>
      <c r="E1" s="343"/>
      <c r="H1" s="8"/>
      <c r="P1" s="8"/>
      <c r="Q1" s="344"/>
      <c r="R1" s="344"/>
    </row>
    <row r="2" spans="1:18" ht="13.5">
      <c r="A2" s="8"/>
      <c r="B2" s="404" t="s">
        <v>724</v>
      </c>
      <c r="E2" s="343"/>
      <c r="H2" s="8"/>
      <c r="P2" s="8"/>
      <c r="Q2" s="344"/>
      <c r="R2" s="344"/>
    </row>
    <row r="3" spans="1:18" ht="13.5">
      <c r="A3" s="8"/>
      <c r="E3" s="343"/>
      <c r="H3" s="8"/>
      <c r="P3" s="8"/>
      <c r="Q3" s="344"/>
      <c r="R3" s="344"/>
    </row>
    <row r="4" spans="1:6" ht="13.5" customHeight="1">
      <c r="A4" s="817" t="s">
        <v>18</v>
      </c>
      <c r="B4" s="817"/>
      <c r="C4" s="817"/>
      <c r="D4" s="817"/>
      <c r="E4" s="817"/>
      <c r="F4" s="8"/>
    </row>
    <row r="5" spans="1:14" ht="13.5" customHeight="1">
      <c r="A5" s="20"/>
      <c r="B5" s="20"/>
      <c r="C5" s="20"/>
      <c r="D5" s="20"/>
      <c r="E5" s="345"/>
      <c r="F5" s="8"/>
      <c r="N5" s="20"/>
    </row>
    <row r="6" spans="1:14" ht="13.5" customHeight="1">
      <c r="A6" s="20"/>
      <c r="B6" s="20" t="s">
        <v>19</v>
      </c>
      <c r="C6" s="345" t="s">
        <v>21</v>
      </c>
      <c r="D6" s="20"/>
      <c r="E6" s="345"/>
      <c r="F6" s="346" t="s">
        <v>17</v>
      </c>
      <c r="N6" s="20"/>
    </row>
    <row r="7" spans="1:14" ht="13.5" customHeight="1">
      <c r="A7" s="20"/>
      <c r="B7" s="20"/>
      <c r="C7" s="20"/>
      <c r="D7" s="20"/>
      <c r="E7" s="345"/>
      <c r="F7" s="403" t="s">
        <v>672</v>
      </c>
      <c r="N7" s="20"/>
    </row>
    <row r="8" spans="1:15" ht="13.5" customHeight="1">
      <c r="A8" s="20"/>
      <c r="B8" s="20"/>
      <c r="C8" s="20"/>
      <c r="D8" s="20"/>
      <c r="E8" s="345"/>
      <c r="F8" s="8"/>
      <c r="M8" s="3" t="s">
        <v>22</v>
      </c>
      <c r="N8" s="20"/>
      <c r="O8" s="347"/>
    </row>
    <row r="9" spans="1:14" ht="13.5" customHeight="1">
      <c r="A9" s="348"/>
      <c r="F9" s="8"/>
      <c r="K9" s="4" t="s">
        <v>39</v>
      </c>
      <c r="L9" s="12" t="str">
        <f>IF(OR('基本情報入力（使い方）'!C11="",'基本情報入力（使い方）'!C11=0),"",'基本情報入力（使い方）'!C11)</f>
        <v>Ｂ金属株式会社</v>
      </c>
      <c r="M9" s="349"/>
      <c r="N9" s="20"/>
    </row>
    <row r="10" spans="1:14" ht="13.5" customHeight="1" thickBot="1">
      <c r="A10" s="348"/>
      <c r="F10" s="8"/>
      <c r="N10" s="20"/>
    </row>
    <row r="11" spans="1:15" ht="27" customHeight="1">
      <c r="A11" s="818" t="s">
        <v>2</v>
      </c>
      <c r="B11" s="807" t="s">
        <v>3</v>
      </c>
      <c r="C11" s="807"/>
      <c r="D11" s="808"/>
      <c r="E11" s="5" t="s">
        <v>4</v>
      </c>
      <c r="F11" s="5" t="s">
        <v>5</v>
      </c>
      <c r="G11" s="5" t="s">
        <v>6</v>
      </c>
      <c r="H11" s="5" t="s">
        <v>7</v>
      </c>
      <c r="I11" s="5" t="s">
        <v>0</v>
      </c>
      <c r="J11" s="5" t="s">
        <v>0</v>
      </c>
      <c r="K11" s="826" t="s">
        <v>8</v>
      </c>
      <c r="L11" s="808"/>
      <c r="M11" s="5" t="s">
        <v>9</v>
      </c>
      <c r="N11" s="809" t="s">
        <v>2</v>
      </c>
      <c r="O11" s="811" t="s">
        <v>43</v>
      </c>
    </row>
    <row r="12" spans="1:15" ht="42" customHeight="1" thickBot="1">
      <c r="A12" s="819"/>
      <c r="B12" s="350" t="s">
        <v>10</v>
      </c>
      <c r="C12" s="350" t="s">
        <v>11</v>
      </c>
      <c r="D12" s="351" t="s">
        <v>12</v>
      </c>
      <c r="E12" s="352"/>
      <c r="F12" s="353"/>
      <c r="G12" s="328"/>
      <c r="H12" s="328"/>
      <c r="I12" s="328" t="s">
        <v>13</v>
      </c>
      <c r="J12" s="328" t="s">
        <v>27</v>
      </c>
      <c r="K12" s="328" t="s">
        <v>14</v>
      </c>
      <c r="L12" s="6" t="s">
        <v>25</v>
      </c>
      <c r="M12" s="328" t="s">
        <v>15</v>
      </c>
      <c r="N12" s="810"/>
      <c r="O12" s="812"/>
    </row>
    <row r="13" spans="1:15" ht="30.75" customHeight="1">
      <c r="A13" s="25">
        <v>1</v>
      </c>
      <c r="B13" s="813">
        <v>42689</v>
      </c>
      <c r="C13" s="814"/>
      <c r="D13" s="814"/>
      <c r="E13" s="354" t="s">
        <v>716</v>
      </c>
      <c r="F13" s="313" t="s">
        <v>717</v>
      </c>
      <c r="G13" s="453">
        <v>20</v>
      </c>
      <c r="H13" s="440" t="s">
        <v>718</v>
      </c>
      <c r="I13" s="17">
        <f>IF(J13="","",ROUNDDOWN(J13*(1+O13/100),0))</f>
        <v>54000</v>
      </c>
      <c r="J13" s="448">
        <v>50000</v>
      </c>
      <c r="K13" s="17">
        <f>IF(L13="","",ROUNDDOWN(L13*(1+O13/100),0))</f>
        <v>1080000</v>
      </c>
      <c r="L13" s="17">
        <f>IF(OR(J13="",G13=""),"",ROUNDDOWN(J13*G13,0))</f>
        <v>1000000</v>
      </c>
      <c r="M13" s="18">
        <f aca="true" t="shared" si="0" ref="M13:M32">L13</f>
        <v>1000000</v>
      </c>
      <c r="N13" s="21">
        <v>1</v>
      </c>
      <c r="O13" s="372">
        <v>8</v>
      </c>
    </row>
    <row r="14" spans="1:15" ht="30.75" customHeight="1">
      <c r="A14" s="26">
        <v>2</v>
      </c>
      <c r="B14" s="805"/>
      <c r="C14" s="806"/>
      <c r="D14" s="806"/>
      <c r="E14" s="355"/>
      <c r="F14" s="315"/>
      <c r="G14" s="402"/>
      <c r="H14" s="441"/>
      <c r="I14" s="17">
        <f aca="true" t="shared" si="1" ref="I14:I32">IF(J14="","",ROUNDDOWN(J14*(1+O14/100),0))</f>
      </c>
      <c r="J14" s="321"/>
      <c r="K14" s="17">
        <f aca="true" t="shared" si="2" ref="K14:K32">IF(L14="","",ROUNDDOWN(L14*(1+O14/100),0))</f>
      </c>
      <c r="L14" s="17">
        <f aca="true" t="shared" si="3" ref="L14:L32">IF(OR(J14="",G14=""),"",ROUNDDOWN(J14*G14,0))</f>
      </c>
      <c r="M14" s="18">
        <f t="shared" si="0"/>
      </c>
      <c r="N14" s="22">
        <v>2</v>
      </c>
      <c r="O14" s="372">
        <v>8</v>
      </c>
    </row>
    <row r="15" spans="1:15" ht="30.75" customHeight="1">
      <c r="A15" s="26">
        <v>3</v>
      </c>
      <c r="B15" s="805"/>
      <c r="C15" s="806"/>
      <c r="D15" s="806"/>
      <c r="E15" s="355"/>
      <c r="F15" s="315"/>
      <c r="G15" s="402"/>
      <c r="H15" s="441"/>
      <c r="I15" s="17">
        <f t="shared" si="1"/>
      </c>
      <c r="J15" s="321"/>
      <c r="K15" s="17">
        <f t="shared" si="2"/>
      </c>
      <c r="L15" s="17">
        <f t="shared" si="3"/>
      </c>
      <c r="M15" s="18">
        <f t="shared" si="0"/>
      </c>
      <c r="N15" s="21">
        <v>3</v>
      </c>
      <c r="O15" s="372">
        <v>8</v>
      </c>
    </row>
    <row r="16" spans="1:15" ht="30.75" customHeight="1">
      <c r="A16" s="26">
        <v>4</v>
      </c>
      <c r="B16" s="805"/>
      <c r="C16" s="806"/>
      <c r="D16" s="806"/>
      <c r="E16" s="355"/>
      <c r="F16" s="315"/>
      <c r="G16" s="402"/>
      <c r="H16" s="441"/>
      <c r="I16" s="17">
        <f t="shared" si="1"/>
      </c>
      <c r="J16" s="321"/>
      <c r="K16" s="17">
        <f t="shared" si="2"/>
      </c>
      <c r="L16" s="17">
        <f t="shared" si="3"/>
      </c>
      <c r="M16" s="18">
        <f t="shared" si="0"/>
      </c>
      <c r="N16" s="22">
        <v>4</v>
      </c>
      <c r="O16" s="372">
        <v>8</v>
      </c>
    </row>
    <row r="17" spans="1:15" ht="30.75" customHeight="1">
      <c r="A17" s="26">
        <v>5</v>
      </c>
      <c r="B17" s="805"/>
      <c r="C17" s="806"/>
      <c r="D17" s="806"/>
      <c r="E17" s="355"/>
      <c r="F17" s="315"/>
      <c r="G17" s="402"/>
      <c r="H17" s="441"/>
      <c r="I17" s="17">
        <f t="shared" si="1"/>
      </c>
      <c r="J17" s="321"/>
      <c r="K17" s="17">
        <f t="shared" si="2"/>
      </c>
      <c r="L17" s="17">
        <f t="shared" si="3"/>
      </c>
      <c r="M17" s="18">
        <f t="shared" si="0"/>
      </c>
      <c r="N17" s="21">
        <v>5</v>
      </c>
      <c r="O17" s="372">
        <v>8</v>
      </c>
    </row>
    <row r="18" spans="1:15" ht="30.75" customHeight="1">
      <c r="A18" s="26">
        <v>6</v>
      </c>
      <c r="B18" s="805"/>
      <c r="C18" s="806"/>
      <c r="D18" s="806"/>
      <c r="E18" s="355"/>
      <c r="F18" s="315"/>
      <c r="G18" s="402"/>
      <c r="H18" s="441"/>
      <c r="I18" s="17">
        <f t="shared" si="1"/>
      </c>
      <c r="J18" s="321"/>
      <c r="K18" s="17">
        <f t="shared" si="2"/>
      </c>
      <c r="L18" s="17">
        <f t="shared" si="3"/>
      </c>
      <c r="M18" s="18">
        <f t="shared" si="0"/>
      </c>
      <c r="N18" s="22">
        <v>6</v>
      </c>
      <c r="O18" s="372">
        <v>8</v>
      </c>
    </row>
    <row r="19" spans="1:15" ht="30.75" customHeight="1">
      <c r="A19" s="26">
        <v>7</v>
      </c>
      <c r="B19" s="805"/>
      <c r="C19" s="806"/>
      <c r="D19" s="806"/>
      <c r="E19" s="355"/>
      <c r="F19" s="356"/>
      <c r="G19" s="402"/>
      <c r="H19" s="441"/>
      <c r="I19" s="17">
        <f t="shared" si="1"/>
      </c>
      <c r="J19" s="321"/>
      <c r="K19" s="17">
        <f t="shared" si="2"/>
      </c>
      <c r="L19" s="17">
        <f t="shared" si="3"/>
      </c>
      <c r="M19" s="18">
        <f t="shared" si="0"/>
      </c>
      <c r="N19" s="21">
        <v>7</v>
      </c>
      <c r="O19" s="372">
        <v>8</v>
      </c>
    </row>
    <row r="20" spans="1:15" ht="30.75" customHeight="1">
      <c r="A20" s="26">
        <v>8</v>
      </c>
      <c r="B20" s="805"/>
      <c r="C20" s="806"/>
      <c r="D20" s="806"/>
      <c r="E20" s="355"/>
      <c r="F20" s="315"/>
      <c r="G20" s="402"/>
      <c r="H20" s="441"/>
      <c r="I20" s="17">
        <f t="shared" si="1"/>
      </c>
      <c r="J20" s="321"/>
      <c r="K20" s="17">
        <f t="shared" si="2"/>
      </c>
      <c r="L20" s="17">
        <f t="shared" si="3"/>
      </c>
      <c r="M20" s="18">
        <f t="shared" si="0"/>
      </c>
      <c r="N20" s="22">
        <v>8</v>
      </c>
      <c r="O20" s="372">
        <v>8</v>
      </c>
    </row>
    <row r="21" spans="1:15" ht="30.75" customHeight="1">
      <c r="A21" s="26">
        <v>9</v>
      </c>
      <c r="B21" s="805"/>
      <c r="C21" s="806"/>
      <c r="D21" s="806"/>
      <c r="E21" s="355"/>
      <c r="F21" s="315"/>
      <c r="G21" s="402"/>
      <c r="H21" s="441"/>
      <c r="I21" s="17">
        <f t="shared" si="1"/>
      </c>
      <c r="J21" s="321"/>
      <c r="K21" s="17">
        <f t="shared" si="2"/>
      </c>
      <c r="L21" s="17">
        <f t="shared" si="3"/>
      </c>
      <c r="M21" s="18">
        <f t="shared" si="0"/>
      </c>
      <c r="N21" s="21">
        <v>9</v>
      </c>
      <c r="O21" s="372">
        <v>8</v>
      </c>
    </row>
    <row r="22" spans="1:15" ht="30.75" customHeight="1">
      <c r="A22" s="26">
        <v>10</v>
      </c>
      <c r="B22" s="805"/>
      <c r="C22" s="806"/>
      <c r="D22" s="806"/>
      <c r="E22" s="355"/>
      <c r="F22" s="315"/>
      <c r="G22" s="402"/>
      <c r="H22" s="441"/>
      <c r="I22" s="17">
        <f t="shared" si="1"/>
      </c>
      <c r="J22" s="321"/>
      <c r="K22" s="17">
        <f t="shared" si="2"/>
      </c>
      <c r="L22" s="17">
        <f t="shared" si="3"/>
      </c>
      <c r="M22" s="18">
        <f t="shared" si="0"/>
      </c>
      <c r="N22" s="22">
        <v>10</v>
      </c>
      <c r="O22" s="372">
        <v>8</v>
      </c>
    </row>
    <row r="23" spans="1:15" ht="30.75" customHeight="1">
      <c r="A23" s="26">
        <v>11</v>
      </c>
      <c r="B23" s="805"/>
      <c r="C23" s="806"/>
      <c r="D23" s="806"/>
      <c r="E23" s="355"/>
      <c r="F23" s="315"/>
      <c r="G23" s="402"/>
      <c r="H23" s="441"/>
      <c r="I23" s="17">
        <f t="shared" si="1"/>
      </c>
      <c r="J23" s="321"/>
      <c r="K23" s="17">
        <f t="shared" si="2"/>
      </c>
      <c r="L23" s="17">
        <f t="shared" si="3"/>
      </c>
      <c r="M23" s="18">
        <f t="shared" si="0"/>
      </c>
      <c r="N23" s="21">
        <v>11</v>
      </c>
      <c r="O23" s="372">
        <v>8</v>
      </c>
    </row>
    <row r="24" spans="1:15" ht="30.75" customHeight="1">
      <c r="A24" s="26">
        <v>12</v>
      </c>
      <c r="B24" s="805"/>
      <c r="C24" s="806"/>
      <c r="D24" s="806"/>
      <c r="E24" s="355"/>
      <c r="F24" s="315"/>
      <c r="G24" s="402"/>
      <c r="H24" s="441"/>
      <c r="I24" s="17">
        <f t="shared" si="1"/>
      </c>
      <c r="J24" s="321"/>
      <c r="K24" s="17">
        <f t="shared" si="2"/>
      </c>
      <c r="L24" s="17">
        <f t="shared" si="3"/>
      </c>
      <c r="M24" s="18">
        <f t="shared" si="0"/>
      </c>
      <c r="N24" s="22">
        <v>12</v>
      </c>
      <c r="O24" s="372">
        <v>8</v>
      </c>
    </row>
    <row r="25" spans="1:15" ht="30.75" customHeight="1">
      <c r="A25" s="26">
        <v>13</v>
      </c>
      <c r="B25" s="805"/>
      <c r="C25" s="806"/>
      <c r="D25" s="806"/>
      <c r="E25" s="355"/>
      <c r="F25" s="315"/>
      <c r="G25" s="402"/>
      <c r="H25" s="441"/>
      <c r="I25" s="17">
        <f t="shared" si="1"/>
      </c>
      <c r="J25" s="321"/>
      <c r="K25" s="17">
        <f t="shared" si="2"/>
      </c>
      <c r="L25" s="17">
        <f t="shared" si="3"/>
      </c>
      <c r="M25" s="18">
        <f t="shared" si="0"/>
      </c>
      <c r="N25" s="21">
        <v>13</v>
      </c>
      <c r="O25" s="372">
        <v>8</v>
      </c>
    </row>
    <row r="26" spans="1:15" ht="30.75" customHeight="1">
      <c r="A26" s="26">
        <v>14</v>
      </c>
      <c r="B26" s="805"/>
      <c r="C26" s="806"/>
      <c r="D26" s="806"/>
      <c r="E26" s="357"/>
      <c r="F26" s="315"/>
      <c r="G26" s="402"/>
      <c r="H26" s="441"/>
      <c r="I26" s="17">
        <f t="shared" si="1"/>
      </c>
      <c r="J26" s="321"/>
      <c r="K26" s="17">
        <f t="shared" si="2"/>
      </c>
      <c r="L26" s="17">
        <f t="shared" si="3"/>
      </c>
      <c r="M26" s="18">
        <f t="shared" si="0"/>
      </c>
      <c r="N26" s="22">
        <v>14</v>
      </c>
      <c r="O26" s="372">
        <v>8</v>
      </c>
    </row>
    <row r="27" spans="1:15" ht="30.75" customHeight="1">
      <c r="A27" s="26">
        <v>15</v>
      </c>
      <c r="B27" s="805"/>
      <c r="C27" s="806"/>
      <c r="D27" s="806"/>
      <c r="E27" s="357"/>
      <c r="F27" s="315"/>
      <c r="G27" s="402"/>
      <c r="H27" s="441"/>
      <c r="I27" s="17">
        <f t="shared" si="1"/>
      </c>
      <c r="J27" s="321"/>
      <c r="K27" s="17">
        <f t="shared" si="2"/>
      </c>
      <c r="L27" s="17">
        <f t="shared" si="3"/>
      </c>
      <c r="M27" s="18">
        <f t="shared" si="0"/>
      </c>
      <c r="N27" s="21">
        <v>15</v>
      </c>
      <c r="O27" s="372">
        <v>8</v>
      </c>
    </row>
    <row r="28" spans="1:15" ht="30.75" customHeight="1">
      <c r="A28" s="26">
        <v>16</v>
      </c>
      <c r="B28" s="805"/>
      <c r="C28" s="806"/>
      <c r="D28" s="806"/>
      <c r="E28" s="355"/>
      <c r="F28" s="315"/>
      <c r="G28" s="402"/>
      <c r="H28" s="441"/>
      <c r="I28" s="17">
        <f t="shared" si="1"/>
      </c>
      <c r="J28" s="321"/>
      <c r="K28" s="17">
        <f t="shared" si="2"/>
      </c>
      <c r="L28" s="17">
        <f t="shared" si="3"/>
      </c>
      <c r="M28" s="18">
        <f t="shared" si="0"/>
      </c>
      <c r="N28" s="22">
        <v>16</v>
      </c>
      <c r="O28" s="372">
        <v>8</v>
      </c>
    </row>
    <row r="29" spans="1:15" ht="30.75" customHeight="1">
      <c r="A29" s="26">
        <v>17</v>
      </c>
      <c r="B29" s="805"/>
      <c r="C29" s="806"/>
      <c r="D29" s="806"/>
      <c r="E29" s="355"/>
      <c r="F29" s="315"/>
      <c r="G29" s="402"/>
      <c r="H29" s="441"/>
      <c r="I29" s="17">
        <f t="shared" si="1"/>
      </c>
      <c r="J29" s="321"/>
      <c r="K29" s="17">
        <f t="shared" si="2"/>
      </c>
      <c r="L29" s="17">
        <f t="shared" si="3"/>
      </c>
      <c r="M29" s="18">
        <f t="shared" si="0"/>
      </c>
      <c r="N29" s="21">
        <v>17</v>
      </c>
      <c r="O29" s="372">
        <v>8</v>
      </c>
    </row>
    <row r="30" spans="1:15" ht="30.75" customHeight="1">
      <c r="A30" s="26">
        <v>18</v>
      </c>
      <c r="B30" s="805"/>
      <c r="C30" s="806"/>
      <c r="D30" s="806"/>
      <c r="E30" s="355"/>
      <c r="F30" s="315"/>
      <c r="G30" s="402"/>
      <c r="H30" s="441"/>
      <c r="I30" s="17">
        <f t="shared" si="1"/>
      </c>
      <c r="J30" s="321"/>
      <c r="K30" s="17">
        <f t="shared" si="2"/>
      </c>
      <c r="L30" s="17">
        <f t="shared" si="3"/>
      </c>
      <c r="M30" s="18">
        <f t="shared" si="0"/>
      </c>
      <c r="N30" s="22">
        <v>18</v>
      </c>
      <c r="O30" s="372">
        <v>8</v>
      </c>
    </row>
    <row r="31" spans="1:15" ht="30.75" customHeight="1">
      <c r="A31" s="26">
        <v>19</v>
      </c>
      <c r="B31" s="805"/>
      <c r="C31" s="806"/>
      <c r="D31" s="806"/>
      <c r="E31" s="357"/>
      <c r="F31" s="315"/>
      <c r="G31" s="402"/>
      <c r="H31" s="441"/>
      <c r="I31" s="17">
        <f t="shared" si="1"/>
      </c>
      <c r="J31" s="321"/>
      <c r="K31" s="17">
        <f t="shared" si="2"/>
      </c>
      <c r="L31" s="17">
        <f t="shared" si="3"/>
      </c>
      <c r="M31" s="18">
        <f t="shared" si="0"/>
      </c>
      <c r="N31" s="21">
        <v>19</v>
      </c>
      <c r="O31" s="372">
        <v>8</v>
      </c>
    </row>
    <row r="32" spans="1:15" ht="30.75" customHeight="1" thickBot="1">
      <c r="A32" s="41">
        <v>20</v>
      </c>
      <c r="B32" s="824"/>
      <c r="C32" s="825"/>
      <c r="D32" s="825"/>
      <c r="E32" s="358"/>
      <c r="F32" s="323"/>
      <c r="G32" s="455"/>
      <c r="H32" s="442"/>
      <c r="I32" s="43">
        <f t="shared" si="1"/>
      </c>
      <c r="J32" s="320"/>
      <c r="K32" s="43">
        <f t="shared" si="2"/>
      </c>
      <c r="L32" s="42">
        <f t="shared" si="3"/>
      </c>
      <c r="M32" s="43">
        <f t="shared" si="0"/>
      </c>
      <c r="N32" s="44">
        <v>20</v>
      </c>
      <c r="O32" s="373">
        <v>8</v>
      </c>
    </row>
    <row r="33" spans="1:14" ht="21" customHeight="1" thickBot="1">
      <c r="A33" s="827" t="s">
        <v>16</v>
      </c>
      <c r="B33" s="828"/>
      <c r="C33" s="828"/>
      <c r="D33" s="828"/>
      <c r="E33" s="828"/>
      <c r="F33" s="828"/>
      <c r="G33" s="828"/>
      <c r="H33" s="828"/>
      <c r="I33" s="828"/>
      <c r="J33" s="329"/>
      <c r="K33" s="45">
        <f>SUM(K13:K32)</f>
        <v>1080000</v>
      </c>
      <c r="L33" s="45">
        <f>SUM(L13:L32)</f>
        <v>1000000</v>
      </c>
      <c r="M33" s="46">
        <f>SUM(M13:M32)</f>
        <v>1000000</v>
      </c>
      <c r="N33" s="23"/>
    </row>
    <row r="34" spans="1:14" ht="23.25" customHeight="1">
      <c r="A34" s="348"/>
      <c r="N34" s="20"/>
    </row>
    <row r="35" spans="1:14" ht="23.25" customHeight="1">
      <c r="A35" s="348"/>
      <c r="B35" s="3" t="s">
        <v>838</v>
      </c>
      <c r="D35" s="348"/>
      <c r="E35" s="342"/>
      <c r="N35" s="20"/>
    </row>
    <row r="36" spans="2:5" ht="23.25" customHeight="1">
      <c r="B36" s="3" t="s">
        <v>839</v>
      </c>
      <c r="E36" s="342"/>
    </row>
    <row r="37" spans="2:5" ht="23.25" customHeight="1">
      <c r="B37" s="3" t="s">
        <v>840</v>
      </c>
      <c r="E37" s="342"/>
    </row>
    <row r="38" spans="2:5" ht="23.25" customHeight="1">
      <c r="B38" s="3" t="s">
        <v>841</v>
      </c>
      <c r="E38" s="342"/>
    </row>
  </sheetData>
  <sheetProtection sheet="1" objects="1" scenarios="1"/>
  <mergeCells count="27">
    <mergeCell ref="A4:E4"/>
    <mergeCell ref="A11:A12"/>
    <mergeCell ref="B11:D11"/>
    <mergeCell ref="K11:L11"/>
    <mergeCell ref="N11:N12"/>
    <mergeCell ref="O11:O12"/>
    <mergeCell ref="B13:D13"/>
    <mergeCell ref="B14:D14"/>
    <mergeCell ref="B15:D15"/>
    <mergeCell ref="B16:D16"/>
    <mergeCell ref="B17:D17"/>
    <mergeCell ref="B18:D18"/>
    <mergeCell ref="B19:D19"/>
    <mergeCell ref="B20:D20"/>
    <mergeCell ref="B21:D21"/>
    <mergeCell ref="B22:D22"/>
    <mergeCell ref="B23:D23"/>
    <mergeCell ref="B24:D24"/>
    <mergeCell ref="B31:D31"/>
    <mergeCell ref="B32:D32"/>
    <mergeCell ref="A33:I33"/>
    <mergeCell ref="B25:D25"/>
    <mergeCell ref="B26:D26"/>
    <mergeCell ref="B27:D27"/>
    <mergeCell ref="B28:D28"/>
    <mergeCell ref="B29:D29"/>
    <mergeCell ref="B30:D30"/>
  </mergeCells>
  <dataValidations count="2">
    <dataValidation allowBlank="1" showInputMessage="1" showErrorMessage="1" imeMode="halfAlpha" sqref="I13:M32"/>
    <dataValidation allowBlank="1" showInputMessage="1" showErrorMessage="1" imeMode="hiragana" sqref="L9"/>
  </dataValidations>
  <hyperlinks>
    <hyperlink ref="B2" location="経費明細表!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68" r:id="rId1"/>
</worksheet>
</file>

<file path=xl/worksheets/sheet15.xml><?xml version="1.0" encoding="utf-8"?>
<worksheet xmlns="http://schemas.openxmlformats.org/spreadsheetml/2006/main" xmlns:r="http://schemas.openxmlformats.org/officeDocument/2006/relationships">
  <sheetPr codeName="Sheet10">
    <tabColor rgb="FF92D050"/>
    <pageSetUpPr fitToPage="1"/>
  </sheetPr>
  <dimension ref="A1:R38"/>
  <sheetViews>
    <sheetView showGridLines="0" zoomScaleSheetLayoutView="80" zoomScalePageLayoutView="0" workbookViewId="0" topLeftCell="A1">
      <pane ySplit="3" topLeftCell="A4" activePane="bottomLeft" state="frozen"/>
      <selection pane="topLeft" activeCell="G15" sqref="G15:G32"/>
      <selection pane="bottomLeft" activeCell="A1" sqref="A1"/>
    </sheetView>
  </sheetViews>
  <sheetFormatPr defaultColWidth="9.140625" defaultRowHeight="15"/>
  <cols>
    <col min="1" max="4" width="3.7109375" style="3" customWidth="1"/>
    <col min="5" max="5" width="16.421875" style="327" customWidth="1"/>
    <col min="6" max="6" width="16.140625" style="327" customWidth="1"/>
    <col min="7" max="7" width="9.140625" style="3" customWidth="1"/>
    <col min="8" max="8" width="6.421875" style="3" customWidth="1"/>
    <col min="9" max="10" width="11.57421875" style="3" customWidth="1"/>
    <col min="11" max="13" width="15.140625" style="3" customWidth="1"/>
    <col min="14" max="15" width="3.8515625" style="8" customWidth="1"/>
    <col min="16" max="16" width="9.00390625" style="3" customWidth="1"/>
    <col min="17" max="17" width="15.140625" style="3" customWidth="1"/>
    <col min="18" max="16384" width="9.00390625" style="3" customWidth="1"/>
  </cols>
  <sheetData>
    <row r="1" spans="1:18" ht="13.5">
      <c r="A1" s="8"/>
      <c r="E1" s="343"/>
      <c r="H1" s="8"/>
      <c r="P1" s="8"/>
      <c r="Q1" s="344"/>
      <c r="R1" s="344"/>
    </row>
    <row r="2" spans="1:18" ht="13.5">
      <c r="A2" s="8"/>
      <c r="B2" s="404" t="s">
        <v>724</v>
      </c>
      <c r="E2" s="343"/>
      <c r="H2" s="8"/>
      <c r="P2" s="8"/>
      <c r="Q2" s="344"/>
      <c r="R2" s="344"/>
    </row>
    <row r="3" spans="1:18" ht="13.5">
      <c r="A3" s="8"/>
      <c r="E3" s="343"/>
      <c r="H3" s="8"/>
      <c r="P3" s="8"/>
      <c r="Q3" s="344"/>
      <c r="R3" s="344"/>
    </row>
    <row r="4" spans="1:6" ht="13.5" customHeight="1">
      <c r="A4" s="817" t="s">
        <v>18</v>
      </c>
      <c r="B4" s="817"/>
      <c r="C4" s="817"/>
      <c r="D4" s="817"/>
      <c r="E4" s="817"/>
      <c r="F4" s="8"/>
    </row>
    <row r="5" spans="1:14" ht="13.5" customHeight="1">
      <c r="A5" s="20"/>
      <c r="B5" s="20"/>
      <c r="C5" s="20"/>
      <c r="D5" s="20"/>
      <c r="E5" s="345"/>
      <c r="F5" s="8"/>
      <c r="N5" s="20"/>
    </row>
    <row r="6" spans="1:14" ht="13.5" customHeight="1">
      <c r="A6" s="20"/>
      <c r="B6" s="20" t="s">
        <v>19</v>
      </c>
      <c r="C6" s="345" t="s">
        <v>21</v>
      </c>
      <c r="D6" s="20"/>
      <c r="E6" s="345"/>
      <c r="F6" s="346" t="s">
        <v>17</v>
      </c>
      <c r="N6" s="20"/>
    </row>
    <row r="7" spans="1:14" ht="13.5" customHeight="1">
      <c r="A7" s="20"/>
      <c r="B7" s="20"/>
      <c r="C7" s="20"/>
      <c r="D7" s="20"/>
      <c r="E7" s="345"/>
      <c r="F7" s="403" t="s">
        <v>673</v>
      </c>
      <c r="N7" s="20"/>
    </row>
    <row r="8" spans="1:15" ht="13.5" customHeight="1">
      <c r="A8" s="20"/>
      <c r="B8" s="20"/>
      <c r="C8" s="20"/>
      <c r="D8" s="20"/>
      <c r="E8" s="345"/>
      <c r="F8" s="8"/>
      <c r="M8" s="3" t="s">
        <v>22</v>
      </c>
      <c r="N8" s="20"/>
      <c r="O8" s="347"/>
    </row>
    <row r="9" spans="1:14" ht="13.5" customHeight="1">
      <c r="A9" s="348"/>
      <c r="F9" s="8"/>
      <c r="K9" s="4" t="s">
        <v>39</v>
      </c>
      <c r="L9" s="12" t="str">
        <f>IF(OR('基本情報入力（使い方）'!C11="",'基本情報入力（使い方）'!C11=0),"",'基本情報入力（使い方）'!C11)</f>
        <v>Ｂ金属株式会社</v>
      </c>
      <c r="M9" s="349"/>
      <c r="N9" s="20"/>
    </row>
    <row r="10" spans="1:14" ht="13.5" customHeight="1" thickBot="1">
      <c r="A10" s="348"/>
      <c r="F10" s="8"/>
      <c r="N10" s="20"/>
    </row>
    <row r="11" spans="1:15" ht="27" customHeight="1">
      <c r="A11" s="818" t="s">
        <v>2</v>
      </c>
      <c r="B11" s="807" t="s">
        <v>3</v>
      </c>
      <c r="C11" s="807"/>
      <c r="D11" s="808"/>
      <c r="E11" s="5" t="s">
        <v>4</v>
      </c>
      <c r="F11" s="5" t="s">
        <v>5</v>
      </c>
      <c r="G11" s="5" t="s">
        <v>6</v>
      </c>
      <c r="H11" s="5" t="s">
        <v>7</v>
      </c>
      <c r="I11" s="5" t="s">
        <v>0</v>
      </c>
      <c r="J11" s="5" t="s">
        <v>0</v>
      </c>
      <c r="K11" s="826" t="s">
        <v>8</v>
      </c>
      <c r="L11" s="808"/>
      <c r="M11" s="5" t="s">
        <v>9</v>
      </c>
      <c r="N11" s="809" t="s">
        <v>2</v>
      </c>
      <c r="O11" s="811" t="s">
        <v>43</v>
      </c>
    </row>
    <row r="12" spans="1:15" ht="42" customHeight="1" thickBot="1">
      <c r="A12" s="819"/>
      <c r="B12" s="350" t="s">
        <v>10</v>
      </c>
      <c r="C12" s="350" t="s">
        <v>11</v>
      </c>
      <c r="D12" s="351" t="s">
        <v>12</v>
      </c>
      <c r="E12" s="352"/>
      <c r="F12" s="353"/>
      <c r="G12" s="328"/>
      <c r="H12" s="328"/>
      <c r="I12" s="328" t="s">
        <v>13</v>
      </c>
      <c r="J12" s="328" t="s">
        <v>27</v>
      </c>
      <c r="K12" s="328" t="s">
        <v>14</v>
      </c>
      <c r="L12" s="6" t="s">
        <v>25</v>
      </c>
      <c r="M12" s="328" t="s">
        <v>15</v>
      </c>
      <c r="N12" s="810"/>
      <c r="O12" s="812"/>
    </row>
    <row r="13" spans="1:15" ht="30.75" customHeight="1">
      <c r="A13" s="25">
        <v>1</v>
      </c>
      <c r="B13" s="813">
        <v>42643</v>
      </c>
      <c r="C13" s="814"/>
      <c r="D13" s="814"/>
      <c r="E13" s="354" t="s">
        <v>719</v>
      </c>
      <c r="F13" s="314" t="s">
        <v>720</v>
      </c>
      <c r="G13" s="453">
        <v>1</v>
      </c>
      <c r="H13" s="440" t="s">
        <v>708</v>
      </c>
      <c r="I13" s="17">
        <f>IF(J13="","",ROUNDDOWN(J13*(1+O13/100),0))</f>
        <v>108000</v>
      </c>
      <c r="J13" s="447">
        <v>100000</v>
      </c>
      <c r="K13" s="17">
        <f>IF(L13="","",ROUNDDOWN(L13*(1+O13/100),0))</f>
        <v>108000</v>
      </c>
      <c r="L13" s="17">
        <f>IF(OR(J13="",G13=""),"",ROUNDDOWN(J13*G13,0))</f>
        <v>100000</v>
      </c>
      <c r="M13" s="18">
        <f aca="true" t="shared" si="0" ref="M13:M32">L13</f>
        <v>100000</v>
      </c>
      <c r="N13" s="21">
        <v>1</v>
      </c>
      <c r="O13" s="372">
        <v>8</v>
      </c>
    </row>
    <row r="14" spans="1:15" ht="30.75" customHeight="1">
      <c r="A14" s="26">
        <v>2</v>
      </c>
      <c r="B14" s="805">
        <v>42674</v>
      </c>
      <c r="C14" s="806"/>
      <c r="D14" s="806"/>
      <c r="E14" s="354" t="s">
        <v>719</v>
      </c>
      <c r="F14" s="315" t="s">
        <v>721</v>
      </c>
      <c r="G14" s="453">
        <v>1</v>
      </c>
      <c r="H14" s="440" t="s">
        <v>20</v>
      </c>
      <c r="I14" s="17">
        <f aca="true" t="shared" si="1" ref="I14:I32">IF(J14="","",ROUNDDOWN(J14*(1+O14/100),0))</f>
        <v>54000</v>
      </c>
      <c r="J14" s="447">
        <v>50000</v>
      </c>
      <c r="K14" s="17">
        <f aca="true" t="shared" si="2" ref="K14:K32">IF(L14="","",ROUNDDOWN(L14*(1+O14/100),0))</f>
        <v>54000</v>
      </c>
      <c r="L14" s="17">
        <f aca="true" t="shared" si="3" ref="L14:L32">IF(OR(J14="",G14=""),"",ROUNDDOWN(J14*G14,0))</f>
        <v>50000</v>
      </c>
      <c r="M14" s="18">
        <f t="shared" si="0"/>
        <v>50000</v>
      </c>
      <c r="N14" s="22">
        <v>2</v>
      </c>
      <c r="O14" s="372">
        <v>8</v>
      </c>
    </row>
    <row r="15" spans="1:15" ht="30.75" customHeight="1">
      <c r="A15" s="26">
        <v>3</v>
      </c>
      <c r="B15" s="805">
        <v>42674</v>
      </c>
      <c r="C15" s="806"/>
      <c r="D15" s="806"/>
      <c r="E15" s="354" t="s">
        <v>719</v>
      </c>
      <c r="F15" s="315" t="s">
        <v>722</v>
      </c>
      <c r="G15" s="453">
        <v>20</v>
      </c>
      <c r="H15" s="440" t="s">
        <v>723</v>
      </c>
      <c r="I15" s="17">
        <f t="shared" si="1"/>
        <v>5400</v>
      </c>
      <c r="J15" s="447">
        <v>5000</v>
      </c>
      <c r="K15" s="17">
        <f t="shared" si="2"/>
        <v>108000</v>
      </c>
      <c r="L15" s="17">
        <f t="shared" si="3"/>
        <v>100000</v>
      </c>
      <c r="M15" s="18">
        <f t="shared" si="0"/>
        <v>100000</v>
      </c>
      <c r="N15" s="21">
        <v>3</v>
      </c>
      <c r="O15" s="372">
        <v>8</v>
      </c>
    </row>
    <row r="16" spans="1:15" ht="30.75" customHeight="1">
      <c r="A16" s="26">
        <v>4</v>
      </c>
      <c r="B16" s="805"/>
      <c r="C16" s="806"/>
      <c r="D16" s="806"/>
      <c r="E16" s="355"/>
      <c r="F16" s="315"/>
      <c r="G16" s="453"/>
      <c r="H16" s="441"/>
      <c r="I16" s="17">
        <f t="shared" si="1"/>
      </c>
      <c r="J16" s="321"/>
      <c r="K16" s="17">
        <f t="shared" si="2"/>
      </c>
      <c r="L16" s="17">
        <f t="shared" si="3"/>
      </c>
      <c r="M16" s="18">
        <f t="shared" si="0"/>
      </c>
      <c r="N16" s="22">
        <v>4</v>
      </c>
      <c r="O16" s="372">
        <v>8</v>
      </c>
    </row>
    <row r="17" spans="1:15" ht="30.75" customHeight="1">
      <c r="A17" s="26">
        <v>5</v>
      </c>
      <c r="B17" s="805"/>
      <c r="C17" s="806"/>
      <c r="D17" s="806"/>
      <c r="E17" s="355"/>
      <c r="F17" s="315"/>
      <c r="G17" s="453"/>
      <c r="H17" s="441"/>
      <c r="I17" s="17">
        <f t="shared" si="1"/>
      </c>
      <c r="J17" s="321"/>
      <c r="K17" s="17">
        <f t="shared" si="2"/>
      </c>
      <c r="L17" s="17">
        <f t="shared" si="3"/>
      </c>
      <c r="M17" s="18">
        <f t="shared" si="0"/>
      </c>
      <c r="N17" s="21">
        <v>5</v>
      </c>
      <c r="O17" s="372">
        <v>8</v>
      </c>
    </row>
    <row r="18" spans="1:15" ht="30.75" customHeight="1">
      <c r="A18" s="26">
        <v>6</v>
      </c>
      <c r="B18" s="805"/>
      <c r="C18" s="806"/>
      <c r="D18" s="806"/>
      <c r="E18" s="355"/>
      <c r="F18" s="315"/>
      <c r="G18" s="453"/>
      <c r="H18" s="441"/>
      <c r="I18" s="17">
        <f t="shared" si="1"/>
      </c>
      <c r="J18" s="321"/>
      <c r="K18" s="17">
        <f t="shared" si="2"/>
      </c>
      <c r="L18" s="17">
        <f t="shared" si="3"/>
      </c>
      <c r="M18" s="18">
        <f t="shared" si="0"/>
      </c>
      <c r="N18" s="22">
        <v>6</v>
      </c>
      <c r="O18" s="372">
        <v>8</v>
      </c>
    </row>
    <row r="19" spans="1:15" ht="30.75" customHeight="1">
      <c r="A19" s="26">
        <v>7</v>
      </c>
      <c r="B19" s="805"/>
      <c r="C19" s="806"/>
      <c r="D19" s="806"/>
      <c r="E19" s="355"/>
      <c r="F19" s="356"/>
      <c r="G19" s="453"/>
      <c r="H19" s="441"/>
      <c r="I19" s="17">
        <f t="shared" si="1"/>
      </c>
      <c r="J19" s="321"/>
      <c r="K19" s="17">
        <f t="shared" si="2"/>
      </c>
      <c r="L19" s="17">
        <f t="shared" si="3"/>
      </c>
      <c r="M19" s="18">
        <f t="shared" si="0"/>
      </c>
      <c r="N19" s="21">
        <v>7</v>
      </c>
      <c r="O19" s="372">
        <v>8</v>
      </c>
    </row>
    <row r="20" spans="1:15" ht="30.75" customHeight="1">
      <c r="A20" s="26">
        <v>8</v>
      </c>
      <c r="B20" s="805"/>
      <c r="C20" s="806"/>
      <c r="D20" s="806"/>
      <c r="E20" s="355"/>
      <c r="F20" s="315"/>
      <c r="G20" s="453"/>
      <c r="H20" s="441"/>
      <c r="I20" s="17">
        <f t="shared" si="1"/>
      </c>
      <c r="J20" s="321"/>
      <c r="K20" s="17">
        <f t="shared" si="2"/>
      </c>
      <c r="L20" s="17">
        <f t="shared" si="3"/>
      </c>
      <c r="M20" s="18">
        <f t="shared" si="0"/>
      </c>
      <c r="N20" s="22">
        <v>8</v>
      </c>
      <c r="O20" s="372">
        <v>8</v>
      </c>
    </row>
    <row r="21" spans="1:15" ht="30.75" customHeight="1">
      <c r="A21" s="26">
        <v>9</v>
      </c>
      <c r="B21" s="805"/>
      <c r="C21" s="806"/>
      <c r="D21" s="806"/>
      <c r="E21" s="355"/>
      <c r="F21" s="315"/>
      <c r="G21" s="453"/>
      <c r="H21" s="441"/>
      <c r="I21" s="17">
        <f t="shared" si="1"/>
      </c>
      <c r="J21" s="321"/>
      <c r="K21" s="17">
        <f t="shared" si="2"/>
      </c>
      <c r="L21" s="17">
        <f t="shared" si="3"/>
      </c>
      <c r="M21" s="18">
        <f t="shared" si="0"/>
      </c>
      <c r="N21" s="21">
        <v>9</v>
      </c>
      <c r="O21" s="372">
        <v>8</v>
      </c>
    </row>
    <row r="22" spans="1:15" ht="30.75" customHeight="1">
      <c r="A22" s="26">
        <v>10</v>
      </c>
      <c r="B22" s="805"/>
      <c r="C22" s="806"/>
      <c r="D22" s="806"/>
      <c r="E22" s="355"/>
      <c r="F22" s="315"/>
      <c r="G22" s="453"/>
      <c r="H22" s="441"/>
      <c r="I22" s="17">
        <f t="shared" si="1"/>
      </c>
      <c r="J22" s="321"/>
      <c r="K22" s="17">
        <f t="shared" si="2"/>
      </c>
      <c r="L22" s="17">
        <f t="shared" si="3"/>
      </c>
      <c r="M22" s="18">
        <f t="shared" si="0"/>
      </c>
      <c r="N22" s="22">
        <v>10</v>
      </c>
      <c r="O22" s="372">
        <v>8</v>
      </c>
    </row>
    <row r="23" spans="1:15" ht="30.75" customHeight="1">
      <c r="A23" s="26">
        <v>11</v>
      </c>
      <c r="B23" s="805"/>
      <c r="C23" s="806"/>
      <c r="D23" s="806"/>
      <c r="E23" s="355"/>
      <c r="F23" s="315"/>
      <c r="G23" s="453"/>
      <c r="H23" s="441"/>
      <c r="I23" s="17">
        <f t="shared" si="1"/>
      </c>
      <c r="J23" s="321"/>
      <c r="K23" s="17">
        <f t="shared" si="2"/>
      </c>
      <c r="L23" s="17">
        <f t="shared" si="3"/>
      </c>
      <c r="M23" s="18">
        <f t="shared" si="0"/>
      </c>
      <c r="N23" s="21">
        <v>11</v>
      </c>
      <c r="O23" s="372">
        <v>8</v>
      </c>
    </row>
    <row r="24" spans="1:15" ht="30.75" customHeight="1">
      <c r="A24" s="26">
        <v>12</v>
      </c>
      <c r="B24" s="805"/>
      <c r="C24" s="806"/>
      <c r="D24" s="806"/>
      <c r="E24" s="355"/>
      <c r="F24" s="315"/>
      <c r="G24" s="453"/>
      <c r="H24" s="441"/>
      <c r="I24" s="17">
        <f t="shared" si="1"/>
      </c>
      <c r="J24" s="321"/>
      <c r="K24" s="17">
        <f t="shared" si="2"/>
      </c>
      <c r="L24" s="17">
        <f t="shared" si="3"/>
      </c>
      <c r="M24" s="18">
        <f t="shared" si="0"/>
      </c>
      <c r="N24" s="22">
        <v>12</v>
      </c>
      <c r="O24" s="372">
        <v>8</v>
      </c>
    </row>
    <row r="25" spans="1:15" ht="30.75" customHeight="1">
      <c r="A25" s="26">
        <v>13</v>
      </c>
      <c r="B25" s="805"/>
      <c r="C25" s="806"/>
      <c r="D25" s="806"/>
      <c r="E25" s="355"/>
      <c r="F25" s="315"/>
      <c r="G25" s="453"/>
      <c r="H25" s="441"/>
      <c r="I25" s="17">
        <f t="shared" si="1"/>
      </c>
      <c r="J25" s="321"/>
      <c r="K25" s="17">
        <f t="shared" si="2"/>
      </c>
      <c r="L25" s="17">
        <f t="shared" si="3"/>
      </c>
      <c r="M25" s="18">
        <f t="shared" si="0"/>
      </c>
      <c r="N25" s="21">
        <v>13</v>
      </c>
      <c r="O25" s="372">
        <v>8</v>
      </c>
    </row>
    <row r="26" spans="1:15" ht="30.75" customHeight="1">
      <c r="A26" s="26">
        <v>14</v>
      </c>
      <c r="B26" s="805"/>
      <c r="C26" s="806"/>
      <c r="D26" s="806"/>
      <c r="E26" s="357"/>
      <c r="F26" s="315"/>
      <c r="G26" s="453"/>
      <c r="H26" s="441"/>
      <c r="I26" s="17">
        <f t="shared" si="1"/>
      </c>
      <c r="J26" s="321"/>
      <c r="K26" s="17">
        <f t="shared" si="2"/>
      </c>
      <c r="L26" s="17">
        <f t="shared" si="3"/>
      </c>
      <c r="M26" s="18">
        <f t="shared" si="0"/>
      </c>
      <c r="N26" s="22">
        <v>14</v>
      </c>
      <c r="O26" s="372">
        <v>8</v>
      </c>
    </row>
    <row r="27" spans="1:15" ht="30.75" customHeight="1">
      <c r="A27" s="26">
        <v>15</v>
      </c>
      <c r="B27" s="805"/>
      <c r="C27" s="806"/>
      <c r="D27" s="806"/>
      <c r="E27" s="357"/>
      <c r="F27" s="315"/>
      <c r="G27" s="453"/>
      <c r="H27" s="441"/>
      <c r="I27" s="17">
        <f t="shared" si="1"/>
      </c>
      <c r="J27" s="321"/>
      <c r="K27" s="17">
        <f t="shared" si="2"/>
      </c>
      <c r="L27" s="17">
        <f t="shared" si="3"/>
      </c>
      <c r="M27" s="18">
        <f t="shared" si="0"/>
      </c>
      <c r="N27" s="21">
        <v>15</v>
      </c>
      <c r="O27" s="372">
        <v>8</v>
      </c>
    </row>
    <row r="28" spans="1:15" ht="30.75" customHeight="1">
      <c r="A28" s="26">
        <v>16</v>
      </c>
      <c r="B28" s="805"/>
      <c r="C28" s="806"/>
      <c r="D28" s="806"/>
      <c r="E28" s="355"/>
      <c r="F28" s="315"/>
      <c r="G28" s="453"/>
      <c r="H28" s="441"/>
      <c r="I28" s="17">
        <f t="shared" si="1"/>
      </c>
      <c r="J28" s="321"/>
      <c r="K28" s="17">
        <f t="shared" si="2"/>
      </c>
      <c r="L28" s="17">
        <f t="shared" si="3"/>
      </c>
      <c r="M28" s="18">
        <f t="shared" si="0"/>
      </c>
      <c r="N28" s="22">
        <v>16</v>
      </c>
      <c r="O28" s="372">
        <v>8</v>
      </c>
    </row>
    <row r="29" spans="1:15" ht="30.75" customHeight="1">
      <c r="A29" s="26">
        <v>17</v>
      </c>
      <c r="B29" s="805"/>
      <c r="C29" s="806"/>
      <c r="D29" s="806"/>
      <c r="E29" s="355"/>
      <c r="F29" s="315"/>
      <c r="G29" s="453"/>
      <c r="H29" s="441"/>
      <c r="I29" s="17">
        <f t="shared" si="1"/>
      </c>
      <c r="J29" s="321"/>
      <c r="K29" s="17">
        <f t="shared" si="2"/>
      </c>
      <c r="L29" s="17">
        <f t="shared" si="3"/>
      </c>
      <c r="M29" s="18">
        <f t="shared" si="0"/>
      </c>
      <c r="N29" s="21">
        <v>17</v>
      </c>
      <c r="O29" s="372">
        <v>8</v>
      </c>
    </row>
    <row r="30" spans="1:15" ht="30.75" customHeight="1">
      <c r="A30" s="26">
        <v>18</v>
      </c>
      <c r="B30" s="805"/>
      <c r="C30" s="806"/>
      <c r="D30" s="806"/>
      <c r="E30" s="355"/>
      <c r="F30" s="315"/>
      <c r="G30" s="453"/>
      <c r="H30" s="441"/>
      <c r="I30" s="17">
        <f t="shared" si="1"/>
      </c>
      <c r="J30" s="321"/>
      <c r="K30" s="17">
        <f t="shared" si="2"/>
      </c>
      <c r="L30" s="17">
        <f t="shared" si="3"/>
      </c>
      <c r="M30" s="18">
        <f t="shared" si="0"/>
      </c>
      <c r="N30" s="22">
        <v>18</v>
      </c>
      <c r="O30" s="372">
        <v>8</v>
      </c>
    </row>
    <row r="31" spans="1:15" ht="30.75" customHeight="1">
      <c r="A31" s="26">
        <v>19</v>
      </c>
      <c r="B31" s="805"/>
      <c r="C31" s="806"/>
      <c r="D31" s="806"/>
      <c r="E31" s="357"/>
      <c r="F31" s="315"/>
      <c r="G31" s="453"/>
      <c r="H31" s="441"/>
      <c r="I31" s="17">
        <f t="shared" si="1"/>
      </c>
      <c r="J31" s="321"/>
      <c r="K31" s="17">
        <f t="shared" si="2"/>
      </c>
      <c r="L31" s="17">
        <f t="shared" si="3"/>
      </c>
      <c r="M31" s="18">
        <f t="shared" si="0"/>
      </c>
      <c r="N31" s="21">
        <v>19</v>
      </c>
      <c r="O31" s="372">
        <v>8</v>
      </c>
    </row>
    <row r="32" spans="1:15" ht="30.75" customHeight="1" thickBot="1">
      <c r="A32" s="41">
        <v>20</v>
      </c>
      <c r="B32" s="824"/>
      <c r="C32" s="825"/>
      <c r="D32" s="825"/>
      <c r="E32" s="358"/>
      <c r="F32" s="323"/>
      <c r="G32" s="456"/>
      <c r="H32" s="442"/>
      <c r="I32" s="43">
        <f t="shared" si="1"/>
      </c>
      <c r="J32" s="320"/>
      <c r="K32" s="43">
        <f t="shared" si="2"/>
      </c>
      <c r="L32" s="42">
        <f t="shared" si="3"/>
      </c>
      <c r="M32" s="43">
        <f t="shared" si="0"/>
      </c>
      <c r="N32" s="44">
        <v>20</v>
      </c>
      <c r="O32" s="373">
        <v>8</v>
      </c>
    </row>
    <row r="33" spans="1:14" ht="21" customHeight="1" thickBot="1">
      <c r="A33" s="827" t="s">
        <v>16</v>
      </c>
      <c r="B33" s="828"/>
      <c r="C33" s="828"/>
      <c r="D33" s="828"/>
      <c r="E33" s="828"/>
      <c r="F33" s="828"/>
      <c r="G33" s="828"/>
      <c r="H33" s="828"/>
      <c r="I33" s="828"/>
      <c r="J33" s="329"/>
      <c r="K33" s="45">
        <f>SUM(K13:K32)</f>
        <v>270000</v>
      </c>
      <c r="L33" s="45">
        <f>SUM(L13:L32)</f>
        <v>250000</v>
      </c>
      <c r="M33" s="46">
        <f>SUM(M13:M32)</f>
        <v>250000</v>
      </c>
      <c r="N33" s="23"/>
    </row>
    <row r="34" spans="1:14" ht="23.25" customHeight="1">
      <c r="A34" s="348"/>
      <c r="N34" s="20"/>
    </row>
    <row r="35" spans="1:14" ht="23.25" customHeight="1">
      <c r="A35" s="348"/>
      <c r="B35" s="3" t="s">
        <v>838</v>
      </c>
      <c r="D35" s="348"/>
      <c r="E35" s="342"/>
      <c r="N35" s="20"/>
    </row>
    <row r="36" spans="2:5" ht="23.25" customHeight="1">
      <c r="B36" s="3" t="s">
        <v>839</v>
      </c>
      <c r="E36" s="342"/>
    </row>
    <row r="37" spans="2:5" ht="23.25" customHeight="1">
      <c r="B37" s="3" t="s">
        <v>840</v>
      </c>
      <c r="E37" s="342"/>
    </row>
    <row r="38" spans="2:5" ht="23.25" customHeight="1">
      <c r="B38" s="3" t="s">
        <v>841</v>
      </c>
      <c r="E38" s="342"/>
    </row>
  </sheetData>
  <sheetProtection sheet="1" objects="1" scenarios="1"/>
  <mergeCells count="27">
    <mergeCell ref="A4:E4"/>
    <mergeCell ref="A11:A12"/>
    <mergeCell ref="B11:D11"/>
    <mergeCell ref="K11:L11"/>
    <mergeCell ref="N11:N12"/>
    <mergeCell ref="O11:O12"/>
    <mergeCell ref="B13:D13"/>
    <mergeCell ref="B16:D16"/>
    <mergeCell ref="B17:D17"/>
    <mergeCell ref="B18:D18"/>
    <mergeCell ref="B19:D19"/>
    <mergeCell ref="B14:D14"/>
    <mergeCell ref="B15:D15"/>
    <mergeCell ref="B32:D32"/>
    <mergeCell ref="A33:I33"/>
    <mergeCell ref="B25:D25"/>
    <mergeCell ref="B26:D26"/>
    <mergeCell ref="B27:D27"/>
    <mergeCell ref="B28:D28"/>
    <mergeCell ref="B29:D29"/>
    <mergeCell ref="B30:D30"/>
    <mergeCell ref="B20:D20"/>
    <mergeCell ref="B21:D21"/>
    <mergeCell ref="B24:D24"/>
    <mergeCell ref="B31:D31"/>
    <mergeCell ref="B22:D22"/>
    <mergeCell ref="B23:D23"/>
  </mergeCells>
  <dataValidations count="2">
    <dataValidation allowBlank="1" showInputMessage="1" showErrorMessage="1" imeMode="halfAlpha" sqref="I13:M32"/>
    <dataValidation allowBlank="1" showInputMessage="1" showErrorMessage="1" imeMode="hiragana" sqref="L9"/>
  </dataValidations>
  <hyperlinks>
    <hyperlink ref="B2" location="経費明細表!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62" r:id="rId1"/>
</worksheet>
</file>

<file path=xl/worksheets/sheet2.xml><?xml version="1.0" encoding="utf-8"?>
<worksheet xmlns="http://schemas.openxmlformats.org/spreadsheetml/2006/main" xmlns:r="http://schemas.openxmlformats.org/officeDocument/2006/relationships">
  <sheetPr codeName="Sheet1">
    <pageSetUpPr fitToPage="1"/>
  </sheetPr>
  <dimension ref="A1:Y84"/>
  <sheetViews>
    <sheetView showGridLines="0" view="pageBreakPreview" zoomScaleSheetLayoutView="100" zoomScalePageLayoutView="0" workbookViewId="0" topLeftCell="A1">
      <selection activeCell="A1" sqref="A1"/>
    </sheetView>
  </sheetViews>
  <sheetFormatPr defaultColWidth="9.140625" defaultRowHeight="15"/>
  <cols>
    <col min="1" max="2" width="3.421875" style="36" customWidth="1"/>
    <col min="3" max="8" width="13.421875" style="36" customWidth="1"/>
    <col min="9" max="9" width="14.421875" style="36" customWidth="1"/>
    <col min="10" max="10" width="13.7109375" style="36" customWidth="1"/>
    <col min="11" max="11" width="23.421875" style="36" customWidth="1"/>
    <col min="12" max="12" width="13.421875" style="36" customWidth="1"/>
    <col min="13" max="13" width="9.00390625" style="36" customWidth="1"/>
    <col min="14" max="14" width="17.8515625" style="36" customWidth="1"/>
    <col min="15" max="15" width="18.00390625" style="36" customWidth="1"/>
    <col min="16" max="16" width="5.8515625" style="36" customWidth="1"/>
    <col min="17" max="17" width="9.00390625" style="36" customWidth="1"/>
    <col min="18" max="18" width="10.421875" style="36" bestFit="1" customWidth="1"/>
    <col min="19" max="19" width="20.00390625" style="36" bestFit="1" customWidth="1"/>
    <col min="20" max="20" width="51.421875" style="36" bestFit="1" customWidth="1"/>
    <col min="21" max="21" width="117.7109375" style="36" bestFit="1" customWidth="1"/>
    <col min="22" max="16384" width="9.00390625" style="36" customWidth="1"/>
  </cols>
  <sheetData>
    <row r="1" spans="1:25" s="301" customFormat="1" ht="14.25">
      <c r="A1" s="301" t="s">
        <v>53</v>
      </c>
      <c r="L1" s="302"/>
      <c r="Q1" s="309"/>
      <c r="R1" s="309"/>
      <c r="S1" s="309"/>
      <c r="T1" s="309"/>
      <c r="U1" s="309"/>
      <c r="V1" s="309"/>
      <c r="W1" s="309"/>
      <c r="X1" s="309"/>
      <c r="Y1" s="309"/>
    </row>
    <row r="2" spans="12:25" s="301" customFormat="1" ht="14.25">
      <c r="L2" s="302"/>
      <c r="Q2" s="309"/>
      <c r="R2" s="309"/>
      <c r="S2" s="309"/>
      <c r="T2" s="309"/>
      <c r="U2" s="309"/>
      <c r="V2" s="309"/>
      <c r="W2" s="309"/>
      <c r="X2" s="309"/>
      <c r="Y2" s="309"/>
    </row>
    <row r="3" spans="1:17" s="301" customFormat="1" ht="14.25">
      <c r="A3" s="303" t="s">
        <v>660</v>
      </c>
      <c r="N3" s="309"/>
      <c r="O3" s="309"/>
      <c r="P3" s="309"/>
      <c r="Q3" s="309"/>
    </row>
    <row r="4" spans="3:17" s="301" customFormat="1" ht="15" customHeight="1">
      <c r="C4" s="301" t="s">
        <v>785</v>
      </c>
      <c r="K4" s="310"/>
      <c r="N4" s="309"/>
      <c r="O4" s="309"/>
      <c r="P4" s="309"/>
      <c r="Q4" s="309"/>
    </row>
    <row r="5" spans="3:17" s="301" customFormat="1" ht="15" customHeight="1">
      <c r="C5" s="301" t="s">
        <v>866</v>
      </c>
      <c r="K5" s="310"/>
      <c r="N5" s="309"/>
      <c r="O5" s="309"/>
      <c r="P5" s="309"/>
      <c r="Q5" s="309"/>
    </row>
    <row r="6" spans="3:17" s="301" customFormat="1" ht="15" customHeight="1">
      <c r="C6" s="618"/>
      <c r="D6" s="301" t="s">
        <v>783</v>
      </c>
      <c r="N6" s="309"/>
      <c r="O6" s="309"/>
      <c r="P6" s="309"/>
      <c r="Q6" s="309"/>
    </row>
    <row r="7" spans="14:17" s="301" customFormat="1" ht="15" customHeight="1">
      <c r="N7" s="309"/>
      <c r="O7" s="309"/>
      <c r="P7" s="309"/>
      <c r="Q7" s="309"/>
    </row>
    <row r="8" spans="1:17" s="306" customFormat="1" ht="15" customHeight="1">
      <c r="A8" s="308" t="s">
        <v>864</v>
      </c>
      <c r="C8" s="308"/>
      <c r="N8" s="619"/>
      <c r="O8" s="619"/>
      <c r="P8" s="619"/>
      <c r="Q8" s="619"/>
    </row>
    <row r="9" spans="1:17" s="301" customFormat="1" ht="15" customHeight="1">
      <c r="A9" s="303"/>
      <c r="C9" s="303"/>
      <c r="N9" s="309"/>
      <c r="O9" s="309"/>
      <c r="P9" s="309"/>
      <c r="Q9" s="309"/>
    </row>
    <row r="10" spans="1:17" s="301" customFormat="1" ht="15" customHeight="1">
      <c r="A10" s="301">
        <v>1</v>
      </c>
      <c r="B10" s="301" t="s">
        <v>784</v>
      </c>
      <c r="N10" s="309"/>
      <c r="O10" s="309"/>
      <c r="P10" s="309"/>
      <c r="Q10" s="309"/>
    </row>
    <row r="11" spans="3:17" s="301" customFormat="1" ht="15" customHeight="1">
      <c r="C11" s="627" t="s">
        <v>827</v>
      </c>
      <c r="D11" s="628"/>
      <c r="E11" s="628"/>
      <c r="F11" s="628"/>
      <c r="G11" s="628"/>
      <c r="H11" s="629"/>
      <c r="I11" s="9" t="s">
        <v>834</v>
      </c>
      <c r="J11" s="9"/>
      <c r="N11" s="309"/>
      <c r="O11" s="309"/>
      <c r="P11" s="309"/>
      <c r="Q11" s="309"/>
    </row>
    <row r="12" spans="6:17" s="301" customFormat="1" ht="15" customHeight="1">
      <c r="F12" s="304"/>
      <c r="G12" s="304"/>
      <c r="H12" s="304"/>
      <c r="I12" s="305"/>
      <c r="J12" s="306"/>
      <c r="N12" s="309"/>
      <c r="O12" s="309"/>
      <c r="P12" s="309"/>
      <c r="Q12" s="309"/>
    </row>
    <row r="13" spans="1:17" s="301" customFormat="1" ht="15" customHeight="1">
      <c r="A13" s="301">
        <v>2</v>
      </c>
      <c r="B13" s="37" t="s">
        <v>659</v>
      </c>
      <c r="D13" s="37"/>
      <c r="E13" s="37"/>
      <c r="F13" s="37"/>
      <c r="G13" s="37"/>
      <c r="H13" s="37"/>
      <c r="I13" s="37"/>
      <c r="N13" s="309"/>
      <c r="O13" s="309"/>
      <c r="P13" s="309"/>
      <c r="Q13" s="309"/>
    </row>
    <row r="14" spans="2:17" s="301" customFormat="1" ht="15" customHeight="1">
      <c r="B14" s="37"/>
      <c r="D14" s="37"/>
      <c r="E14" s="37"/>
      <c r="F14" s="37"/>
      <c r="G14" s="37"/>
      <c r="H14" s="37"/>
      <c r="I14" s="37"/>
      <c r="N14" s="309"/>
      <c r="O14" s="309"/>
      <c r="P14" s="309"/>
      <c r="Q14" s="309"/>
    </row>
    <row r="15" spans="3:14" s="301" customFormat="1" ht="15" customHeight="1">
      <c r="C15" s="309"/>
      <c r="D15" s="309"/>
      <c r="F15" s="309"/>
      <c r="G15" s="309"/>
      <c r="H15" s="309"/>
      <c r="I15" s="309"/>
      <c r="N15" s="538"/>
    </row>
    <row r="16" spans="3:14" s="301" customFormat="1" ht="15" customHeight="1">
      <c r="C16" s="539">
        <v>1</v>
      </c>
      <c r="D16" s="540"/>
      <c r="E16" s="541"/>
      <c r="F16" s="541"/>
      <c r="G16" s="541"/>
      <c r="H16" s="542"/>
      <c r="I16" s="309"/>
      <c r="N16" s="538"/>
    </row>
    <row r="17" spans="3:14" s="301" customFormat="1" ht="15" customHeight="1">
      <c r="C17" s="543"/>
      <c r="D17" s="544"/>
      <c r="E17" s="545"/>
      <c r="F17" s="545"/>
      <c r="G17" s="545"/>
      <c r="H17" s="546"/>
      <c r="I17" s="309"/>
      <c r="N17" s="538"/>
    </row>
    <row r="18" spans="3:14" s="301" customFormat="1" ht="15" customHeight="1">
      <c r="C18" s="547"/>
      <c r="D18" s="548"/>
      <c r="E18" s="548"/>
      <c r="F18" s="548"/>
      <c r="G18" s="548"/>
      <c r="H18" s="549"/>
      <c r="N18" s="538"/>
    </row>
    <row r="19" spans="2:13" s="301" customFormat="1" ht="15" customHeight="1">
      <c r="B19" s="305"/>
      <c r="C19" s="550"/>
      <c r="D19" s="309"/>
      <c r="F19" s="309"/>
      <c r="G19" s="309"/>
      <c r="H19" s="309"/>
      <c r="I19" s="309"/>
      <c r="J19" s="309"/>
      <c r="M19" s="538"/>
    </row>
    <row r="20" spans="3:9" s="538" customFormat="1" ht="15" customHeight="1">
      <c r="C20" s="551"/>
      <c r="D20" s="551"/>
      <c r="E20" s="551"/>
      <c r="F20" s="551"/>
      <c r="G20" s="551"/>
      <c r="H20" s="551"/>
      <c r="I20" s="552"/>
    </row>
    <row r="21" spans="1:17" s="301" customFormat="1" ht="15" customHeight="1">
      <c r="A21" s="401"/>
      <c r="B21" s="401"/>
      <c r="C21" s="553"/>
      <c r="D21" s="553"/>
      <c r="E21" s="306"/>
      <c r="F21" s="306"/>
      <c r="G21" s="306"/>
      <c r="H21" s="306"/>
      <c r="I21" s="306"/>
      <c r="N21" s="309"/>
      <c r="O21" s="309"/>
      <c r="P21" s="309"/>
      <c r="Q21" s="309"/>
    </row>
    <row r="22" spans="1:17" s="301" customFormat="1" ht="15" customHeight="1">
      <c r="A22" s="401"/>
      <c r="B22" s="401"/>
      <c r="C22" s="630">
        <v>2</v>
      </c>
      <c r="D22" s="630"/>
      <c r="E22" s="631"/>
      <c r="F22" s="631"/>
      <c r="G22" s="631"/>
      <c r="H22" s="631"/>
      <c r="I22" s="306"/>
      <c r="N22" s="309"/>
      <c r="O22" s="309"/>
      <c r="P22" s="309"/>
      <c r="Q22" s="309"/>
    </row>
    <row r="23" spans="1:17" s="301" customFormat="1" ht="15" customHeight="1">
      <c r="A23" s="401"/>
      <c r="B23" s="401"/>
      <c r="C23" s="630"/>
      <c r="D23" s="630"/>
      <c r="E23" s="631"/>
      <c r="F23" s="631"/>
      <c r="G23" s="631"/>
      <c r="H23" s="631"/>
      <c r="I23" s="306"/>
      <c r="N23" s="309"/>
      <c r="O23" s="309"/>
      <c r="P23" s="309"/>
      <c r="Q23" s="309"/>
    </row>
    <row r="24" spans="1:17" s="301" customFormat="1" ht="15" customHeight="1">
      <c r="A24" s="401"/>
      <c r="B24" s="401"/>
      <c r="C24" s="630"/>
      <c r="D24" s="630"/>
      <c r="E24" s="631"/>
      <c r="F24" s="631"/>
      <c r="G24" s="631"/>
      <c r="H24" s="631"/>
      <c r="I24" s="306"/>
      <c r="N24" s="309"/>
      <c r="O24" s="309"/>
      <c r="P24" s="309"/>
      <c r="Q24" s="309"/>
    </row>
    <row r="25" spans="1:17" s="301" customFormat="1" ht="15" customHeight="1">
      <c r="A25" s="401"/>
      <c r="B25" s="401"/>
      <c r="C25" s="630">
        <v>1</v>
      </c>
      <c r="D25" s="630"/>
      <c r="E25" s="631"/>
      <c r="F25" s="631"/>
      <c r="G25" s="631"/>
      <c r="H25" s="631"/>
      <c r="I25" s="309"/>
      <c r="N25" s="309"/>
      <c r="O25" s="309"/>
      <c r="P25" s="309"/>
      <c r="Q25" s="309"/>
    </row>
    <row r="26" spans="1:17" s="301" customFormat="1" ht="15" customHeight="1">
      <c r="A26" s="401"/>
      <c r="B26" s="401"/>
      <c r="C26" s="630"/>
      <c r="D26" s="630"/>
      <c r="E26" s="631"/>
      <c r="F26" s="631"/>
      <c r="G26" s="631"/>
      <c r="H26" s="631"/>
      <c r="I26" s="309"/>
      <c r="N26" s="309"/>
      <c r="O26" s="309"/>
      <c r="P26" s="309"/>
      <c r="Q26" s="309"/>
    </row>
    <row r="27" spans="3:14" s="301" customFormat="1" ht="15" customHeight="1">
      <c r="C27" s="554"/>
      <c r="D27" s="309"/>
      <c r="F27" s="309"/>
      <c r="G27" s="309"/>
      <c r="H27" s="309"/>
      <c r="I27" s="309"/>
      <c r="N27" s="538"/>
    </row>
    <row r="28" spans="1:16" s="301" customFormat="1" ht="14.25">
      <c r="A28" s="301">
        <v>3</v>
      </c>
      <c r="B28" s="590" t="s">
        <v>810</v>
      </c>
      <c r="D28" s="39"/>
      <c r="E28" s="39"/>
      <c r="P28" s="307"/>
    </row>
    <row r="29" spans="2:16" s="301" customFormat="1" ht="14.25">
      <c r="B29" s="39"/>
      <c r="D29" s="39"/>
      <c r="E29" s="39"/>
      <c r="P29" s="307"/>
    </row>
    <row r="30" spans="3:10" s="301" customFormat="1" ht="14.25">
      <c r="C30" s="632" t="s">
        <v>683</v>
      </c>
      <c r="D30" s="633"/>
      <c r="E30" s="633"/>
      <c r="F30" s="633"/>
      <c r="G30" s="633"/>
      <c r="H30" s="634"/>
      <c r="I30" s="9" t="s">
        <v>835</v>
      </c>
      <c r="J30" s="9"/>
    </row>
    <row r="31" spans="3:10" s="301" customFormat="1" ht="14.25">
      <c r="C31" s="39"/>
      <c r="D31" s="39"/>
      <c r="E31" s="39"/>
      <c r="F31" s="39"/>
      <c r="G31" s="39"/>
      <c r="H31" s="304"/>
      <c r="I31" s="304"/>
      <c r="J31" s="306"/>
    </row>
    <row r="32" spans="1:7" s="301" customFormat="1" ht="14.25">
      <c r="A32" s="301">
        <v>4</v>
      </c>
      <c r="B32" s="590" t="s">
        <v>811</v>
      </c>
      <c r="D32" s="39"/>
      <c r="E32" s="39"/>
      <c r="F32" s="39"/>
      <c r="G32" s="39"/>
    </row>
    <row r="33" spans="2:7" s="301" customFormat="1" ht="14.25">
      <c r="B33" s="39"/>
      <c r="D33" s="39"/>
      <c r="E33" s="39"/>
      <c r="F33" s="39"/>
      <c r="G33" s="39"/>
    </row>
    <row r="34" spans="3:10" s="301" customFormat="1" ht="14.25">
      <c r="C34" s="624" t="s">
        <v>684</v>
      </c>
      <c r="D34" s="625"/>
      <c r="E34" s="625"/>
      <c r="F34" s="625"/>
      <c r="G34" s="625"/>
      <c r="H34" s="626"/>
      <c r="I34" s="9" t="s">
        <v>836</v>
      </c>
      <c r="J34" s="9"/>
    </row>
    <row r="35" spans="3:10" s="301" customFormat="1" ht="14.25">
      <c r="C35" s="624" t="s">
        <v>786</v>
      </c>
      <c r="D35" s="625"/>
      <c r="E35" s="625"/>
      <c r="F35" s="625"/>
      <c r="G35" s="625"/>
      <c r="H35" s="626"/>
      <c r="I35" s="9" t="s">
        <v>837</v>
      </c>
      <c r="J35" s="9"/>
    </row>
    <row r="36" spans="2:17" s="301" customFormat="1" ht="15" customHeight="1">
      <c r="B36" s="37"/>
      <c r="D36" s="37"/>
      <c r="E36" s="37"/>
      <c r="F36" s="37"/>
      <c r="G36" s="37"/>
      <c r="H36" s="37"/>
      <c r="I36" s="37"/>
      <c r="N36" s="309"/>
      <c r="O36" s="309"/>
      <c r="P36" s="309"/>
      <c r="Q36" s="309"/>
    </row>
    <row r="37" spans="2:17" s="301" customFormat="1" ht="15" customHeight="1">
      <c r="B37" s="37"/>
      <c r="D37" s="37"/>
      <c r="E37" s="37"/>
      <c r="F37" s="37"/>
      <c r="G37" s="37"/>
      <c r="H37" s="37"/>
      <c r="I37" s="37"/>
      <c r="N37" s="309"/>
      <c r="O37" s="309"/>
      <c r="P37" s="309"/>
      <c r="Q37" s="309"/>
    </row>
    <row r="38" spans="1:14" s="306" customFormat="1" ht="15" customHeight="1">
      <c r="A38" s="306" t="s">
        <v>842</v>
      </c>
      <c r="C38" s="37"/>
      <c r="D38" s="619"/>
      <c r="F38" s="619"/>
      <c r="G38" s="619"/>
      <c r="H38" s="619"/>
      <c r="I38" s="619"/>
      <c r="N38" s="620"/>
    </row>
    <row r="39" spans="3:9" s="306" customFormat="1" ht="14.25">
      <c r="C39" s="37"/>
      <c r="D39" s="37"/>
      <c r="E39" s="37"/>
      <c r="F39" s="37"/>
      <c r="G39" s="37"/>
      <c r="H39" s="621"/>
      <c r="I39" s="304"/>
    </row>
    <row r="40" spans="1:8" s="306" customFormat="1" ht="14.25">
      <c r="A40" s="94" t="s">
        <v>843</v>
      </c>
      <c r="C40" s="37"/>
      <c r="D40" s="37"/>
      <c r="E40" s="37"/>
      <c r="F40" s="37"/>
      <c r="G40" s="621"/>
      <c r="H40" s="304"/>
    </row>
    <row r="41" s="301" customFormat="1" ht="14.25">
      <c r="B41" s="301" t="s">
        <v>742</v>
      </c>
    </row>
    <row r="42" s="301" customFormat="1" ht="15" customHeight="1">
      <c r="B42" s="301" t="s">
        <v>662</v>
      </c>
    </row>
    <row r="43" s="301" customFormat="1" ht="14.25">
      <c r="B43" s="306" t="s">
        <v>661</v>
      </c>
    </row>
    <row r="44" spans="2:5" s="301" customFormat="1" ht="14.25">
      <c r="B44" s="311"/>
      <c r="C44" s="312" t="s">
        <v>674</v>
      </c>
      <c r="D44" s="311"/>
      <c r="E44" s="311"/>
    </row>
    <row r="45" spans="2:5" s="301" customFormat="1" ht="14.25">
      <c r="B45" s="311"/>
      <c r="C45" s="312" t="s">
        <v>763</v>
      </c>
      <c r="D45" s="311"/>
      <c r="E45" s="311"/>
    </row>
    <row r="46" spans="2:5" s="301" customFormat="1" ht="14.25">
      <c r="B46" s="311"/>
      <c r="C46" s="312" t="s">
        <v>756</v>
      </c>
      <c r="D46" s="311"/>
      <c r="E46" s="311"/>
    </row>
    <row r="47" spans="2:5" s="301" customFormat="1" ht="14.25">
      <c r="B47" s="311"/>
      <c r="C47" s="312" t="s">
        <v>764</v>
      </c>
      <c r="D47" s="311"/>
      <c r="E47" s="311"/>
    </row>
    <row r="48" spans="2:5" s="301" customFormat="1" ht="14.25">
      <c r="B48" s="311"/>
      <c r="C48" s="312" t="s">
        <v>757</v>
      </c>
      <c r="D48" s="311"/>
      <c r="E48" s="311"/>
    </row>
    <row r="49" spans="2:5" s="301" customFormat="1" ht="14.25">
      <c r="B49" s="311"/>
      <c r="C49" s="312" t="s">
        <v>758</v>
      </c>
      <c r="D49" s="312"/>
      <c r="E49" s="311"/>
    </row>
    <row r="50" spans="2:5" s="301" customFormat="1" ht="14.25">
      <c r="B50" s="311"/>
      <c r="C50" s="312" t="s">
        <v>759</v>
      </c>
      <c r="D50" s="312"/>
      <c r="E50" s="311"/>
    </row>
    <row r="51" spans="2:5" s="301" customFormat="1" ht="14.25">
      <c r="B51" s="311"/>
      <c r="C51" s="312" t="s">
        <v>765</v>
      </c>
      <c r="D51" s="312"/>
      <c r="E51" s="311"/>
    </row>
    <row r="52" spans="2:5" s="301" customFormat="1" ht="14.25">
      <c r="B52" s="311"/>
      <c r="C52" s="312" t="s">
        <v>766</v>
      </c>
      <c r="D52" s="312"/>
      <c r="E52" s="311"/>
    </row>
    <row r="53" spans="2:5" s="301" customFormat="1" ht="14.25">
      <c r="B53" s="311"/>
      <c r="C53" s="312" t="s">
        <v>760</v>
      </c>
      <c r="D53" s="312"/>
      <c r="E53" s="311"/>
    </row>
    <row r="54" s="301" customFormat="1" ht="14.25"/>
    <row r="55" spans="2:7" s="306" customFormat="1" ht="14.25">
      <c r="B55" s="306" t="s">
        <v>844</v>
      </c>
      <c r="G55" s="308"/>
    </row>
    <row r="56" s="306" customFormat="1" ht="14.25">
      <c r="B56" s="306" t="s">
        <v>845</v>
      </c>
    </row>
    <row r="57" s="306" customFormat="1" ht="14.25">
      <c r="B57" s="306" t="s">
        <v>865</v>
      </c>
    </row>
    <row r="58" s="306" customFormat="1" ht="14.25">
      <c r="B58" s="306" t="s">
        <v>846</v>
      </c>
    </row>
    <row r="59" spans="2:12" s="38" customFormat="1" ht="14.25">
      <c r="B59" s="306" t="s">
        <v>847</v>
      </c>
      <c r="C59" s="306"/>
      <c r="L59" s="306"/>
    </row>
    <row r="60" s="306" customFormat="1" ht="14.25"/>
    <row r="61" spans="1:10" s="1" customFormat="1" ht="18" customHeight="1">
      <c r="A61" s="622" t="s">
        <v>848</v>
      </c>
      <c r="B61" s="622"/>
      <c r="D61" s="293"/>
      <c r="E61" s="72"/>
      <c r="F61" s="72"/>
      <c r="G61" s="293"/>
      <c r="H61" s="70"/>
      <c r="J61" s="73"/>
    </row>
    <row r="62" spans="2:10" s="31" customFormat="1" ht="18" customHeight="1">
      <c r="B62" s="301" t="s">
        <v>662</v>
      </c>
      <c r="D62" s="293"/>
      <c r="E62" s="72"/>
      <c r="F62" s="72"/>
      <c r="G62" s="293"/>
      <c r="H62" s="70"/>
      <c r="J62" s="73"/>
    </row>
    <row r="63" spans="2:11" s="301" customFormat="1" ht="15" customHeight="1">
      <c r="B63" s="391"/>
      <c r="C63" s="392" t="s">
        <v>829</v>
      </c>
      <c r="D63" s="391"/>
      <c r="E63" s="294"/>
      <c r="F63" s="3"/>
      <c r="K63" s="37"/>
    </row>
    <row r="64" spans="1:5" s="53" customFormat="1" ht="18" customHeight="1">
      <c r="A64" s="38">
        <v>1</v>
      </c>
      <c r="B64" s="38" t="s">
        <v>738</v>
      </c>
      <c r="C64" s="38"/>
      <c r="D64" s="38"/>
      <c r="E64" s="38"/>
    </row>
    <row r="65" s="38" customFormat="1" ht="14.25">
      <c r="B65" s="38" t="s">
        <v>849</v>
      </c>
    </row>
    <row r="66" s="38" customFormat="1" ht="14.25"/>
    <row r="67" spans="1:13" s="38" customFormat="1" ht="14.25">
      <c r="A67" s="38">
        <v>2</v>
      </c>
      <c r="B67" s="38" t="s">
        <v>541</v>
      </c>
      <c r="M67" s="591"/>
    </row>
    <row r="68" spans="2:15" s="38" customFormat="1" ht="15">
      <c r="B68" s="38" t="s">
        <v>850</v>
      </c>
      <c r="K68" s="161"/>
      <c r="L68" s="161"/>
      <c r="M68" s="306"/>
      <c r="N68" s="53"/>
      <c r="O68" s="53"/>
    </row>
    <row r="69" spans="2:12" s="38" customFormat="1" ht="14.25">
      <c r="B69" s="38" t="s">
        <v>851</v>
      </c>
      <c r="K69" s="161"/>
      <c r="L69" s="161"/>
    </row>
    <row r="70" spans="2:12" s="38" customFormat="1" ht="14.25">
      <c r="B70" s="38" t="s">
        <v>852</v>
      </c>
      <c r="K70" s="161"/>
      <c r="L70" s="161"/>
    </row>
    <row r="71" spans="2:13" s="38" customFormat="1" ht="14.25">
      <c r="B71" s="38" t="s">
        <v>853</v>
      </c>
      <c r="K71" s="161"/>
      <c r="L71" s="161"/>
      <c r="M71" s="623"/>
    </row>
    <row r="72" spans="2:12" s="38" customFormat="1" ht="14.25">
      <c r="B72" s="38" t="s">
        <v>854</v>
      </c>
      <c r="K72" s="161"/>
      <c r="L72" s="161"/>
    </row>
    <row r="73" spans="2:13" s="38" customFormat="1" ht="14.25">
      <c r="B73" s="38" t="s">
        <v>855</v>
      </c>
      <c r="K73" s="161"/>
      <c r="L73" s="161"/>
      <c r="M73" s="53"/>
    </row>
    <row r="74" spans="2:12" s="38" customFormat="1" ht="14.25">
      <c r="B74" s="38" t="s">
        <v>856</v>
      </c>
      <c r="K74" s="161"/>
      <c r="L74" s="161"/>
    </row>
    <row r="75" spans="2:13" s="38" customFormat="1" ht="14.25">
      <c r="B75" s="38" t="s">
        <v>857</v>
      </c>
      <c r="K75" s="161"/>
      <c r="L75" s="161"/>
      <c r="M75" s="592"/>
    </row>
    <row r="76" spans="2:12" s="38" customFormat="1" ht="14.25">
      <c r="B76" s="38" t="s">
        <v>867</v>
      </c>
      <c r="K76" s="161"/>
      <c r="L76" s="161"/>
    </row>
    <row r="77" s="38" customFormat="1" ht="14.25">
      <c r="B77" s="38" t="s">
        <v>858</v>
      </c>
    </row>
    <row r="78" s="38" customFormat="1" ht="14.25"/>
    <row r="79" spans="1:2" s="38" customFormat="1" ht="14.25">
      <c r="A79" s="38">
        <v>3</v>
      </c>
      <c r="B79" s="38" t="s">
        <v>859</v>
      </c>
    </row>
    <row r="80" s="38" customFormat="1" ht="14.25">
      <c r="B80" s="38" t="s">
        <v>860</v>
      </c>
    </row>
    <row r="81" s="38" customFormat="1" ht="14.25"/>
    <row r="82" spans="1:2" s="38" customFormat="1" ht="14.25">
      <c r="A82" s="38">
        <v>4</v>
      </c>
      <c r="B82" s="38" t="s">
        <v>861</v>
      </c>
    </row>
    <row r="83" spans="2:11" s="38" customFormat="1" ht="14.25">
      <c r="B83" s="38" t="s">
        <v>862</v>
      </c>
      <c r="K83" s="87" t="s">
        <v>830</v>
      </c>
    </row>
    <row r="84" s="38" customFormat="1" ht="14.25">
      <c r="B84" s="38" t="s">
        <v>863</v>
      </c>
    </row>
    <row r="85" s="38" customFormat="1" ht="14.25"/>
    <row r="86" s="38" customFormat="1" ht="14.25"/>
    <row r="87" s="38" customFormat="1" ht="14.25"/>
  </sheetData>
  <sheetProtection sheet="1" objects="1" scenarios="1"/>
  <mergeCells count="7">
    <mergeCell ref="C35:H35"/>
    <mergeCell ref="C11:H11"/>
    <mergeCell ref="C22:D26"/>
    <mergeCell ref="E22:F26"/>
    <mergeCell ref="G22:H26"/>
    <mergeCell ref="C30:H30"/>
    <mergeCell ref="C34:H34"/>
  </mergeCells>
  <hyperlinks>
    <hyperlink ref="C46" location="原材料費!A1" display="　　原材料費"/>
    <hyperlink ref="C47" location="技術導入費!A1" display="　　技術導入費"/>
    <hyperlink ref="C48" location="外注加工費!A1" display="　　外注加工費"/>
    <hyperlink ref="C49" location="委託費!A1" display="　　委託費"/>
    <hyperlink ref="C50" location="知的財産権等関連経費!A1" display="知的財産関連経費"/>
    <hyperlink ref="C51" location="運搬費!A1" display="運搬費"/>
    <hyperlink ref="C52" location="専門家経費!A1" display="専門家経費"/>
    <hyperlink ref="C53" location="クラウド利用費!A1" display="クラウド利用費"/>
    <hyperlink ref="C44" location="'機械装置費（50万円以上）'!A1" display="機械装置費（50万円以上）"/>
    <hyperlink ref="C45" location="'機械装置費（50万円未満）'!A1" display="機械装置費（50万円未満）"/>
    <hyperlink ref="C63" location="経費明細表!A1" display="経費明細表"/>
  </hyperlink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8" scale="87" r:id="rId3"/>
  <drawing r:id="rId2"/>
  <legacyDrawing r:id="rId1"/>
</worksheet>
</file>

<file path=xl/worksheets/sheet3.xml><?xml version="1.0" encoding="utf-8"?>
<worksheet xmlns="http://schemas.openxmlformats.org/spreadsheetml/2006/main" xmlns:r="http://schemas.openxmlformats.org/officeDocument/2006/relationships">
  <sheetPr codeName="Sheet2"/>
  <dimension ref="B2:M7"/>
  <sheetViews>
    <sheetView zoomScalePageLayoutView="0" workbookViewId="0" topLeftCell="A1">
      <selection activeCell="A1" sqref="A1"/>
    </sheetView>
  </sheetViews>
  <sheetFormatPr defaultColWidth="9.140625" defaultRowHeight="15"/>
  <cols>
    <col min="2" max="2" width="3.140625" style="75" bestFit="1" customWidth="1"/>
    <col min="3" max="3" width="25.140625" style="0" customWidth="1"/>
    <col min="5" max="5" width="3.140625" style="75" bestFit="1" customWidth="1"/>
    <col min="6" max="6" width="27.8515625" style="0" customWidth="1"/>
    <col min="7" max="7" width="25.140625" style="0" customWidth="1"/>
    <col min="8" max="9" width="12.421875" style="558" bestFit="1" customWidth="1"/>
    <col min="11" max="11" width="3.140625" style="0" bestFit="1" customWidth="1"/>
    <col min="12" max="12" width="40.8515625" style="0" bestFit="1" customWidth="1"/>
    <col min="13" max="13" width="22.00390625" style="0" bestFit="1" customWidth="1"/>
  </cols>
  <sheetData>
    <row r="2" spans="2:13" ht="13.5">
      <c r="B2" s="334" t="s">
        <v>787</v>
      </c>
      <c r="C2" s="334" t="s">
        <v>788</v>
      </c>
      <c r="E2" s="334" t="s">
        <v>787</v>
      </c>
      <c r="F2" s="635" t="s">
        <v>788</v>
      </c>
      <c r="G2" s="636"/>
      <c r="H2" s="555" t="s">
        <v>789</v>
      </c>
      <c r="I2" s="555" t="s">
        <v>775</v>
      </c>
      <c r="K2" s="334" t="s">
        <v>787</v>
      </c>
      <c r="L2" s="334" t="s">
        <v>790</v>
      </c>
      <c r="M2" s="334" t="s">
        <v>791</v>
      </c>
    </row>
    <row r="3" spans="2:13" ht="13.5">
      <c r="B3" s="334">
        <v>1</v>
      </c>
      <c r="C3" s="556" t="s">
        <v>792</v>
      </c>
      <c r="E3" s="334">
        <v>1</v>
      </c>
      <c r="F3" s="556" t="s">
        <v>768</v>
      </c>
      <c r="G3" s="556"/>
      <c r="H3" s="557">
        <v>10000000</v>
      </c>
      <c r="I3" s="557">
        <v>1000000</v>
      </c>
      <c r="K3" s="556">
        <v>1</v>
      </c>
      <c r="L3" s="556" t="s">
        <v>793</v>
      </c>
      <c r="M3" s="556" t="s">
        <v>794</v>
      </c>
    </row>
    <row r="4" spans="2:13" ht="13.5">
      <c r="B4" s="334">
        <v>2</v>
      </c>
      <c r="C4" s="556" t="s">
        <v>795</v>
      </c>
      <c r="E4" s="334">
        <v>2</v>
      </c>
      <c r="F4" s="556" t="s">
        <v>769</v>
      </c>
      <c r="G4" s="556" t="s">
        <v>796</v>
      </c>
      <c r="H4" s="557">
        <v>5000000</v>
      </c>
      <c r="I4" s="557">
        <v>1000000</v>
      </c>
      <c r="K4" s="556">
        <v>2</v>
      </c>
      <c r="L4" s="556" t="s">
        <v>797</v>
      </c>
      <c r="M4" s="556" t="s">
        <v>797</v>
      </c>
    </row>
    <row r="5" spans="5:9" ht="13.5">
      <c r="E5" s="334">
        <v>3</v>
      </c>
      <c r="F5" s="556" t="s">
        <v>769</v>
      </c>
      <c r="G5" s="556" t="s">
        <v>798</v>
      </c>
      <c r="H5" s="557">
        <v>5000000</v>
      </c>
      <c r="I5" s="557">
        <v>1000000</v>
      </c>
    </row>
    <row r="6" spans="5:9" ht="13.5">
      <c r="E6" s="334">
        <v>4</v>
      </c>
      <c r="F6" s="556" t="s">
        <v>770</v>
      </c>
      <c r="G6" s="556" t="s">
        <v>799</v>
      </c>
      <c r="H6" s="557">
        <v>30000000</v>
      </c>
      <c r="I6" s="557">
        <v>1000000</v>
      </c>
    </row>
    <row r="7" spans="5:9" ht="13.5">
      <c r="E7" s="334">
        <v>5</v>
      </c>
      <c r="F7" s="556" t="s">
        <v>770</v>
      </c>
      <c r="G7" s="556" t="s">
        <v>800</v>
      </c>
      <c r="H7" s="557">
        <v>30000000</v>
      </c>
      <c r="I7" s="557">
        <v>1000000</v>
      </c>
    </row>
  </sheetData>
  <sheetProtection/>
  <mergeCells count="1">
    <mergeCell ref="F2:G2"/>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37">
    <tabColor rgb="FFFFC000"/>
    <pageSetUpPr fitToPage="1"/>
  </sheetPr>
  <dimension ref="A1:AX96"/>
  <sheetViews>
    <sheetView showGridLines="0" zoomScale="75" zoomScaleNormal="75" zoomScaleSheetLayoutView="80" zoomScalePageLayoutView="0" workbookViewId="0" topLeftCell="A1">
      <selection activeCell="A1" sqref="A1"/>
    </sheetView>
  </sheetViews>
  <sheetFormatPr defaultColWidth="9.140625" defaultRowHeight="15"/>
  <cols>
    <col min="1" max="1" width="4.28125" style="72" customWidth="1"/>
    <col min="2" max="3" width="4.57421875" style="72" customWidth="1"/>
    <col min="4" max="4" width="4.57421875" style="72" hidden="1" customWidth="1"/>
    <col min="5" max="5" width="17.421875" style="72" customWidth="1"/>
    <col min="6" max="8" width="17.57421875" style="72" customWidth="1"/>
    <col min="9" max="9" width="20.140625" style="72" customWidth="1"/>
    <col min="10" max="12" width="17.57421875" style="72" customWidth="1"/>
    <col min="13" max="13" width="21.00390625" style="72" customWidth="1"/>
    <col min="14" max="14" width="24.00390625" style="72" customWidth="1"/>
    <col min="15" max="15" width="5.00390625" style="72" customWidth="1"/>
    <col min="16" max="17" width="18.57421875" style="72" customWidth="1"/>
    <col min="18" max="18" width="17.00390625" style="72" customWidth="1"/>
    <col min="19" max="19" width="32.421875" style="72" customWidth="1"/>
    <col min="20" max="20" width="19.57421875" style="72" customWidth="1"/>
    <col min="21" max="21" width="18.28125" style="72" customWidth="1"/>
    <col min="22" max="22" width="17.140625" style="80" customWidth="1"/>
    <col min="23" max="23" width="18.421875" style="80" customWidth="1"/>
    <col min="24" max="24" width="25.57421875" style="72" customWidth="1"/>
    <col min="25" max="25" width="16.140625" style="72" customWidth="1"/>
    <col min="26" max="26" width="16.8515625" style="72" customWidth="1"/>
    <col min="27" max="27" width="18.28125" style="72" customWidth="1"/>
    <col min="28" max="28" width="12.28125" style="72" customWidth="1"/>
    <col min="29" max="29" width="8.140625" style="72" customWidth="1"/>
    <col min="30" max="30" width="10.421875" style="72" customWidth="1"/>
    <col min="31" max="31" width="16.8515625" style="80" customWidth="1"/>
    <col min="32" max="32" width="15.421875" style="80" customWidth="1"/>
    <col min="33" max="33" width="12.421875" style="72" customWidth="1"/>
    <col min="34" max="34" width="11.421875" style="72" customWidth="1"/>
    <col min="35" max="35" width="26.28125" style="532" customWidth="1"/>
    <col min="36" max="36" width="35.28125" style="532" customWidth="1"/>
    <col min="37" max="37" width="19.28125" style="532" customWidth="1"/>
    <col min="38" max="38" width="5.7109375" style="532" customWidth="1"/>
    <col min="39" max="39" width="35.28125" style="532" customWidth="1"/>
    <col min="40" max="40" width="19.28125" style="532" customWidth="1"/>
    <col min="41" max="41" width="5.7109375" style="532" customWidth="1"/>
    <col min="42" max="42" width="35.28125" style="532" customWidth="1"/>
    <col min="43" max="43" width="19.28125" style="532" customWidth="1"/>
    <col min="44" max="44" width="5.7109375" style="532" customWidth="1"/>
    <col min="45" max="45" width="35.28125" style="532" customWidth="1"/>
    <col min="46" max="46" width="19.28125" style="532" customWidth="1"/>
    <col min="47" max="47" width="5.7109375" style="532" customWidth="1"/>
    <col min="48" max="16384" width="9.00390625" style="72" customWidth="1"/>
  </cols>
  <sheetData>
    <row r="1" spans="35:47" ht="13.5">
      <c r="AI1" s="531"/>
      <c r="AJ1" s="531"/>
      <c r="AK1" s="531"/>
      <c r="AL1" s="531"/>
      <c r="AM1" s="531"/>
      <c r="AN1" s="531"/>
      <c r="AO1" s="531"/>
      <c r="AP1" s="531"/>
      <c r="AQ1" s="531"/>
      <c r="AR1" s="531"/>
      <c r="AS1" s="531"/>
      <c r="AT1" s="531"/>
      <c r="AU1" s="531"/>
    </row>
    <row r="2" spans="2:47" ht="13.5">
      <c r="B2" s="404"/>
      <c r="AI2" s="531"/>
      <c r="AJ2" s="531"/>
      <c r="AK2" s="531"/>
      <c r="AL2" s="531"/>
      <c r="AM2" s="531"/>
      <c r="AN2" s="531"/>
      <c r="AO2" s="531"/>
      <c r="AP2" s="531"/>
      <c r="AQ2" s="531"/>
      <c r="AR2" s="531"/>
      <c r="AS2" s="531"/>
      <c r="AT2" s="531"/>
      <c r="AU2" s="531"/>
    </row>
    <row r="3" spans="3:47" s="79" customFormat="1" ht="16.5" customHeight="1">
      <c r="C3" s="277" t="s">
        <v>732</v>
      </c>
      <c r="D3" s="277" t="s">
        <v>732</v>
      </c>
      <c r="E3" s="78"/>
      <c r="F3" s="78"/>
      <c r="G3" s="78"/>
      <c r="H3" s="78"/>
      <c r="I3" s="78"/>
      <c r="J3" s="78"/>
      <c r="K3" s="78"/>
      <c r="L3" s="78"/>
      <c r="M3" s="78"/>
      <c r="N3" s="78"/>
      <c r="O3" s="78"/>
      <c r="P3" s="78"/>
      <c r="Q3" s="78"/>
      <c r="R3" s="78"/>
      <c r="T3"/>
      <c r="U3"/>
      <c r="V3"/>
      <c r="W3"/>
      <c r="X3"/>
      <c r="Y3"/>
      <c r="Z3"/>
      <c r="AA3"/>
      <c r="AB3"/>
      <c r="AC3"/>
      <c r="AD3"/>
      <c r="AE3"/>
      <c r="AF3" s="72"/>
      <c r="AG3" s="72"/>
      <c r="AH3" s="72"/>
      <c r="AI3" s="531"/>
      <c r="AJ3" s="531"/>
      <c r="AK3" s="531"/>
      <c r="AL3" s="531"/>
      <c r="AM3" s="531"/>
      <c r="AN3" s="531"/>
      <c r="AO3" s="531"/>
      <c r="AP3" s="531"/>
      <c r="AQ3" s="531"/>
      <c r="AR3" s="531"/>
      <c r="AS3" s="531"/>
      <c r="AT3" s="531"/>
      <c r="AU3" s="531"/>
    </row>
    <row r="4" spans="3:47" s="79" customFormat="1" ht="16.5" customHeight="1">
      <c r="C4" s="278" t="s">
        <v>532</v>
      </c>
      <c r="D4" s="278" t="s">
        <v>532</v>
      </c>
      <c r="F4" s="81"/>
      <c r="G4" s="81"/>
      <c r="H4" s="81"/>
      <c r="I4" s="82"/>
      <c r="J4" s="279" t="s">
        <v>611</v>
      </c>
      <c r="K4" s="280" t="s">
        <v>612</v>
      </c>
      <c r="L4" s="436" t="s">
        <v>613</v>
      </c>
      <c r="M4" s="82"/>
      <c r="N4" s="778" t="s">
        <v>731</v>
      </c>
      <c r="O4" s="778"/>
      <c r="P4" s="778"/>
      <c r="Q4" s="778"/>
      <c r="T4"/>
      <c r="U4"/>
      <c r="V4"/>
      <c r="W4"/>
      <c r="X4"/>
      <c r="Y4"/>
      <c r="Z4"/>
      <c r="AA4"/>
      <c r="AB4"/>
      <c r="AC4"/>
      <c r="AD4"/>
      <c r="AE4"/>
      <c r="AF4" s="72"/>
      <c r="AG4" s="72"/>
      <c r="AH4" s="72"/>
      <c r="AI4" s="532"/>
      <c r="AJ4" s="532"/>
      <c r="AK4" s="532"/>
      <c r="AL4" s="532"/>
      <c r="AM4" s="532"/>
      <c r="AN4" s="532"/>
      <c r="AO4" s="533"/>
      <c r="AP4" s="532"/>
      <c r="AQ4" s="532"/>
      <c r="AR4" s="532"/>
      <c r="AS4" s="532"/>
      <c r="AT4" s="532"/>
      <c r="AU4" s="532"/>
    </row>
    <row r="5" spans="14:32" ht="14.25" customHeight="1">
      <c r="N5" s="778"/>
      <c r="O5" s="778"/>
      <c r="P5" s="778"/>
      <c r="Q5" s="778"/>
      <c r="AF5" s="72"/>
    </row>
    <row r="6" spans="14:34" ht="33" customHeight="1">
      <c r="N6" s="83"/>
      <c r="O6" s="38"/>
      <c r="P6" s="30" t="s">
        <v>616</v>
      </c>
      <c r="Q6" s="88"/>
      <c r="R6" s="88"/>
      <c r="S6" s="89"/>
      <c r="T6" s="90"/>
      <c r="U6" s="89"/>
      <c r="AB6" s="84" t="str">
        <f>E11</f>
        <v>事業者名　：　Ｂ金属株式会社</v>
      </c>
      <c r="AD6" s="85"/>
      <c r="AF6" s="72"/>
      <c r="AH6" s="109"/>
    </row>
    <row r="7" spans="5:35" ht="24">
      <c r="E7" s="86" t="s">
        <v>729</v>
      </c>
      <c r="G7" s="38"/>
      <c r="H7" s="38"/>
      <c r="I7" s="38" t="s">
        <v>533</v>
      </c>
      <c r="M7" s="85"/>
      <c r="N7" s="83"/>
      <c r="O7"/>
      <c r="P7" s="287" t="s">
        <v>23</v>
      </c>
      <c r="Q7" s="779" t="s">
        <v>40</v>
      </c>
      <c r="R7" s="287" t="s">
        <v>23</v>
      </c>
      <c r="S7" s="287" t="s">
        <v>23</v>
      </c>
      <c r="T7" s="782" t="s">
        <v>535</v>
      </c>
      <c r="U7" s="666" t="s">
        <v>17</v>
      </c>
      <c r="V7" s="87"/>
      <c r="W7" s="87"/>
      <c r="X7" s="38"/>
      <c r="Y7" s="85"/>
      <c r="Z7" s="38"/>
      <c r="AA7" s="38"/>
      <c r="AB7" s="38"/>
      <c r="AC7" s="38"/>
      <c r="AD7" s="38"/>
      <c r="AE7" s="38"/>
      <c r="AF7" s="72"/>
      <c r="AH7" s="109"/>
      <c r="AI7" s="532" t="s">
        <v>807</v>
      </c>
    </row>
    <row r="8" spans="5:47" ht="30" customHeight="1" thickBot="1">
      <c r="E8" s="40"/>
      <c r="G8" s="7"/>
      <c r="M8" s="158"/>
      <c r="N8" s="83"/>
      <c r="O8"/>
      <c r="P8" s="96" t="s">
        <v>536</v>
      </c>
      <c r="Q8" s="780"/>
      <c r="R8" s="96" t="s">
        <v>537</v>
      </c>
      <c r="S8" s="96" t="s">
        <v>24</v>
      </c>
      <c r="T8" s="783"/>
      <c r="U8" s="667"/>
      <c r="V8" s="90"/>
      <c r="W8" s="90"/>
      <c r="X8" s="38"/>
      <c r="Y8" s="91" t="s">
        <v>534</v>
      </c>
      <c r="Z8" s="38"/>
      <c r="AA8" s="38"/>
      <c r="AB8" s="38"/>
      <c r="AC8" s="38"/>
      <c r="AD8" s="38"/>
      <c r="AE8" s="38"/>
      <c r="AF8" s="38"/>
      <c r="AH8" s="109"/>
      <c r="AI8" s="640" t="s">
        <v>767</v>
      </c>
      <c r="AJ8" s="642" t="s">
        <v>768</v>
      </c>
      <c r="AK8" s="643"/>
      <c r="AL8" s="644"/>
      <c r="AM8" s="645" t="s">
        <v>769</v>
      </c>
      <c r="AN8" s="643"/>
      <c r="AO8" s="644"/>
      <c r="AP8" s="645" t="s">
        <v>770</v>
      </c>
      <c r="AQ8" s="643"/>
      <c r="AR8" s="646"/>
      <c r="AS8" s="637" t="s">
        <v>771</v>
      </c>
      <c r="AT8" s="638"/>
      <c r="AU8" s="639"/>
    </row>
    <row r="9" spans="3:47" ht="28.5" customHeight="1" thickBot="1">
      <c r="C9" s="92"/>
      <c r="D9" s="92"/>
      <c r="E9" s="40"/>
      <c r="F9" s="92"/>
      <c r="G9" s="92"/>
      <c r="H9" s="92"/>
      <c r="I9" s="92"/>
      <c r="J9" s="92"/>
      <c r="K9" s="92"/>
      <c r="L9" s="92"/>
      <c r="M9" s="92"/>
      <c r="N9" s="83"/>
      <c r="O9"/>
      <c r="P9" s="288" t="s">
        <v>25</v>
      </c>
      <c r="Q9" s="781"/>
      <c r="R9" s="324" t="s">
        <v>25</v>
      </c>
      <c r="S9" s="324" t="s">
        <v>25</v>
      </c>
      <c r="T9" s="783"/>
      <c r="U9" s="667"/>
      <c r="V9"/>
      <c r="W9"/>
      <c r="X9" s="736" t="s">
        <v>617</v>
      </c>
      <c r="Y9" s="784" t="str">
        <f>IF(M29-I29&lt;=0,"○","×")</f>
        <v>○</v>
      </c>
      <c r="Z9" s="732" t="s">
        <v>599</v>
      </c>
      <c r="AA9" s="732"/>
      <c r="AB9" s="733"/>
      <c r="AC9"/>
      <c r="AD9"/>
      <c r="AE9" s="38"/>
      <c r="AF9" s="38"/>
      <c r="AG9" s="38"/>
      <c r="AH9" s="422"/>
      <c r="AI9" s="641"/>
      <c r="AJ9" s="505" t="s">
        <v>772</v>
      </c>
      <c r="AK9" s="506" t="s">
        <v>773</v>
      </c>
      <c r="AL9" s="506" t="s">
        <v>774</v>
      </c>
      <c r="AM9" s="506" t="s">
        <v>772</v>
      </c>
      <c r="AN9" s="506" t="s">
        <v>773</v>
      </c>
      <c r="AO9" s="506" t="s">
        <v>774</v>
      </c>
      <c r="AP9" s="506" t="s">
        <v>772</v>
      </c>
      <c r="AQ9" s="506" t="s">
        <v>773</v>
      </c>
      <c r="AR9" s="507" t="s">
        <v>774</v>
      </c>
      <c r="AS9" s="508" t="s">
        <v>772</v>
      </c>
      <c r="AT9" s="506" t="s">
        <v>773</v>
      </c>
      <c r="AU9" s="506" t="s">
        <v>774</v>
      </c>
    </row>
    <row r="10" spans="3:47" ht="28.5" customHeight="1" thickTop="1">
      <c r="C10" s="95"/>
      <c r="D10" s="95"/>
      <c r="E10" s="94" t="s">
        <v>620</v>
      </c>
      <c r="F10" s="95"/>
      <c r="G10" s="95"/>
      <c r="H10" s="95"/>
      <c r="I10" s="95"/>
      <c r="N10" s="101"/>
      <c r="O10" s="101" t="s">
        <v>666</v>
      </c>
      <c r="P10" s="397">
        <f aca="true" t="shared" si="0" ref="P10:P19">IF(H19="",0,ROUNDDOWN(H19*2/3,0))</f>
        <v>1333333</v>
      </c>
      <c r="Q10" s="405">
        <f>IF($R$10&gt;0,1,"")</f>
        <v>1</v>
      </c>
      <c r="R10" s="102">
        <f>IF(事業類型="革新的サービス（コンパクト型）",0,MIN(P10,P22))</f>
        <v>1333333</v>
      </c>
      <c r="S10" s="102">
        <f>IF(R10=0,0,MIN(R10,P22))</f>
        <v>1333333</v>
      </c>
      <c r="T10" s="103">
        <f aca="true" t="shared" si="1" ref="T10:T19">I19-P10</f>
        <v>0</v>
      </c>
      <c r="U10" s="104" t="s">
        <v>668</v>
      </c>
      <c r="V10"/>
      <c r="W10"/>
      <c r="X10" s="736"/>
      <c r="Y10" s="737"/>
      <c r="Z10" s="734"/>
      <c r="AA10" s="734"/>
      <c r="AB10" s="735"/>
      <c r="AC10"/>
      <c r="AD10"/>
      <c r="AE10" s="98"/>
      <c r="AF10" s="97"/>
      <c r="AG10" s="99"/>
      <c r="AH10" s="98"/>
      <c r="AI10" s="509" t="s">
        <v>45</v>
      </c>
      <c r="AJ10" s="510">
        <v>10000000</v>
      </c>
      <c r="AK10" s="511">
        <f>$I$29</f>
        <v>5000000</v>
      </c>
      <c r="AL10" s="512" t="str">
        <f>IF(AJ10-AK10&gt;=0,"○","×")</f>
        <v>○</v>
      </c>
      <c r="AM10" s="511">
        <v>5000000</v>
      </c>
      <c r="AN10" s="511">
        <f>$I$29</f>
        <v>5000000</v>
      </c>
      <c r="AO10" s="512" t="str">
        <f>IF(AM10-AN10&gt;=0,"○","×")</f>
        <v>○</v>
      </c>
      <c r="AP10" s="511">
        <v>30000000</v>
      </c>
      <c r="AQ10" s="511">
        <f>$I$29</f>
        <v>5000000</v>
      </c>
      <c r="AR10" s="513" t="str">
        <f>IF(AP10-AQ10&gt;=0,"○","×")</f>
        <v>○</v>
      </c>
      <c r="AS10" s="514">
        <f>IF('基本情報入力（使い方）'!$C$22=1,AJ10,IF(OR('基本情報入力（使い方）'!$C$22=2,'基本情報入力（使い方）'!$C$22=3),AM10,AP10))</f>
        <v>5000000</v>
      </c>
      <c r="AT10" s="515">
        <f>IF('基本情報入力（使い方）'!$C$22=1,AK10,IF(OR('基本情報入力（使い方）'!$C$22=2,'基本情報入力（使い方）'!$C$22=3),AN10,AQ10))</f>
        <v>5000000</v>
      </c>
      <c r="AU10" s="516" t="str">
        <f>IF('基本情報入力（使い方）'!$C$22=1,AL10,IF(OR('基本情報入力（使い方）'!$C$22=2,'基本情報入力（使い方）'!$C$22=3),AO10,AR10))</f>
        <v>○</v>
      </c>
    </row>
    <row r="11" spans="3:47" ht="28.5" customHeight="1">
      <c r="C11" s="120"/>
      <c r="D11" s="120"/>
      <c r="E11" s="748" t="str">
        <f>"事業者名　：　"&amp;'基本情報入力（使い方）'!C11</f>
        <v>事業者名　：　Ｂ金属株式会社</v>
      </c>
      <c r="F11" s="748"/>
      <c r="G11" s="748"/>
      <c r="H11" s="748"/>
      <c r="I11" s="748"/>
      <c r="J11" s="748"/>
      <c r="M11" s="38"/>
      <c r="N11" s="101"/>
      <c r="O11" s="101" t="s">
        <v>667</v>
      </c>
      <c r="P11" s="105">
        <f t="shared" si="0"/>
        <v>2133333</v>
      </c>
      <c r="Q11" s="384">
        <f>IF($R$11&gt;0,1,"")</f>
        <v>1</v>
      </c>
      <c r="R11" s="106">
        <f>IF(AND(事業類型="革新的サービス（コンパクト型）",P11&gt;=500000*2/3),499999,MIN(P11,P22))</f>
        <v>2133333</v>
      </c>
      <c r="S11" s="106">
        <f>IF(R11=0,0,MIN(R11,(P22-R10)))</f>
        <v>2133333</v>
      </c>
      <c r="T11" s="107">
        <f t="shared" si="1"/>
        <v>-5</v>
      </c>
      <c r="U11" s="108" t="s">
        <v>669</v>
      </c>
      <c r="V11" s="1"/>
      <c r="W11"/>
      <c r="X11" s="736" t="s">
        <v>618</v>
      </c>
      <c r="Y11" s="737" t="str">
        <f>IF(L29-H29&lt;=0,"○","×")</f>
        <v>○</v>
      </c>
      <c r="Z11" s="738" t="s">
        <v>542</v>
      </c>
      <c r="AA11" s="738"/>
      <c r="AB11" s="739"/>
      <c r="AC11"/>
      <c r="AD11"/>
      <c r="AE11" s="11"/>
      <c r="AF11" s="97"/>
      <c r="AG11" s="99"/>
      <c r="AH11" s="11"/>
      <c r="AI11" s="517" t="s">
        <v>775</v>
      </c>
      <c r="AJ11" s="518">
        <v>1000000</v>
      </c>
      <c r="AK11" s="519">
        <f>$I$29</f>
        <v>5000000</v>
      </c>
      <c r="AL11" s="520" t="str">
        <f>IF(AK11-AJ11&gt;=0,"○","×")</f>
        <v>○</v>
      </c>
      <c r="AM11" s="519">
        <v>1000000</v>
      </c>
      <c r="AN11" s="519">
        <f>$I$29</f>
        <v>5000000</v>
      </c>
      <c r="AO11" s="520" t="str">
        <f>IF(AN11-AM11&gt;=0,"○","×")</f>
        <v>○</v>
      </c>
      <c r="AP11" s="519">
        <v>1000000</v>
      </c>
      <c r="AQ11" s="519">
        <f>$I$29</f>
        <v>5000000</v>
      </c>
      <c r="AR11" s="521" t="str">
        <f>IF(AQ11-AP11&gt;=0,"○","×")</f>
        <v>○</v>
      </c>
      <c r="AS11" s="514">
        <f>IF('基本情報入力（使い方）'!$C$22=1,AJ11,IF(OR('基本情報入力（使い方）'!$C$22=2,'基本情報入力（使い方）'!$C$22=3),AM11,AP11))</f>
        <v>1000000</v>
      </c>
      <c r="AT11" s="515">
        <f>IF('基本情報入力（使い方）'!$C$22=1,AK11,IF(OR('基本情報入力（使い方）'!$C$22=2,'基本情報入力（使い方）'!$C$22=3),AN11,AQ11))</f>
        <v>5000000</v>
      </c>
      <c r="AU11" s="516" t="str">
        <f>IF('基本情報入力（使い方）'!$C$22=1,AL11,IF(OR('基本情報入力（使い方）'!$C$22=2,'基本情報入力（使い方）'!$C$22=3),AO11,AR11))</f>
        <v>○</v>
      </c>
    </row>
    <row r="12" spans="1:48" ht="28.5" customHeight="1">
      <c r="A12" s="338"/>
      <c r="B12" s="339"/>
      <c r="C12" s="340"/>
      <c r="D12" s="340"/>
      <c r="E12" s="36"/>
      <c r="F12" s="337"/>
      <c r="G12" s="337"/>
      <c r="H12" s="335"/>
      <c r="I12" s="335"/>
      <c r="J12" s="335"/>
      <c r="K12" s="336"/>
      <c r="L12" s="336"/>
      <c r="M12" s="1"/>
      <c r="N12" s="101"/>
      <c r="O12" s="101" t="s">
        <v>26</v>
      </c>
      <c r="P12" s="105">
        <f t="shared" si="0"/>
        <v>342300</v>
      </c>
      <c r="Q12" s="384">
        <f>IF(P12=0,"",IF(SUM($P$10:$P$11)&gt;0,RANK(R12,$R$12:$R$19)+1,RANK(R12,$R$12:$R$19)))</f>
        <v>7</v>
      </c>
      <c r="R12" s="106">
        <f aca="true" t="shared" si="2" ref="R12:R19">IF(SUM($R$10:$R$11)-$P$22&gt;=0,0,ROUNDDOWN(P12/$P$21*$P$25,0))</f>
        <v>77348</v>
      </c>
      <c r="S12" s="106">
        <f aca="true" t="shared" si="3" ref="S12:S19">IF($R$21-R12=0,R12+$R$25,R12)</f>
        <v>77348</v>
      </c>
      <c r="T12" s="107">
        <f t="shared" si="1"/>
        <v>-264951</v>
      </c>
      <c r="U12" s="108" t="s">
        <v>543</v>
      </c>
      <c r="V12"/>
      <c r="W12"/>
      <c r="X12" s="736"/>
      <c r="Y12" s="737"/>
      <c r="Z12" s="738"/>
      <c r="AA12" s="738"/>
      <c r="AB12" s="739"/>
      <c r="AC12"/>
      <c r="AD12"/>
      <c r="AE12" s="11"/>
      <c r="AF12" s="97"/>
      <c r="AG12" s="99"/>
      <c r="AH12" s="11"/>
      <c r="AI12" s="522" t="s">
        <v>46</v>
      </c>
      <c r="AJ12" s="523" t="s">
        <v>776</v>
      </c>
      <c r="AK12" s="524">
        <f>$H$19</f>
        <v>2000000</v>
      </c>
      <c r="AL12" s="520" t="str">
        <f>IF(AK12&gt;=500000,"○","×")</f>
        <v>○</v>
      </c>
      <c r="AM12" s="615" t="s">
        <v>777</v>
      </c>
      <c r="AN12" s="525" t="s">
        <v>778</v>
      </c>
      <c r="AO12" s="525" t="s">
        <v>778</v>
      </c>
      <c r="AP12" s="526" t="s">
        <v>538</v>
      </c>
      <c r="AQ12" s="524">
        <f>$H$19</f>
        <v>2000000</v>
      </c>
      <c r="AR12" s="521" t="str">
        <f>IF(AQ12&gt;=500000,"○","×")</f>
        <v>○</v>
      </c>
      <c r="AS12" s="514" t="str">
        <f>IF('基本情報入力（使い方）'!$C$22=1,AJ12,IF(OR('基本情報入力（使い方）'!$C$22=2,'基本情報入力（使い方）'!$C$22=3),AM12,AP12))</f>
        <v>判定対象外</v>
      </c>
      <c r="AT12" s="515" t="str">
        <f>IF('基本情報入力（使い方）'!$C$22=1,AK12,IF(OR('基本情報入力（使い方）'!$C$22=2,'基本情報入力（使い方）'!$C$22=3),AN12,AQ12))</f>
        <v> </v>
      </c>
      <c r="AU12" s="516" t="str">
        <f>IF('基本情報入力（使い方）'!$C$22=1,AL12,IF(OR('基本情報入力（使い方）'!$C$22=2,'基本情報入力（使い方）'!$C$22=3),AO12,AR12))</f>
        <v> </v>
      </c>
      <c r="AV12" s="109"/>
    </row>
    <row r="13" spans="1:48" ht="30" customHeight="1">
      <c r="A13" s="789" t="s">
        <v>631</v>
      </c>
      <c r="B13" s="787" t="s">
        <v>556</v>
      </c>
      <c r="C13" s="785" t="s">
        <v>828</v>
      </c>
      <c r="D13" s="785" t="s">
        <v>821</v>
      </c>
      <c r="E13" s="791" t="s">
        <v>632</v>
      </c>
      <c r="F13" s="740" t="str">
        <f>事業類型&amp;"　"&amp;N50&amp;AJ42</f>
        <v>革新的サービス　小規模型（試作開発等）</v>
      </c>
      <c r="G13" s="741"/>
      <c r="H13" s="741"/>
      <c r="I13" s="741"/>
      <c r="J13" s="741"/>
      <c r="K13" s="741"/>
      <c r="L13" s="742"/>
      <c r="M13" s="127"/>
      <c r="N13" s="101"/>
      <c r="O13" s="101" t="s">
        <v>34</v>
      </c>
      <c r="P13" s="105">
        <f t="shared" si="0"/>
        <v>3600000</v>
      </c>
      <c r="Q13" s="384">
        <f aca="true" t="shared" si="4" ref="Q13:Q19">IF(P13=0,"",IF(SUM($P$10:$P$11)&gt;0,RANK(R13,$R$12:$R$19)+1,RANK(R13,$R$12:$R$19)))</f>
        <v>2</v>
      </c>
      <c r="R13" s="106">
        <f t="shared" si="2"/>
        <v>813484</v>
      </c>
      <c r="S13" s="106">
        <f t="shared" si="3"/>
        <v>813488</v>
      </c>
      <c r="T13" s="107">
        <f t="shared" si="1"/>
        <v>-2786510</v>
      </c>
      <c r="U13" s="108" t="s">
        <v>547</v>
      </c>
      <c r="V13"/>
      <c r="W13"/>
      <c r="X13" s="736" t="s">
        <v>619</v>
      </c>
      <c r="Y13" s="737" t="str">
        <f>IF(R43-ABS(Q43)&gt;=0,"○","×")</f>
        <v>○</v>
      </c>
      <c r="Z13" s="755" t="s">
        <v>615</v>
      </c>
      <c r="AA13" s="755"/>
      <c r="AB13" s="756"/>
      <c r="AC13"/>
      <c r="AD13"/>
      <c r="AE13" s="98"/>
      <c r="AF13" s="97"/>
      <c r="AG13" s="99"/>
      <c r="AH13" s="98"/>
      <c r="AI13" s="522" t="s">
        <v>47</v>
      </c>
      <c r="AJ13" s="523" t="s">
        <v>822</v>
      </c>
      <c r="AK13" s="524">
        <f>$I$29-SUM($I$19:$I$20)</f>
        <v>1533339</v>
      </c>
      <c r="AL13" s="520" t="str">
        <f>IF(AK13&lt;=5000000,"○","×")</f>
        <v>○</v>
      </c>
      <c r="AM13" s="615" t="s">
        <v>777</v>
      </c>
      <c r="AN13" s="525" t="s">
        <v>778</v>
      </c>
      <c r="AO13" s="525" t="s">
        <v>778</v>
      </c>
      <c r="AP13" s="526" t="s">
        <v>822</v>
      </c>
      <c r="AQ13" s="524">
        <f>$I$29-SUM($I$19:$I$20)</f>
        <v>1533339</v>
      </c>
      <c r="AR13" s="521" t="str">
        <f>IF(AQ13&lt;=5000000,"○","×")</f>
        <v>○</v>
      </c>
      <c r="AS13" s="514" t="str">
        <f>IF('基本情報入力（使い方）'!$C$22=1,AJ13,IF(OR('基本情報入力（使い方）'!$C$22=2,'基本情報入力（使い方）'!$C$22=3),AM13,AP13))</f>
        <v>判定対象外</v>
      </c>
      <c r="AT13" s="515" t="str">
        <f>IF('基本情報入力（使い方）'!$C$22=1,AK13,IF(OR('基本情報入力（使い方）'!$C$22=2,'基本情報入力（使い方）'!$C$22=3),AN13,AQ13))</f>
        <v> </v>
      </c>
      <c r="AU13" s="516" t="str">
        <f>IF('基本情報入力（使い方）'!$C$22=1,AL13,IF(OR('基本情報入力（使い方）'!$C$22=2,'基本情報入力（使い方）'!$C$22=3),AO13,AR13))</f>
        <v> </v>
      </c>
      <c r="AV13" s="109"/>
    </row>
    <row r="14" spans="1:48" ht="30" customHeight="1" thickBot="1">
      <c r="A14" s="790"/>
      <c r="B14" s="788"/>
      <c r="C14" s="786"/>
      <c r="D14" s="786"/>
      <c r="E14" s="792"/>
      <c r="F14" s="743"/>
      <c r="G14" s="744"/>
      <c r="H14" s="744"/>
      <c r="I14" s="744"/>
      <c r="J14" s="744"/>
      <c r="K14" s="744"/>
      <c r="L14" s="745"/>
      <c r="M14" s="454" t="s">
        <v>812</v>
      </c>
      <c r="N14" s="101"/>
      <c r="O14" s="101" t="s">
        <v>36</v>
      </c>
      <c r="P14" s="105">
        <f t="shared" si="0"/>
        <v>333333</v>
      </c>
      <c r="Q14" s="384">
        <f t="shared" si="4"/>
        <v>8</v>
      </c>
      <c r="R14" s="106">
        <f t="shared" si="2"/>
        <v>75322</v>
      </c>
      <c r="S14" s="106">
        <f t="shared" si="3"/>
        <v>75322</v>
      </c>
      <c r="T14" s="107">
        <f t="shared" si="1"/>
        <v>-258011</v>
      </c>
      <c r="U14" s="108" t="s">
        <v>548</v>
      </c>
      <c r="V14"/>
      <c r="W14"/>
      <c r="X14" s="736"/>
      <c r="Y14" s="754"/>
      <c r="Z14" s="757"/>
      <c r="AA14" s="757"/>
      <c r="AB14" s="758"/>
      <c r="AC14"/>
      <c r="AD14"/>
      <c r="AE14" s="11"/>
      <c r="AF14" s="97"/>
      <c r="AG14" s="99"/>
      <c r="AH14" s="11"/>
      <c r="AI14" s="522" t="s">
        <v>818</v>
      </c>
      <c r="AJ14" s="523" t="s">
        <v>820</v>
      </c>
      <c r="AK14" s="602">
        <f>$H$21</f>
        <v>513450</v>
      </c>
      <c r="AL14" s="520" t="str">
        <f>IF(OR(AK14=0,AK14=""),"○","×")</f>
        <v>×</v>
      </c>
      <c r="AM14" s="614" t="str">
        <f>IF('基本情報入力（使い方）'!$C$22=2,"判定対象外","事業対象外の経費を使用していないか")</f>
        <v>判定対象外</v>
      </c>
      <c r="AN14" s="616">
        <f>$H$21</f>
        <v>513450</v>
      </c>
      <c r="AO14" s="613">
        <f>IF('基本情報入力（使い方）'!$C$22=2,"",IF(OR(AN14=0,AN14=""),"○","×"))</f>
      </c>
      <c r="AP14" s="523" t="s">
        <v>820</v>
      </c>
      <c r="AQ14" s="602">
        <f>$H$21</f>
        <v>513450</v>
      </c>
      <c r="AR14" s="521" t="str">
        <f>IF(OR(AQ14=0,AQ14=""),"○","×")</f>
        <v>×</v>
      </c>
      <c r="AS14" s="514" t="str">
        <f>IF('基本情報入力（使い方）'!$C$22=1,AJ14,IF(OR('基本情報入力（使い方）'!$C$22=2,'基本情報入力（使い方）'!$C$22=3),AM14,AP14))</f>
        <v>判定対象外</v>
      </c>
      <c r="AT14" s="515">
        <f>IF('基本情報入力（使い方）'!$C$22=1,AK14,IF(OR('基本情報入力（使い方）'!$C$22=2,'基本情報入力（使い方）'!$C$22=3),AN14,AQ14))</f>
        <v>513450</v>
      </c>
      <c r="AU14" s="516">
        <f>IF('基本情報入力（使い方）'!$C$22=1,AL14,IF(OR('基本情報入力（使い方）'!$C$22=2,'基本情報入力（使い方）'!$C$22=3),AO14,AR14))</f>
      </c>
      <c r="AV14" s="109"/>
    </row>
    <row r="15" spans="1:47" s="109" customFormat="1" ht="30" customHeight="1" thickTop="1">
      <c r="A15" s="790"/>
      <c r="B15" s="788"/>
      <c r="C15" s="786"/>
      <c r="D15" s="786"/>
      <c r="E15" s="795" t="s">
        <v>17</v>
      </c>
      <c r="F15" s="798" t="s">
        <v>540</v>
      </c>
      <c r="G15" s="798"/>
      <c r="H15" s="798"/>
      <c r="I15" s="798"/>
      <c r="J15" s="751" t="s">
        <v>541</v>
      </c>
      <c r="K15" s="752"/>
      <c r="L15" s="752"/>
      <c r="M15" s="753"/>
      <c r="N15" s="101"/>
      <c r="O15" s="101" t="s">
        <v>35</v>
      </c>
      <c r="P15" s="105">
        <f t="shared" si="0"/>
        <v>720000</v>
      </c>
      <c r="Q15" s="384">
        <f t="shared" si="4"/>
        <v>3</v>
      </c>
      <c r="R15" s="106">
        <f t="shared" si="2"/>
        <v>162696</v>
      </c>
      <c r="S15" s="106">
        <f t="shared" si="3"/>
        <v>162696</v>
      </c>
      <c r="T15" s="107">
        <f t="shared" si="1"/>
        <v>-557303</v>
      </c>
      <c r="U15" s="108" t="s">
        <v>549</v>
      </c>
      <c r="V15"/>
      <c r="W15"/>
      <c r="X15" s="713"/>
      <c r="Y15" s="749"/>
      <c r="Z15" s="750"/>
      <c r="AA15" s="750"/>
      <c r="AB15" s="750"/>
      <c r="AC15"/>
      <c r="AD15"/>
      <c r="AE15" s="11"/>
      <c r="AF15" s="97"/>
      <c r="AG15" s="99"/>
      <c r="AH15" s="11"/>
      <c r="AI15" s="527" t="s">
        <v>36</v>
      </c>
      <c r="AJ15" s="523" t="s">
        <v>820</v>
      </c>
      <c r="AK15" s="602">
        <f>$H$23</f>
        <v>500000</v>
      </c>
      <c r="AL15" s="520" t="str">
        <f>IF(OR(AK15=0,AK15=""),"○","×")</f>
        <v>×</v>
      </c>
      <c r="AM15" s="614" t="str">
        <f>IF('基本情報入力（使い方）'!$C$22=2,"外注加工費は補助対象経費の1/2を超えていないか※１","事業対象外の経費を使用していないか")</f>
        <v>外注加工費は補助対象経費の1/2を超えていないか※１</v>
      </c>
      <c r="AN15" s="616">
        <f>$H$23</f>
        <v>500000</v>
      </c>
      <c r="AO15" s="613" t="str">
        <f>IF('基本情報入力（使い方）'!$C$22=2,IF($G$29/2-$G$23&gt;=0,"○","×"),IF(OR(AN15=0,AN15=""),"○","×"))</f>
        <v>○</v>
      </c>
      <c r="AP15" s="523" t="s">
        <v>820</v>
      </c>
      <c r="AQ15" s="602">
        <f>$H$23</f>
        <v>500000</v>
      </c>
      <c r="AR15" s="521" t="str">
        <f>IF(OR(AQ15=0,AQ15=""),"○","×")</f>
        <v>×</v>
      </c>
      <c r="AS15" s="514" t="str">
        <f>IF('基本情報入力（使い方）'!$C$22=1,AJ15,IF(OR('基本情報入力（使い方）'!$C$22=2,'基本情報入力（使い方）'!$C$22=3),AM15,AP15))</f>
        <v>外注加工費は補助対象経費の1/2を超えていないか※１</v>
      </c>
      <c r="AT15" s="515">
        <f>IF('基本情報入力（使い方）'!$C$22=1,AK15,IF(OR('基本情報入力（使い方）'!$C$22=2,'基本情報入力（使い方）'!$C$22=3),AN15,AQ15))</f>
        <v>500000</v>
      </c>
      <c r="AU15" s="516" t="str">
        <f>IF('基本情報入力（使い方）'!$C$22=1,AL15,IF(OR('基本情報入力（使い方）'!$C$22=2,'基本情報入力（使い方）'!$C$22=3),AO15,AR15))</f>
        <v>○</v>
      </c>
    </row>
    <row r="16" spans="1:47" s="109" customFormat="1" ht="30" customHeight="1">
      <c r="A16" s="790"/>
      <c r="B16" s="788"/>
      <c r="C16" s="786"/>
      <c r="D16" s="786"/>
      <c r="E16" s="796"/>
      <c r="F16" s="794" t="s">
        <v>636</v>
      </c>
      <c r="G16" s="712"/>
      <c r="H16" s="292" t="s">
        <v>637</v>
      </c>
      <c r="I16" s="291" t="s">
        <v>23</v>
      </c>
      <c r="J16" s="711" t="s">
        <v>636</v>
      </c>
      <c r="K16" s="712"/>
      <c r="L16" s="292" t="s">
        <v>637</v>
      </c>
      <c r="M16" s="129" t="s">
        <v>23</v>
      </c>
      <c r="N16" s="110"/>
      <c r="O16" s="101" t="s">
        <v>49</v>
      </c>
      <c r="P16" s="105">
        <f t="shared" si="0"/>
        <v>366666</v>
      </c>
      <c r="Q16" s="384">
        <f t="shared" si="4"/>
        <v>6</v>
      </c>
      <c r="R16" s="106">
        <f t="shared" si="2"/>
        <v>82854</v>
      </c>
      <c r="S16" s="106">
        <f t="shared" si="3"/>
        <v>82854</v>
      </c>
      <c r="T16" s="107">
        <f t="shared" si="1"/>
        <v>-283812</v>
      </c>
      <c r="U16" s="108" t="s">
        <v>551</v>
      </c>
      <c r="V16"/>
      <c r="W16"/>
      <c r="X16" s="713"/>
      <c r="Y16" s="749"/>
      <c r="Z16" s="750"/>
      <c r="AA16" s="750"/>
      <c r="AB16" s="750"/>
      <c r="AC16"/>
      <c r="AD16"/>
      <c r="AE16" s="98"/>
      <c r="AF16" s="97"/>
      <c r="AG16" s="99"/>
      <c r="AH16" s="98"/>
      <c r="AI16" s="527" t="s">
        <v>779</v>
      </c>
      <c r="AJ16" s="523" t="s">
        <v>820</v>
      </c>
      <c r="AK16" s="602">
        <f>$H$24</f>
        <v>1080000</v>
      </c>
      <c r="AL16" s="520" t="str">
        <f>IF(OR(AK16=0,AK16=""),"○","×")</f>
        <v>×</v>
      </c>
      <c r="AM16" s="614" t="str">
        <f>IF('基本情報入力（使い方）'!$C$22=2,"委託費は補助対象経費の1/2を超えていないか※１","事業対象外の経費を使用していないか")</f>
        <v>委託費は補助対象経費の1/2を超えていないか※１</v>
      </c>
      <c r="AN16" s="616">
        <f>$H$24</f>
        <v>1080000</v>
      </c>
      <c r="AO16" s="613" t="str">
        <f>IF('基本情報入力（使い方）'!$C$22=2,IF($G$29/2-$G$24&gt;=0,"○","×"),IF(OR(AN16=0,AN16=""),"○","×"))</f>
        <v>○</v>
      </c>
      <c r="AP16" s="523" t="s">
        <v>820</v>
      </c>
      <c r="AQ16" s="602">
        <f>$H$24</f>
        <v>1080000</v>
      </c>
      <c r="AR16" s="521" t="str">
        <f>IF(OR(AQ16=0,AQ16=""),"○","×")</f>
        <v>×</v>
      </c>
      <c r="AS16" s="529" t="str">
        <f>IF('基本情報入力（使い方）'!$C$22=1,AJ16,IF(OR('基本情報入力（使い方）'!$C$22=2,'基本情報入力（使い方）'!$C$22=3),AM16,AP16))</f>
        <v>委託費は補助対象経費の1/2を超えていないか※１</v>
      </c>
      <c r="AT16" s="515">
        <f>IF('基本情報入力（使い方）'!$C$22=1,AK16,IF(OR('基本情報入力（使い方）'!$C$22=2,'基本情報入力（使い方）'!$C$22=3),AN16,AQ16))</f>
        <v>1080000</v>
      </c>
      <c r="AU16" s="516" t="str">
        <f>IF('基本情報入力（使い方）'!$C$22=1,AL16,IF(OR('基本情報入力（使い方）'!$C$22=2,'基本情報入力（使い方）'!$C$22=3),AO16,AR16))</f>
        <v>○</v>
      </c>
    </row>
    <row r="17" spans="1:47" s="109" customFormat="1" ht="30" customHeight="1">
      <c r="A17" s="790"/>
      <c r="B17" s="788"/>
      <c r="C17" s="786"/>
      <c r="D17" s="786"/>
      <c r="E17" s="796"/>
      <c r="F17" s="793" t="s">
        <v>50</v>
      </c>
      <c r="G17" s="747"/>
      <c r="H17" s="35" t="s">
        <v>51</v>
      </c>
      <c r="I17" s="77" t="s">
        <v>544</v>
      </c>
      <c r="J17" s="746" t="s">
        <v>545</v>
      </c>
      <c r="K17" s="747"/>
      <c r="L17" s="35" t="s">
        <v>51</v>
      </c>
      <c r="M17" s="131" t="s">
        <v>546</v>
      </c>
      <c r="N17" s="101"/>
      <c r="O17" s="101" t="s">
        <v>37</v>
      </c>
      <c r="P17" s="105">
        <f t="shared" si="0"/>
        <v>590000</v>
      </c>
      <c r="Q17" s="384">
        <f t="shared" si="4"/>
        <v>5</v>
      </c>
      <c r="R17" s="106">
        <f t="shared" si="2"/>
        <v>133320</v>
      </c>
      <c r="S17" s="106">
        <f t="shared" si="3"/>
        <v>133320</v>
      </c>
      <c r="T17" s="107">
        <f t="shared" si="1"/>
        <v>-456679</v>
      </c>
      <c r="U17" s="108" t="s">
        <v>552</v>
      </c>
      <c r="V17"/>
      <c r="W17"/>
      <c r="X17" s="97"/>
      <c r="Y17"/>
      <c r="Z17"/>
      <c r="AA17"/>
      <c r="AB17"/>
      <c r="AC17"/>
      <c r="AD17"/>
      <c r="AE17" s="11"/>
      <c r="AF17" s="97"/>
      <c r="AG17" s="99"/>
      <c r="AH17" s="11"/>
      <c r="AI17" s="527" t="s">
        <v>48</v>
      </c>
      <c r="AJ17" s="615" t="s">
        <v>777</v>
      </c>
      <c r="AK17" s="525"/>
      <c r="AL17" s="525" t="s">
        <v>778</v>
      </c>
      <c r="AM17" s="614" t="str">
        <f>IF('基本情報入力（使い方）'!$C$22=2,"上記の合計額が補助対象経費の1/2を超えていないか。※１","判定対象外")</f>
        <v>上記の合計額が補助対象経費の1/2を超えていないか。※１</v>
      </c>
      <c r="AN17" s="612">
        <f>IF('基本情報入力（使い方）'!$C$22=2,$H$23+$H$24,"")</f>
        <v>1580000</v>
      </c>
      <c r="AO17" s="613" t="str">
        <f>IF('基本情報入力（使い方）'!$C$22=2,IF($G$29/2-($G$23+$G$24)&gt;=0,"○","×"),"")</f>
        <v>○</v>
      </c>
      <c r="AP17" s="615" t="s">
        <v>777</v>
      </c>
      <c r="AQ17" s="525"/>
      <c r="AR17" s="528" t="s">
        <v>778</v>
      </c>
      <c r="AS17" s="529" t="str">
        <f>IF('基本情報入力（使い方）'!$C$22=1,AJ17,IF(OR('基本情報入力（使い方）'!$C$22=2,'基本情報入力（使い方）'!$C$22=3),AM17,AP17))</f>
        <v>上記の合計額が補助対象経費の1/2を超えていないか。※１</v>
      </c>
      <c r="AT17" s="515">
        <f>IF('基本情報入力（使い方）'!$C$22=1,AK17,IF(OR('基本情報入力（使い方）'!$C$22=2,'基本情報入力（使い方）'!$C$22=3),AN17,AQ17))</f>
        <v>1580000</v>
      </c>
      <c r="AU17" s="516" t="str">
        <f>IF('基本情報入力（使い方）'!$C$22=1,AL17,IF(OR('基本情報入力（使い方）'!$C$22=2,'基本情報入力（使い方）'!$C$22=3),AO17,AR17))</f>
        <v>○</v>
      </c>
    </row>
    <row r="18" spans="1:47" s="109" customFormat="1" ht="30" customHeight="1">
      <c r="A18" s="790"/>
      <c r="B18" s="788"/>
      <c r="C18" s="786"/>
      <c r="D18" s="786"/>
      <c r="E18" s="797"/>
      <c r="F18" s="132" t="s">
        <v>52</v>
      </c>
      <c r="G18" s="76" t="s">
        <v>25</v>
      </c>
      <c r="H18" s="76" t="s">
        <v>25</v>
      </c>
      <c r="I18" s="341" t="s">
        <v>25</v>
      </c>
      <c r="J18" s="133" t="s">
        <v>14</v>
      </c>
      <c r="K18" s="76" t="s">
        <v>25</v>
      </c>
      <c r="L18" s="76" t="s">
        <v>25</v>
      </c>
      <c r="M18" s="134" t="s">
        <v>25</v>
      </c>
      <c r="N18" s="101"/>
      <c r="O18" s="101" t="s">
        <v>672</v>
      </c>
      <c r="P18" s="105">
        <f t="shared" si="0"/>
        <v>666666</v>
      </c>
      <c r="Q18" s="384">
        <f t="shared" si="4"/>
        <v>4</v>
      </c>
      <c r="R18" s="106">
        <f t="shared" si="2"/>
        <v>150645</v>
      </c>
      <c r="S18" s="106">
        <f t="shared" si="3"/>
        <v>150645</v>
      </c>
      <c r="T18" s="116">
        <f t="shared" si="1"/>
        <v>-516021</v>
      </c>
      <c r="U18" s="108" t="s">
        <v>680</v>
      </c>
      <c r="V18"/>
      <c r="W18"/>
      <c r="X18" s="111"/>
      <c r="Y18" s="112"/>
      <c r="Z18" s="112"/>
      <c r="AA18" s="113"/>
      <c r="AB18" s="588"/>
      <c r="AC18"/>
      <c r="AD18"/>
      <c r="AE18" s="98"/>
      <c r="AF18" s="97"/>
      <c r="AG18" s="99"/>
      <c r="AH18" s="98"/>
      <c r="AI18" s="527" t="s">
        <v>780</v>
      </c>
      <c r="AJ18" s="523" t="s">
        <v>820</v>
      </c>
      <c r="AK18" s="602">
        <f>$H$25</f>
        <v>550000</v>
      </c>
      <c r="AL18" s="520" t="str">
        <f>IF(OR(AK18=0,AK18=""),"○","×")</f>
        <v>×</v>
      </c>
      <c r="AM18" s="614" t="str">
        <f>IF('基本情報入力（使い方）'!$C$22=2,"知的財産権関連経費が補助対象経費の1/3を超えていないか。※１","事業対象外の経費を使用していないか")</f>
        <v>知的財産権関連経費が補助対象経費の1/3を超えていないか。※１</v>
      </c>
      <c r="AN18" s="616">
        <f>$H$25</f>
        <v>550000</v>
      </c>
      <c r="AO18" s="613" t="str">
        <f>IF('基本情報入力（使い方）'!$C$22=2,IF($G$29/3-$G$25&gt;=0,"○","×"),IF(OR(AN18=0,AN18=""),"○","×"))</f>
        <v>○</v>
      </c>
      <c r="AP18" s="523" t="s">
        <v>820</v>
      </c>
      <c r="AQ18" s="602">
        <f>$H$25</f>
        <v>550000</v>
      </c>
      <c r="AR18" s="521" t="str">
        <f>IF(OR(AQ18=0,AQ18=""),"○","×")</f>
        <v>×</v>
      </c>
      <c r="AS18" s="529" t="str">
        <f>IF('基本情報入力（使い方）'!$C$22=1,AJ18,IF(OR('基本情報入力（使い方）'!$C$22=2,'基本情報入力（使い方）'!$C$22=3),AM18,AP18))</f>
        <v>知的財産権関連経費が補助対象経費の1/3を超えていないか。※１</v>
      </c>
      <c r="AT18" s="515">
        <f>IF('基本情報入力（使い方）'!$C$22=1,AK18,IF(OR('基本情報入力（使い方）'!$C$22=2,'基本情報入力（使い方）'!$C$22=3),AN18,AQ18))</f>
        <v>550000</v>
      </c>
      <c r="AU18" s="585" t="str">
        <f>IF('基本情報入力（使い方）'!$C$22=1,AL18,IF(OR('基本情報入力（使い方）'!$C$22=2,'基本情報入力（使い方）'!$C$22=3),AO18,AR18))</f>
        <v>○</v>
      </c>
    </row>
    <row r="19" spans="1:47" s="109" customFormat="1" ht="30" customHeight="1">
      <c r="A19" s="604">
        <f aca="true" t="shared" si="5" ref="A19:A28">IF(AND(F19=0,J19&gt;0),"×","")</f>
      </c>
      <c r="B19" s="605">
        <f>IF(AND(J19&gt;=K19,K19&gt;=L19),"","×")</f>
      </c>
      <c r="C19" s="594"/>
      <c r="D19" s="594"/>
      <c r="E19" s="597" t="s">
        <v>670</v>
      </c>
      <c r="F19" s="463">
        <v>2160000</v>
      </c>
      <c r="G19" s="414">
        <v>2000000</v>
      </c>
      <c r="H19" s="464">
        <v>2000000</v>
      </c>
      <c r="I19" s="414">
        <v>1333333</v>
      </c>
      <c r="J19" s="565">
        <f>'機械装置費（50万円以上）'!K33</f>
        <v>2159136</v>
      </c>
      <c r="K19" s="566">
        <f>'機械装置費（50万円以上）'!L33</f>
        <v>1999200</v>
      </c>
      <c r="L19" s="567">
        <f>'機械装置費（50万円以上）'!M33</f>
        <v>1999200</v>
      </c>
      <c r="M19" s="568">
        <v>1332800</v>
      </c>
      <c r="N19" s="101"/>
      <c r="O19" s="101" t="s">
        <v>673</v>
      </c>
      <c r="P19" s="117">
        <f t="shared" si="0"/>
        <v>166666</v>
      </c>
      <c r="Q19" s="384">
        <f t="shared" si="4"/>
        <v>9</v>
      </c>
      <c r="R19" s="106">
        <f t="shared" si="2"/>
        <v>37661</v>
      </c>
      <c r="S19" s="118">
        <f t="shared" si="3"/>
        <v>37661</v>
      </c>
      <c r="T19" s="385">
        <f t="shared" si="1"/>
        <v>-129005</v>
      </c>
      <c r="U19" s="119" t="s">
        <v>741</v>
      </c>
      <c r="V19"/>
      <c r="W19"/>
      <c r="X19" s="97"/>
      <c r="Y19" s="115" t="str">
        <f>IF(AND($Y$20="○",OR(事業類型="一般型",事業類型="成長分野型")),"判定6（仮）","判定6")</f>
        <v>判定6</v>
      </c>
      <c r="Z19" s="772" t="s">
        <v>553</v>
      </c>
      <c r="AA19" s="773"/>
      <c r="AB19" s="774"/>
      <c r="AC19"/>
      <c r="AD19"/>
      <c r="AE19" s="11"/>
      <c r="AF19" s="97"/>
      <c r="AG19" s="99"/>
      <c r="AH19" s="11"/>
      <c r="AI19" s="527" t="s">
        <v>819</v>
      </c>
      <c r="AJ19" s="523" t="s">
        <v>820</v>
      </c>
      <c r="AK19" s="602">
        <f>$H$28</f>
        <v>250000</v>
      </c>
      <c r="AL19" s="520" t="str">
        <f>IF(OR(AK19=0,AK19=""),"○","×")</f>
        <v>×</v>
      </c>
      <c r="AM19" s="614" t="str">
        <f>IF('基本情報入力（使い方）'!$C$22=2,"判定対象外","事業対象外の経費を使用していないか")</f>
        <v>判定対象外</v>
      </c>
      <c r="AN19" s="616">
        <f>$H$28</f>
        <v>250000</v>
      </c>
      <c r="AO19" s="613">
        <f>IF('基本情報入力（使い方）'!$C$22=2,"",IF(OR(AN19=0,AN19=""),"○","×"))</f>
      </c>
      <c r="AP19" s="523" t="s">
        <v>820</v>
      </c>
      <c r="AQ19" s="602">
        <f>$H$28</f>
        <v>250000</v>
      </c>
      <c r="AR19" s="521" t="str">
        <f>IF(OR(AQ19=0,AQ19=""),"○","×")</f>
        <v>×</v>
      </c>
      <c r="AS19" s="514" t="str">
        <f>IF('基本情報入力（使い方）'!$C$22=1,AJ19,IF(OR('基本情報入力（使い方）'!$C$22=2,'基本情報入力（使い方）'!$C$22=3),AM19,AP19))</f>
        <v>判定対象外</v>
      </c>
      <c r="AT19" s="515">
        <f>IF('基本情報入力（使い方）'!$C$22=1,AK19,IF(OR('基本情報入力（使い方）'!$C$22=2,'基本情報入力（使い方）'!$C$22=3),AN19,AQ19))</f>
        <v>250000</v>
      </c>
      <c r="AU19" s="516">
        <f>IF('基本情報入力（使い方）'!$C$22=1,AL19,IF(OR('基本情報入力（使い方）'!$C$22=2,'基本情報入力（使い方）'!$C$22=3),AO19,AR19))</f>
      </c>
    </row>
    <row r="20" spans="1:47" s="109" customFormat="1" ht="30" customHeight="1">
      <c r="A20" s="606">
        <f t="shared" si="5"/>
      </c>
      <c r="B20" s="607">
        <f>IF(AND(J20&gt;=K20,K20&gt;=L20),"","×")</f>
      </c>
      <c r="C20" s="595"/>
      <c r="D20" s="595"/>
      <c r="E20" s="598" t="s">
        <v>671</v>
      </c>
      <c r="F20" s="465">
        <v>3456000</v>
      </c>
      <c r="G20" s="415">
        <v>3200000</v>
      </c>
      <c r="H20" s="466">
        <v>3200000</v>
      </c>
      <c r="I20" s="415">
        <v>2133328</v>
      </c>
      <c r="J20" s="569">
        <f>'機械装置費（50万円未満）'!K33</f>
        <v>3456000</v>
      </c>
      <c r="K20" s="570">
        <f>'機械装置費（50万円未満）'!L33</f>
        <v>3200000</v>
      </c>
      <c r="L20" s="571">
        <f>'機械装置費（50万円未満）'!M33</f>
        <v>3200000</v>
      </c>
      <c r="M20" s="572">
        <v>2133328</v>
      </c>
      <c r="N20" s="83"/>
      <c r="O20" s="232" t="s">
        <v>33</v>
      </c>
      <c r="P20" s="114">
        <f>SUM(P10:P19)</f>
        <v>10252297</v>
      </c>
      <c r="Q20" s="122"/>
      <c r="R20" s="121">
        <f>SUM(R10:R19)</f>
        <v>4999996</v>
      </c>
      <c r="S20" s="114">
        <f>SUM(S10:S19)</f>
        <v>5000000</v>
      </c>
      <c r="T20" s="123"/>
      <c r="U20" s="124"/>
      <c r="V20"/>
      <c r="W20" s="168"/>
      <c r="X20" s="97"/>
      <c r="Y20" s="768" t="str">
        <f>AU28</f>
        <v> </v>
      </c>
      <c r="Z20" s="770" t="str">
        <f>AS28</f>
        <v>判定対象外</v>
      </c>
      <c r="AA20" s="770"/>
      <c r="AB20" s="771"/>
      <c r="AC20"/>
      <c r="AD20"/>
      <c r="AE20" s="98"/>
      <c r="AF20" s="97"/>
      <c r="AG20" s="99"/>
      <c r="AH20" s="98"/>
      <c r="AI20" s="530"/>
      <c r="AJ20" s="530"/>
      <c r="AK20" s="530"/>
      <c r="AL20" s="530"/>
      <c r="AM20" s="530" t="s">
        <v>781</v>
      </c>
      <c r="AN20" s="530"/>
      <c r="AO20" s="530"/>
      <c r="AP20" s="530"/>
      <c r="AQ20" s="530"/>
      <c r="AR20" s="530"/>
      <c r="AS20" s="530"/>
      <c r="AT20" s="530"/>
      <c r="AU20" s="530"/>
    </row>
    <row r="21" spans="1:48" ht="30" customHeight="1">
      <c r="A21" s="606">
        <f t="shared" si="5"/>
      </c>
      <c r="B21" s="607">
        <f>IF(AND(J21&gt;=K21,K21&gt;=L21),"","×")</f>
      </c>
      <c r="C21" s="595">
        <f>IF(AU30="○","",AU30)</f>
      </c>
      <c r="D21" s="595">
        <f>AU14</f>
      </c>
      <c r="E21" s="598" t="s">
        <v>813</v>
      </c>
      <c r="F21" s="465">
        <v>554526</v>
      </c>
      <c r="G21" s="415">
        <v>513450</v>
      </c>
      <c r="H21" s="466">
        <v>513450</v>
      </c>
      <c r="I21" s="415">
        <v>77349</v>
      </c>
      <c r="J21" s="569">
        <f>'原材料費'!K33</f>
        <v>554526</v>
      </c>
      <c r="K21" s="570">
        <f>'原材料費'!L33</f>
        <v>513450</v>
      </c>
      <c r="L21" s="571">
        <f>'原材料費'!M33</f>
        <v>513450</v>
      </c>
      <c r="M21" s="572">
        <v>77349</v>
      </c>
      <c r="N21" s="714" t="s">
        <v>621</v>
      </c>
      <c r="O21" s="715"/>
      <c r="P21" s="406">
        <f>P20-SUM(P10:P11)</f>
        <v>6785631</v>
      </c>
      <c r="Q21" s="295" t="s">
        <v>622</v>
      </c>
      <c r="R21" s="407">
        <f>IF(ISERROR(VLOOKUP(2,$Q$10:$R$19,2,FALSE)),0,VLOOKUP(2,$Q$10:$R$19,2,FALSE))</f>
        <v>813484</v>
      </c>
      <c r="S21" s="408" t="s">
        <v>623</v>
      </c>
      <c r="T21" s="14"/>
      <c r="U21" s="14"/>
      <c r="V21" s="168"/>
      <c r="W21" s="232"/>
      <c r="X21" s="93"/>
      <c r="Y21" s="769"/>
      <c r="Z21" s="727" t="str">
        <f>AT28</f>
        <v> </v>
      </c>
      <c r="AA21" s="727"/>
      <c r="AB21" s="728"/>
      <c r="AC21"/>
      <c r="AD21"/>
      <c r="AE21"/>
      <c r="AF21" s="93"/>
      <c r="AG21" s="93"/>
      <c r="AH21" s="421"/>
      <c r="AI21" s="530"/>
      <c r="AJ21" s="530"/>
      <c r="AK21" s="530"/>
      <c r="AL21" s="530"/>
      <c r="AM21" s="530" t="s">
        <v>782</v>
      </c>
      <c r="AN21" s="530"/>
      <c r="AO21" s="530"/>
      <c r="AP21" s="530"/>
      <c r="AQ21" s="530"/>
      <c r="AR21" s="530"/>
      <c r="AS21" s="530"/>
      <c r="AT21" s="530"/>
      <c r="AU21" s="530"/>
      <c r="AV21" s="109"/>
    </row>
    <row r="22" spans="1:47" ht="30" customHeight="1">
      <c r="A22" s="606">
        <f t="shared" si="5"/>
      </c>
      <c r="B22" s="607">
        <f aca="true" t="shared" si="6" ref="B22:B27">IF(AND(J22&gt;=K22,K22&gt;=L22),"","×")</f>
      </c>
      <c r="C22" s="595"/>
      <c r="D22" s="595"/>
      <c r="E22" s="598" t="s">
        <v>34</v>
      </c>
      <c r="F22" s="465">
        <v>5832000</v>
      </c>
      <c r="G22" s="415">
        <v>5400000</v>
      </c>
      <c r="H22" s="466">
        <v>5400000</v>
      </c>
      <c r="I22" s="415">
        <v>813490</v>
      </c>
      <c r="J22" s="569">
        <f>'技術導入費'!K33</f>
        <v>5832000</v>
      </c>
      <c r="K22" s="570">
        <f>'技術導入費'!L33</f>
        <v>5400000</v>
      </c>
      <c r="L22" s="571">
        <f>'技術導入費'!M33</f>
        <v>5400000</v>
      </c>
      <c r="M22" s="572">
        <v>814023</v>
      </c>
      <c r="N22" s="714" t="s">
        <v>624</v>
      </c>
      <c r="O22" s="715"/>
      <c r="P22" s="406">
        <f>MIN(P20,補助上限額)</f>
        <v>5000000</v>
      </c>
      <c r="Q22" s="295" t="s">
        <v>625</v>
      </c>
      <c r="R22" s="407">
        <f>SUMIF(Q10:Q19,2,R10:R19)</f>
        <v>813484</v>
      </c>
      <c r="S22" s="408" t="s">
        <v>626</v>
      </c>
      <c r="T22" s="14"/>
      <c r="U22" s="33"/>
      <c r="V22" s="232"/>
      <c r="W22" s="38"/>
      <c r="X22" s="93"/>
      <c r="Y22" s="775">
        <f>IF(AND($AU$28="○"),"（注意）経費明細上では単価のチェックができないため、「機械装置費の総額50万円以上かどうか」で判定しています。かならず機械装置費の中に単価50万円以上の設備投資があることを確認して下さい。","")</f>
      </c>
      <c r="Z22" s="775"/>
      <c r="AA22" s="775"/>
      <c r="AB22" s="775"/>
      <c r="AC22"/>
      <c r="AD22"/>
      <c r="AE22"/>
      <c r="AF22"/>
      <c r="AG22"/>
      <c r="AH22" s="421"/>
      <c r="AI22" s="530"/>
      <c r="AJ22" s="530"/>
      <c r="AK22" s="530"/>
      <c r="AL22" s="530"/>
      <c r="AM22" s="530"/>
      <c r="AN22" s="530"/>
      <c r="AO22" s="530"/>
      <c r="AP22" s="530"/>
      <c r="AQ22" s="530"/>
      <c r="AR22" s="530"/>
      <c r="AS22" s="530"/>
      <c r="AT22" s="530"/>
      <c r="AU22" s="530"/>
    </row>
    <row r="23" spans="1:47" ht="30" customHeight="1">
      <c r="A23" s="606">
        <f t="shared" si="5"/>
      </c>
      <c r="B23" s="607">
        <f t="shared" si="6"/>
      </c>
      <c r="C23" s="595">
        <f>IF(AU31="○","",AU31)</f>
      </c>
      <c r="D23" s="595" t="str">
        <f>AU15</f>
        <v>○</v>
      </c>
      <c r="E23" s="598" t="s">
        <v>814</v>
      </c>
      <c r="F23" s="465">
        <v>540000</v>
      </c>
      <c r="G23" s="415">
        <v>500000</v>
      </c>
      <c r="H23" s="466">
        <v>500000</v>
      </c>
      <c r="I23" s="415">
        <v>75322</v>
      </c>
      <c r="J23" s="569">
        <f>'外注加工費'!K33</f>
        <v>540000</v>
      </c>
      <c r="K23" s="570">
        <f>'外注加工費'!L33</f>
        <v>500000</v>
      </c>
      <c r="L23" s="571">
        <f>'外注加工費'!M33</f>
        <v>500000</v>
      </c>
      <c r="M23" s="572">
        <v>75322</v>
      </c>
      <c r="N23" s="714" t="s">
        <v>627</v>
      </c>
      <c r="O23" s="716"/>
      <c r="P23" s="406">
        <f>MAX(P22-SUM(P10:P11),0)</f>
        <v>1533334</v>
      </c>
      <c r="Q23" s="295" t="s">
        <v>628</v>
      </c>
      <c r="R23" s="296">
        <f>MIN(P24-(R20-SUM(R10:R11)),P22-R20)</f>
        <v>4</v>
      </c>
      <c r="S23" s="408"/>
      <c r="T23" s="14"/>
      <c r="U23" s="297"/>
      <c r="V23" s="38"/>
      <c r="W23" s="126"/>
      <c r="X23" s="38"/>
      <c r="Y23" s="776"/>
      <c r="Z23" s="776"/>
      <c r="AA23" s="776"/>
      <c r="AB23" s="776"/>
      <c r="AC23"/>
      <c r="AD23"/>
      <c r="AE23"/>
      <c r="AF23" s="72"/>
      <c r="AG23" s="80"/>
      <c r="AH23" s="80"/>
      <c r="AI23" s="532" t="s">
        <v>808</v>
      </c>
      <c r="AJ23" s="530"/>
      <c r="AK23" s="530"/>
      <c r="AL23" s="530"/>
      <c r="AM23" s="530"/>
      <c r="AN23" s="530"/>
      <c r="AO23" s="530"/>
      <c r="AP23" s="530"/>
      <c r="AQ23" s="530"/>
      <c r="AR23" s="530"/>
      <c r="AS23" s="530"/>
      <c r="AT23" s="530"/>
      <c r="AU23" s="530"/>
    </row>
    <row r="24" spans="1:47" ht="30" customHeight="1">
      <c r="A24" s="606">
        <f t="shared" si="5"/>
      </c>
      <c r="B24" s="607">
        <f t="shared" si="6"/>
      </c>
      <c r="C24" s="595">
        <f>IF(AU32="○","",AU32)</f>
      </c>
      <c r="D24" s="595" t="str">
        <f>AU16</f>
        <v>○</v>
      </c>
      <c r="E24" s="598" t="s">
        <v>815</v>
      </c>
      <c r="F24" s="465">
        <v>1166400</v>
      </c>
      <c r="G24" s="415">
        <v>1080000</v>
      </c>
      <c r="H24" s="466">
        <v>1080000</v>
      </c>
      <c r="I24" s="415">
        <v>162697</v>
      </c>
      <c r="J24" s="569">
        <f>'委託費'!K33</f>
        <v>1166400</v>
      </c>
      <c r="K24" s="570">
        <f>'委託費'!L33</f>
        <v>1080000</v>
      </c>
      <c r="L24" s="571">
        <f>'委託費'!M33</f>
        <v>1080000</v>
      </c>
      <c r="M24" s="572">
        <v>162697</v>
      </c>
      <c r="N24" s="714" t="s">
        <v>629</v>
      </c>
      <c r="O24" s="716"/>
      <c r="P24" s="406">
        <f>IF(OR(事業類型="革新的サービス（一般型）",事業類型="ものづくり技術"),5000000,P22)</f>
        <v>5000000</v>
      </c>
      <c r="Q24" s="295" t="s">
        <v>630</v>
      </c>
      <c r="R24" s="298">
        <f>IF(R21=0,0,R22/R21)</f>
        <v>1</v>
      </c>
      <c r="S24" s="409"/>
      <c r="T24" s="13"/>
      <c r="U24" s="33"/>
      <c r="V24" s="126"/>
      <c r="W24" s="1"/>
      <c r="X24" s="38"/>
      <c r="Y24" s="115" t="s">
        <v>554</v>
      </c>
      <c r="Z24" s="725" t="s">
        <v>555</v>
      </c>
      <c r="AA24" s="725"/>
      <c r="AB24" s="726"/>
      <c r="AC24"/>
      <c r="AD24"/>
      <c r="AE24" s="72"/>
      <c r="AF24" s="72"/>
      <c r="AG24" s="80"/>
      <c r="AH24" s="80"/>
      <c r="AI24" s="640" t="s">
        <v>767</v>
      </c>
      <c r="AJ24" s="642" t="s">
        <v>768</v>
      </c>
      <c r="AK24" s="643"/>
      <c r="AL24" s="644"/>
      <c r="AM24" s="645" t="s">
        <v>769</v>
      </c>
      <c r="AN24" s="643"/>
      <c r="AO24" s="644"/>
      <c r="AP24" s="645" t="s">
        <v>770</v>
      </c>
      <c r="AQ24" s="643"/>
      <c r="AR24" s="646"/>
      <c r="AS24" s="637" t="s">
        <v>771</v>
      </c>
      <c r="AT24" s="638"/>
      <c r="AU24" s="639"/>
    </row>
    <row r="25" spans="1:47" ht="30" customHeight="1" thickBot="1">
      <c r="A25" s="606">
        <f t="shared" si="5"/>
      </c>
      <c r="B25" s="607">
        <f t="shared" si="6"/>
      </c>
      <c r="C25" s="595">
        <f>IF(AU34="○","",AU34)</f>
      </c>
      <c r="D25" s="617" t="str">
        <f>AU18</f>
        <v>○</v>
      </c>
      <c r="E25" s="598" t="s">
        <v>816</v>
      </c>
      <c r="F25" s="465">
        <v>594000</v>
      </c>
      <c r="G25" s="415">
        <v>550000</v>
      </c>
      <c r="H25" s="466">
        <v>550000</v>
      </c>
      <c r="I25" s="415">
        <v>82854</v>
      </c>
      <c r="J25" s="569">
        <f>'知的財産権等関連経費'!K33</f>
        <v>594000</v>
      </c>
      <c r="K25" s="570">
        <f>'知的財産権等関連経費'!L33</f>
        <v>550000</v>
      </c>
      <c r="L25" s="571">
        <f>'知的財産権等関連経費'!M33</f>
        <v>550000</v>
      </c>
      <c r="M25" s="572">
        <v>82854</v>
      </c>
      <c r="N25" s="718" t="s">
        <v>633</v>
      </c>
      <c r="O25" s="716"/>
      <c r="P25" s="410">
        <f>IF(SUM(P10:P11)=0,P24,MIN(P22,P23,P24))</f>
        <v>1533334</v>
      </c>
      <c r="Q25" s="411" t="s">
        <v>42</v>
      </c>
      <c r="R25" s="296">
        <f>IF(R24=0,0,ROUNDDOWN(R23/R24,0))</f>
        <v>4</v>
      </c>
      <c r="S25" s="1"/>
      <c r="T25" s="1"/>
      <c r="U25" s="1"/>
      <c r="V25" s="1"/>
      <c r="W25" s="1"/>
      <c r="X25" s="125"/>
      <c r="Y25" s="700" t="str">
        <f>AU29</f>
        <v> </v>
      </c>
      <c r="Z25" s="729" t="str">
        <f>AS29</f>
        <v>判定対象外</v>
      </c>
      <c r="AA25" s="730"/>
      <c r="AB25" s="731"/>
      <c r="AC25" s="38"/>
      <c r="AD25"/>
      <c r="AI25" s="641"/>
      <c r="AJ25" s="505" t="s">
        <v>772</v>
      </c>
      <c r="AK25" s="506" t="s">
        <v>773</v>
      </c>
      <c r="AL25" s="506" t="s">
        <v>774</v>
      </c>
      <c r="AM25" s="506" t="s">
        <v>772</v>
      </c>
      <c r="AN25" s="506" t="s">
        <v>773</v>
      </c>
      <c r="AO25" s="506" t="s">
        <v>774</v>
      </c>
      <c r="AP25" s="506" t="s">
        <v>772</v>
      </c>
      <c r="AQ25" s="506" t="s">
        <v>773</v>
      </c>
      <c r="AR25" s="507" t="s">
        <v>774</v>
      </c>
      <c r="AS25" s="508" t="s">
        <v>772</v>
      </c>
      <c r="AT25" s="506" t="s">
        <v>773</v>
      </c>
      <c r="AU25" s="506" t="s">
        <v>774</v>
      </c>
    </row>
    <row r="26" spans="1:47" s="1" customFormat="1" ht="30" customHeight="1" thickTop="1">
      <c r="A26" s="606">
        <f t="shared" si="5"/>
      </c>
      <c r="B26" s="607">
        <f t="shared" si="6"/>
      </c>
      <c r="C26" s="595"/>
      <c r="D26" s="595"/>
      <c r="E26" s="598" t="s">
        <v>37</v>
      </c>
      <c r="F26" s="465">
        <v>955800</v>
      </c>
      <c r="G26" s="415">
        <v>885000</v>
      </c>
      <c r="H26" s="466">
        <v>885000</v>
      </c>
      <c r="I26" s="415">
        <v>133321</v>
      </c>
      <c r="J26" s="569">
        <f>'運搬費'!K33</f>
        <v>955800</v>
      </c>
      <c r="K26" s="570">
        <f>'運搬費'!L33</f>
        <v>885000</v>
      </c>
      <c r="L26" s="571">
        <f>'運搬費'!M33</f>
        <v>885000</v>
      </c>
      <c r="M26" s="572">
        <v>133321</v>
      </c>
      <c r="N26" s="101"/>
      <c r="O26" s="101"/>
      <c r="P26" s="491"/>
      <c r="Q26" s="492"/>
      <c r="R26" s="493"/>
      <c r="S26" s="168"/>
      <c r="T26" s="168"/>
      <c r="U26" s="168"/>
      <c r="V26" s="168"/>
      <c r="W26"/>
      <c r="Y26" s="701"/>
      <c r="Z26" s="727" t="str">
        <f>AT29</f>
        <v> </v>
      </c>
      <c r="AA26" s="727"/>
      <c r="AB26" s="728"/>
      <c r="AD26" s="128"/>
      <c r="AE26" s="80"/>
      <c r="AF26" s="80"/>
      <c r="AG26"/>
      <c r="AH26"/>
      <c r="AI26" s="509" t="s">
        <v>832</v>
      </c>
      <c r="AJ26" s="510">
        <f>補助上限額</f>
        <v>5000000</v>
      </c>
      <c r="AK26" s="511">
        <f>$M$29</f>
        <v>5000000</v>
      </c>
      <c r="AL26" s="512" t="str">
        <f>IF(AJ26-AK26&gt;=0,"○","×")</f>
        <v>○</v>
      </c>
      <c r="AM26" s="511">
        <f>補助上限額</f>
        <v>5000000</v>
      </c>
      <c r="AN26" s="511">
        <f>$M$29</f>
        <v>5000000</v>
      </c>
      <c r="AO26" s="512" t="str">
        <f>IF(AM26-AN26&gt;=0,"○","×")</f>
        <v>○</v>
      </c>
      <c r="AP26" s="511">
        <f>補助上限額</f>
        <v>5000000</v>
      </c>
      <c r="AQ26" s="511">
        <f>$M$29</f>
        <v>5000000</v>
      </c>
      <c r="AR26" s="513" t="str">
        <f>IF(AP26-AQ26&gt;=0,"○","×")</f>
        <v>○</v>
      </c>
      <c r="AS26" s="601">
        <f>IF('基本情報入力（使い方）'!$C$22=1,AJ26,IF(OR('基本情報入力（使い方）'!$C$22=2,'基本情報入力（使い方）'!$C$22=3),AM26,AP26))</f>
        <v>5000000</v>
      </c>
      <c r="AT26" s="515">
        <f>IF('基本情報入力（使い方）'!$C$22=1,AK26,IF(OR('基本情報入力（使い方）'!$C$22=2,'基本情報入力（使い方）'!$C$22=3),AN26,AQ26))</f>
        <v>5000000</v>
      </c>
      <c r="AU26" s="516" t="str">
        <f>IF('基本情報入力（使い方）'!$C$22=1,AL26,IF(OR('基本情報入力（使い方）'!$C$22=2,'基本情報入力（使い方）'!$C$22=3),AO26,AR26))</f>
        <v>○</v>
      </c>
    </row>
    <row r="27" spans="1:47" s="1" customFormat="1" ht="30" customHeight="1">
      <c r="A27" s="606">
        <f t="shared" si="5"/>
      </c>
      <c r="B27" s="607">
        <f t="shared" si="6"/>
      </c>
      <c r="C27" s="595"/>
      <c r="D27" s="595"/>
      <c r="E27" s="598" t="s">
        <v>672</v>
      </c>
      <c r="F27" s="465">
        <v>1080000</v>
      </c>
      <c r="G27" s="415">
        <v>1000000</v>
      </c>
      <c r="H27" s="466">
        <v>1000000</v>
      </c>
      <c r="I27" s="415">
        <v>150645</v>
      </c>
      <c r="J27" s="569">
        <f>'専門家経費'!K33</f>
        <v>1080000</v>
      </c>
      <c r="K27" s="570">
        <f>'専門家経費'!L33</f>
        <v>1000000</v>
      </c>
      <c r="L27" s="571">
        <f>'専門家経費'!M33</f>
        <v>1000000</v>
      </c>
      <c r="M27" s="572">
        <v>150645</v>
      </c>
      <c r="N27" s="101"/>
      <c r="O27" s="101"/>
      <c r="P27" s="494"/>
      <c r="Q27" s="495"/>
      <c r="R27" s="496"/>
      <c r="S27" s="496"/>
      <c r="T27" s="497"/>
      <c r="U27" s="498"/>
      <c r="V27" s="168"/>
      <c r="W27"/>
      <c r="AD27" s="128"/>
      <c r="AE27" s="80"/>
      <c r="AF27" s="80"/>
      <c r="AG27"/>
      <c r="AH27"/>
      <c r="AI27" s="517" t="s">
        <v>775</v>
      </c>
      <c r="AJ27" s="518">
        <v>1000000</v>
      </c>
      <c r="AK27" s="519">
        <f>$M$29</f>
        <v>5000000</v>
      </c>
      <c r="AL27" s="520" t="str">
        <f>IF(AK27-AJ27&gt;=0,"○","×")</f>
        <v>○</v>
      </c>
      <c r="AM27" s="519">
        <v>1000000</v>
      </c>
      <c r="AN27" s="519">
        <f>$M$29</f>
        <v>5000000</v>
      </c>
      <c r="AO27" s="520" t="str">
        <f>IF(AN27-AM27&gt;=0,"○","×")</f>
        <v>○</v>
      </c>
      <c r="AP27" s="519">
        <v>1000000</v>
      </c>
      <c r="AQ27" s="519">
        <f>$M$29</f>
        <v>5000000</v>
      </c>
      <c r="AR27" s="521" t="str">
        <f>IF(AQ27-AP27&gt;=0,"○","×")</f>
        <v>○</v>
      </c>
      <c r="AS27" s="529">
        <f>IF('基本情報入力（使い方）'!$C$22=1,AJ27,IF(OR('基本情報入力（使い方）'!$C$22=2,'基本情報入力（使い方）'!$C$22=3),AM27,AP27))</f>
        <v>1000000</v>
      </c>
      <c r="AT27" s="515">
        <f>IF('基本情報入力（使い方）'!$C$22=1,AK27,IF(OR('基本情報入力（使い方）'!$C$22=2,'基本情報入力（使い方）'!$C$22=3),AN27,AQ27))</f>
        <v>5000000</v>
      </c>
      <c r="AU27" s="516" t="str">
        <f>IF('基本情報入力（使い方）'!$C$22=1,AL27,IF(OR('基本情報入力（使い方）'!$C$22=2,'基本情報入力（使い方）'!$C$22=3),AO27,AR27))</f>
        <v>○</v>
      </c>
    </row>
    <row r="28" spans="1:47" s="1" customFormat="1" ht="30" customHeight="1">
      <c r="A28" s="608">
        <f t="shared" si="5"/>
      </c>
      <c r="B28" s="609">
        <f>IF(AND(J28&gt;=K28,K28&gt;=L28),"","×")</f>
      </c>
      <c r="C28" s="596">
        <f>IF(AU35="○","",AU35)</f>
      </c>
      <c r="D28" s="596">
        <f>AU19</f>
      </c>
      <c r="E28" s="599" t="s">
        <v>817</v>
      </c>
      <c r="F28" s="467">
        <v>270000</v>
      </c>
      <c r="G28" s="416">
        <v>250000</v>
      </c>
      <c r="H28" s="468">
        <v>250000</v>
      </c>
      <c r="I28" s="416">
        <v>37661</v>
      </c>
      <c r="J28" s="573">
        <f>'クラウド利用費'!K33</f>
        <v>270000</v>
      </c>
      <c r="K28" s="574">
        <f>'クラウド利用費'!L33</f>
        <v>250000</v>
      </c>
      <c r="L28" s="575">
        <f>'クラウド利用費'!M33</f>
        <v>250000</v>
      </c>
      <c r="M28" s="576">
        <v>37661</v>
      </c>
      <c r="N28" s="83"/>
      <c r="O28" s="86"/>
      <c r="P28" s="86"/>
      <c r="Q28" s="86"/>
      <c r="R28" s="86"/>
      <c r="AD28" s="128"/>
      <c r="AE28" s="80"/>
      <c r="AF28" s="80"/>
      <c r="AG28"/>
      <c r="AH28"/>
      <c r="AI28" s="522" t="s">
        <v>46</v>
      </c>
      <c r="AJ28" s="523" t="s">
        <v>776</v>
      </c>
      <c r="AK28" s="524">
        <f>$L$19</f>
        <v>1999200</v>
      </c>
      <c r="AL28" s="520" t="str">
        <f>IF(AK28&gt;=500000,"○","×")</f>
        <v>○</v>
      </c>
      <c r="AM28" s="615" t="s">
        <v>777</v>
      </c>
      <c r="AN28" s="525" t="s">
        <v>778</v>
      </c>
      <c r="AO28" s="525" t="s">
        <v>778</v>
      </c>
      <c r="AP28" s="526" t="s">
        <v>538</v>
      </c>
      <c r="AQ28" s="524">
        <f>$L$19</f>
        <v>1999200</v>
      </c>
      <c r="AR28" s="521" t="str">
        <f>IF(AQ28&gt;=500000,"○","×")</f>
        <v>○</v>
      </c>
      <c r="AS28" s="529" t="str">
        <f>IF('基本情報入力（使い方）'!$C$22=1,AJ28,IF(OR('基本情報入力（使い方）'!$C$22=2,'基本情報入力（使い方）'!$C$22=3),AM28,AP28))</f>
        <v>判定対象外</v>
      </c>
      <c r="AT28" s="515" t="str">
        <f>IF('基本情報入力（使い方）'!$C$22=1,AK28,IF(OR('基本情報入力（使い方）'!$C$22=2,'基本情報入力（使い方）'!$C$22=3),AN28,AQ28))</f>
        <v> </v>
      </c>
      <c r="AU28" s="516" t="str">
        <f>IF('基本情報入力（使い方）'!$C$22=1,AL28,IF(OR('基本情報入力（使い方）'!$C$22=2,'基本情報入力（使い方）'!$C$22=3),AO28,AR28))</f>
        <v> </v>
      </c>
    </row>
    <row r="29" spans="1:47" ht="25.5" customHeight="1" thickBot="1">
      <c r="A29" s="140"/>
      <c r="B29" s="140"/>
      <c r="C29" s="140"/>
      <c r="D29" s="140"/>
      <c r="E29" s="593" t="s">
        <v>600</v>
      </c>
      <c r="F29" s="562">
        <f aca="true" t="shared" si="7" ref="F29:M29">SUM(F19:F28)</f>
        <v>16608726</v>
      </c>
      <c r="G29" s="562">
        <f t="shared" si="7"/>
        <v>15378450</v>
      </c>
      <c r="H29" s="563">
        <f t="shared" si="7"/>
        <v>15378450</v>
      </c>
      <c r="I29" s="564">
        <f t="shared" si="7"/>
        <v>5000000</v>
      </c>
      <c r="J29" s="577">
        <f t="shared" si="7"/>
        <v>16607862</v>
      </c>
      <c r="K29" s="578">
        <f t="shared" si="7"/>
        <v>15377650</v>
      </c>
      <c r="L29" s="578">
        <f t="shared" si="7"/>
        <v>15377650</v>
      </c>
      <c r="M29" s="579">
        <f t="shared" si="7"/>
        <v>5000000</v>
      </c>
      <c r="N29" s="83"/>
      <c r="O29" s="125"/>
      <c r="P29" s="30" t="s">
        <v>634</v>
      </c>
      <c r="Q29" s="125"/>
      <c r="R29" s="125"/>
      <c r="S29" s="125"/>
      <c r="T29" s="125"/>
      <c r="U29" s="125"/>
      <c r="V29" s="126"/>
      <c r="W29" s="126"/>
      <c r="X29" s="125"/>
      <c r="Y29" s="32" t="s">
        <v>635</v>
      </c>
      <c r="Z29" s="32" t="s">
        <v>635</v>
      </c>
      <c r="AA29" s="125"/>
      <c r="AB29" s="125"/>
      <c r="AC29" s="125"/>
      <c r="AD29" s="128"/>
      <c r="AG29"/>
      <c r="AH29"/>
      <c r="AI29" s="522" t="s">
        <v>47</v>
      </c>
      <c r="AJ29" s="523" t="s">
        <v>539</v>
      </c>
      <c r="AK29" s="524">
        <f>$M$29-SUM($M$19:$M$20)</f>
        <v>1533872</v>
      </c>
      <c r="AL29" s="520" t="str">
        <f>IF(AK29&lt;=5000000,"○","×")</f>
        <v>○</v>
      </c>
      <c r="AM29" s="615" t="s">
        <v>777</v>
      </c>
      <c r="AN29" s="525" t="s">
        <v>778</v>
      </c>
      <c r="AO29" s="525" t="s">
        <v>778</v>
      </c>
      <c r="AP29" s="526" t="s">
        <v>539</v>
      </c>
      <c r="AQ29" s="524">
        <f>$M$29-SUM($M$19:$M$20)</f>
        <v>1533872</v>
      </c>
      <c r="AR29" s="521" t="str">
        <f>IF(AQ29&lt;=5000000,"○","×")</f>
        <v>○</v>
      </c>
      <c r="AS29" s="529" t="str">
        <f>IF('基本情報入力（使い方）'!$C$22=1,AJ29,IF(OR('基本情報入力（使い方）'!$C$22=2,'基本情報入力（使い方）'!$C$22=3),AM29,AP29))</f>
        <v>判定対象外</v>
      </c>
      <c r="AT29" s="515" t="str">
        <f>IF('基本情報入力（使い方）'!$C$22=1,AK29,IF(OR('基本情報入力（使い方）'!$C$22=2,'基本情報入力（使い方）'!$C$22=3),AN29,AQ29))</f>
        <v> </v>
      </c>
      <c r="AU29" s="516" t="str">
        <f>IF('基本情報入力（使い方）'!$C$22=1,AL29,IF(OR('基本情報入力（使い方）'!$C$22=2,'基本情報入力（使い方）'!$C$22=3),AO29,AR29))</f>
        <v> </v>
      </c>
    </row>
    <row r="30" spans="1:47" ht="25.5" customHeight="1" thickTop="1">
      <c r="A30"/>
      <c r="B30" s="38" t="s">
        <v>826</v>
      </c>
      <c r="C30" s="146"/>
      <c r="D30" s="146"/>
      <c r="E30" s="147"/>
      <c r="F30" s="146"/>
      <c r="G30" s="146"/>
      <c r="H30" s="146"/>
      <c r="I30" s="146"/>
      <c r="J30" s="146"/>
      <c r="K30" s="146"/>
      <c r="L30" s="717">
        <f>補助上限額</f>
        <v>5000000</v>
      </c>
      <c r="M30" s="717"/>
      <c r="N30" s="83"/>
      <c r="O30" s="719" t="s">
        <v>41</v>
      </c>
      <c r="P30" s="706" t="s">
        <v>557</v>
      </c>
      <c r="Q30" s="706" t="s">
        <v>558</v>
      </c>
      <c r="R30" s="706" t="s">
        <v>638</v>
      </c>
      <c r="S30" s="706" t="s">
        <v>559</v>
      </c>
      <c r="T30" s="272" t="s">
        <v>560</v>
      </c>
      <c r="U30" s="273" t="s">
        <v>561</v>
      </c>
      <c r="V30" s="272" t="s">
        <v>562</v>
      </c>
      <c r="W30" s="272" t="s">
        <v>563</v>
      </c>
      <c r="X30" s="272" t="s">
        <v>564</v>
      </c>
      <c r="Y30" s="272" t="s">
        <v>639</v>
      </c>
      <c r="Z30" s="272" t="s">
        <v>565</v>
      </c>
      <c r="AA30" s="777" t="s">
        <v>640</v>
      </c>
      <c r="AB30" s="703" t="s">
        <v>566</v>
      </c>
      <c r="AC30" s="130"/>
      <c r="AD30" s="130"/>
      <c r="AE30" s="130"/>
      <c r="AF30" s="72"/>
      <c r="AI30" s="522" t="s">
        <v>818</v>
      </c>
      <c r="AJ30" s="523" t="s">
        <v>820</v>
      </c>
      <c r="AK30" s="602">
        <f>$L$21</f>
        <v>513450</v>
      </c>
      <c r="AL30" s="520" t="str">
        <f>IF(OR(AK30=0,AK30=""),"○","×")</f>
        <v>×</v>
      </c>
      <c r="AM30" s="614" t="str">
        <f>IF('基本情報入力（使い方）'!$C$22=2,"判定対象外","事業対象外の経費を使用していないか")</f>
        <v>判定対象外</v>
      </c>
      <c r="AN30" s="616">
        <f>$L$21</f>
        <v>513450</v>
      </c>
      <c r="AO30" s="613">
        <f>IF('基本情報入力（使い方）'!$C$22=2,"",IF(OR(AN30=0,AN30=""),"○","×"))</f>
      </c>
      <c r="AP30" s="523" t="s">
        <v>820</v>
      </c>
      <c r="AQ30" s="602">
        <f>$L$21</f>
        <v>513450</v>
      </c>
      <c r="AR30" s="521" t="str">
        <f>IF(OR(AQ30=0,AQ30=""),"○","×")</f>
        <v>×</v>
      </c>
      <c r="AS30" s="529" t="str">
        <f>IF('基本情報入力（使い方）'!$C$22=1,AJ30,IF(OR('基本情報入力（使い方）'!$C$22=2,'基本情報入力（使い方）'!$C$22=3),AM30,AP30))</f>
        <v>判定対象外</v>
      </c>
      <c r="AT30" s="515">
        <f>IF('基本情報入力（使い方）'!$C$22=1,AK30,IF(OR('基本情報入力（使い方）'!$C$22=2,'基本情報入力（使い方）'!$C$22=3),AN30,AQ30))</f>
        <v>513450</v>
      </c>
      <c r="AU30" s="516">
        <f>IF('基本情報入力（使い方）'!$C$22=1,AL30,IF(OR('基本情報入力（使い方）'!$C$22=2,'基本情報入力（使い方）'!$C$22=3),AO30,AR30))</f>
      </c>
    </row>
    <row r="31" spans="1:47" ht="36.75" customHeight="1">
      <c r="A31"/>
      <c r="B31" s="38" t="s">
        <v>824</v>
      </c>
      <c r="C31" s="146"/>
      <c r="D31" s="146"/>
      <c r="E31" s="147"/>
      <c r="F31" s="146"/>
      <c r="G31" s="146"/>
      <c r="H31" s="146"/>
      <c r="I31" s="146"/>
      <c r="J31" s="146"/>
      <c r="K31" s="603"/>
      <c r="L31" s="152"/>
      <c r="M31" s="153"/>
      <c r="N31" s="83"/>
      <c r="O31" s="720"/>
      <c r="P31" s="707"/>
      <c r="Q31" s="707"/>
      <c r="R31" s="707"/>
      <c r="S31" s="707"/>
      <c r="T31" s="724" t="s">
        <v>803</v>
      </c>
      <c r="U31" s="723" t="s">
        <v>568</v>
      </c>
      <c r="V31" s="724" t="s">
        <v>569</v>
      </c>
      <c r="W31" s="702" t="s">
        <v>570</v>
      </c>
      <c r="X31" s="709" t="s">
        <v>802</v>
      </c>
      <c r="Y31" s="702" t="s">
        <v>571</v>
      </c>
      <c r="Z31" s="702" t="s">
        <v>572</v>
      </c>
      <c r="AA31" s="777"/>
      <c r="AB31" s="704"/>
      <c r="AC31" s="130"/>
      <c r="AD31" s="130"/>
      <c r="AE31" s="130"/>
      <c r="AF31" s="72"/>
      <c r="AG31"/>
      <c r="AH31"/>
      <c r="AI31" s="527" t="s">
        <v>36</v>
      </c>
      <c r="AJ31" s="523" t="s">
        <v>820</v>
      </c>
      <c r="AK31" s="602">
        <f>$L$23</f>
        <v>500000</v>
      </c>
      <c r="AL31" s="520" t="str">
        <f>IF(OR(AK31=0,AK31=""),"○","×")</f>
        <v>×</v>
      </c>
      <c r="AM31" s="614" t="str">
        <f>IF('基本情報入力（使い方）'!$C$22=2,"外注加工費は補助対象経費の1/2を超えていないか※１","事業対象外の経費を使用していないか")</f>
        <v>外注加工費は補助対象経費の1/2を超えていないか※１</v>
      </c>
      <c r="AN31" s="616">
        <f>$L$23</f>
        <v>500000</v>
      </c>
      <c r="AO31" s="613" t="str">
        <f>IF('基本情報入力（使い方）'!$C$22=2,IF($L$29/2-$L$23&gt;=0,"○","×"),IF(OR(AN31=0,AN31=""),"○","×"))</f>
        <v>○</v>
      </c>
      <c r="AP31" s="523" t="s">
        <v>820</v>
      </c>
      <c r="AQ31" s="602">
        <f>$L$23</f>
        <v>500000</v>
      </c>
      <c r="AR31" s="521" t="str">
        <f>IF(OR(AQ31=0,AQ31=""),"○","×")</f>
        <v>×</v>
      </c>
      <c r="AS31" s="529" t="str">
        <f>IF('基本情報入力（使い方）'!$C$22=1,AJ31,IF(OR('基本情報入力（使い方）'!$C$22=2,'基本情報入力（使い方）'!$C$22=3),AM31,AP31))</f>
        <v>外注加工費は補助対象経費の1/2を超えていないか※１</v>
      </c>
      <c r="AT31" s="515">
        <f>IF('基本情報入力（使い方）'!$C$22=1,AK31,IF(OR('基本情報入力（使い方）'!$C$22=2,'基本情報入力（使い方）'!$C$22=3),AN31,AQ31))</f>
        <v>500000</v>
      </c>
      <c r="AU31" s="516" t="str">
        <f>IF('基本情報入力（使い方）'!$C$22=1,AL31,IF(OR('基本情報入力（使い方）'!$C$22=2,'基本情報入力（使い方）'!$C$22=3),AO31,AR31))</f>
        <v>○</v>
      </c>
    </row>
    <row r="32" spans="2:47" ht="22.5" customHeight="1" thickBot="1">
      <c r="B32" s="38" t="s">
        <v>825</v>
      </c>
      <c r="N32" s="83"/>
      <c r="O32" s="720"/>
      <c r="P32" s="708"/>
      <c r="Q32" s="708"/>
      <c r="R32" s="708"/>
      <c r="S32" s="707"/>
      <c r="T32" s="724"/>
      <c r="U32" s="723"/>
      <c r="V32" s="724"/>
      <c r="W32" s="702"/>
      <c r="X32" s="710"/>
      <c r="Y32" s="702"/>
      <c r="Z32" s="702"/>
      <c r="AA32" s="777"/>
      <c r="AB32" s="705"/>
      <c r="AC32" s="130"/>
      <c r="AD32" s="130"/>
      <c r="AE32" s="130"/>
      <c r="AF32" s="72"/>
      <c r="AG32"/>
      <c r="AH32"/>
      <c r="AI32" s="527" t="s">
        <v>779</v>
      </c>
      <c r="AJ32" s="523" t="s">
        <v>820</v>
      </c>
      <c r="AK32" s="602">
        <f>$L$24</f>
        <v>1080000</v>
      </c>
      <c r="AL32" s="520" t="str">
        <f>IF(OR(AK32=0,AK32=""),"○","×")</f>
        <v>×</v>
      </c>
      <c r="AM32" s="614" t="str">
        <f>IF('基本情報入力（使い方）'!$C$22=2,"委託費は補助対象経費の1/2を超えていないか※１","事業対象外の経費を使用していないか")</f>
        <v>委託費は補助対象経費の1/2を超えていないか※１</v>
      </c>
      <c r="AN32" s="616">
        <f>$L$24</f>
        <v>1080000</v>
      </c>
      <c r="AO32" s="613" t="str">
        <f>IF('基本情報入力（使い方）'!$C$22=2,IF($L$29/2-$L$24&gt;=0,"○","×"),IF(OR(AN32=0,AN32=""),"○","×"))</f>
        <v>○</v>
      </c>
      <c r="AP32" s="523" t="s">
        <v>820</v>
      </c>
      <c r="AQ32" s="602">
        <f>$L$24</f>
        <v>1080000</v>
      </c>
      <c r="AR32" s="521" t="str">
        <f>IF(OR(AQ32=0,AQ32=""),"○","×")</f>
        <v>×</v>
      </c>
      <c r="AS32" s="529" t="str">
        <f>IF('基本情報入力（使い方）'!$C$22=1,AJ32,IF(OR('基本情報入力（使い方）'!$C$22=2,'基本情報入力（使い方）'!$C$22=3),AM32,AP32))</f>
        <v>委託費は補助対象経費の1/2を超えていないか※１</v>
      </c>
      <c r="AT32" s="515">
        <f>IF('基本情報入力（使い方）'!$C$22=1,AK32,IF(OR('基本情報入力（使い方）'!$C$22=2,'基本情報入力（使い方）'!$C$22=3),AN32,AQ32))</f>
        <v>1080000</v>
      </c>
      <c r="AU32" s="516" t="str">
        <f>IF('基本情報入力（使い方）'!$C$22=1,AL32,IF(OR('基本情報入力（使い方）'!$C$22=2,'基本情報入力（使い方）'!$C$22=3),AO32,AR32))</f>
        <v>○</v>
      </c>
    </row>
    <row r="33" spans="14:47" ht="30" customHeight="1" thickTop="1">
      <c r="N33" s="110" t="s">
        <v>670</v>
      </c>
      <c r="O33" s="600" t="str">
        <f aca="true" t="shared" si="8" ref="O33:O42">IF(AND(T33&lt;&gt;"×",U33&lt;&gt;"×",V33&lt;&gt;"×",W33&lt;&gt;"×",X33&lt;&gt;"×",Y33&lt;&gt;"×",Z33&lt;&gt;"×"),"○","×")</f>
        <v>○</v>
      </c>
      <c r="P33" s="138">
        <f aca="true" t="shared" si="9" ref="P33:P42">(I19-M19)</f>
        <v>533</v>
      </c>
      <c r="Q33" s="135">
        <f>IF(P33&gt;=0,0,P33)</f>
        <v>0</v>
      </c>
      <c r="R33" s="136">
        <f>IF(P33&lt;0,0,IF(P33-S33&gt;=0,S33,P33))</f>
        <v>533</v>
      </c>
      <c r="S33" s="136">
        <f aca="true" t="shared" si="10" ref="S33:S42">ROUNDDOWN($I19*0.2,0)</f>
        <v>266666</v>
      </c>
      <c r="T33" s="600" t="str">
        <f aca="true" t="shared" si="11" ref="T33:T42">IF(OR(A19="×",C19="×"),"×","○")</f>
        <v>○</v>
      </c>
      <c r="U33" s="610" t="str">
        <f>IF(AND(IF(ABS(P33)-S33&lt;=0,"○","×")="×",Q33&lt;0),"×","○")</f>
        <v>○</v>
      </c>
      <c r="V33" s="600" t="str">
        <f aca="true" t="shared" si="12" ref="V33:V42">IF(M19-P54&lt;=0,"○","×")</f>
        <v>○</v>
      </c>
      <c r="W33" s="600"/>
      <c r="X33" s="600" t="str">
        <f aca="true" t="shared" si="13" ref="X33:X42">IF(B19="×","×","○")</f>
        <v>○</v>
      </c>
      <c r="Y33" s="600" t="str">
        <f>$Y$20</f>
        <v> </v>
      </c>
      <c r="Z33" s="611"/>
      <c r="AA33" s="276">
        <f aca="true" t="shared" si="14" ref="AA33:AA43">M19</f>
        <v>1332800</v>
      </c>
      <c r="AB33" s="680" t="str">
        <f>IF(AND(O33="○",O34="○",O35="○",O36="○",O37="○",O38="○",O39="○",O40="○",O41="○",O42="○",Y9="○",Y11="○",Y13="○"),"○","×")</f>
        <v>○</v>
      </c>
      <c r="AC33" s="137"/>
      <c r="AD33" s="137"/>
      <c r="AE33" s="137"/>
      <c r="AF33" s="72"/>
      <c r="AG33"/>
      <c r="AH33"/>
      <c r="AI33" s="527" t="s">
        <v>48</v>
      </c>
      <c r="AJ33" s="615" t="s">
        <v>777</v>
      </c>
      <c r="AK33" s="525"/>
      <c r="AL33" s="525" t="s">
        <v>778</v>
      </c>
      <c r="AM33" s="614" t="str">
        <f>IF('基本情報入力（使い方）'!$C$22=2,"上記の合計額が補助対象経費の1/2を超えていないか。※１","判定対象外")</f>
        <v>上記の合計額が補助対象経費の1/2を超えていないか。※１</v>
      </c>
      <c r="AN33" s="612">
        <f>IF('基本情報入力（使い方）'!$C$22=2,$L$23+$L$24,"")</f>
        <v>1580000</v>
      </c>
      <c r="AO33" s="613" t="str">
        <f>IF('基本情報入力（使い方）'!$C$22=2,IF($L$29/2-($L$23+$L$24)&gt;=0,"○","×"),"")</f>
        <v>○</v>
      </c>
      <c r="AP33" s="615" t="s">
        <v>777</v>
      </c>
      <c r="AQ33" s="525"/>
      <c r="AR33" s="528" t="s">
        <v>778</v>
      </c>
      <c r="AS33" s="529" t="str">
        <f>IF('基本情報入力（使い方）'!$C$22=1,AJ33,IF(OR('基本情報入力（使い方）'!$C$22=2,'基本情報入力（使い方）'!$C$22=3),AM33,AP33))</f>
        <v>上記の合計額が補助対象経費の1/2を超えていないか。※１</v>
      </c>
      <c r="AT33" s="515">
        <f>IF('基本情報入力（使い方）'!$C$22=1,AK33,IF(OR('基本情報入力（使い方）'!$C$22=2,'基本情報入力（使い方）'!$C$22=3),AN33,AQ33))</f>
        <v>1580000</v>
      </c>
      <c r="AU33" s="516" t="str">
        <f>IF('基本情報入力（使い方）'!$C$22=1,AL33,IF(OR('基本情報入力（使い方）'!$C$22=2,'基本情報入力（使い方）'!$C$22=3),AO33,AR33))</f>
        <v>○</v>
      </c>
    </row>
    <row r="34" spans="3:47" ht="30" customHeight="1">
      <c r="C34" s="2"/>
      <c r="D34" s="2"/>
      <c r="E34" s="157" t="s">
        <v>823</v>
      </c>
      <c r="F34" s="2"/>
      <c r="G34" s="2"/>
      <c r="H34" s="2"/>
      <c r="I34" s="2"/>
      <c r="J34" s="2"/>
      <c r="K34" s="7"/>
      <c r="M34" s="158"/>
      <c r="N34" s="110" t="s">
        <v>671</v>
      </c>
      <c r="O34" s="600" t="str">
        <f t="shared" si="8"/>
        <v>○</v>
      </c>
      <c r="P34" s="138">
        <f t="shared" si="9"/>
        <v>0</v>
      </c>
      <c r="Q34" s="135">
        <f aca="true" t="shared" si="15" ref="Q34:Q42">IF(P34&gt;=0,0,P34)</f>
        <v>0</v>
      </c>
      <c r="R34" s="136">
        <f aca="true" t="shared" si="16" ref="R34:R42">IF(P34&lt;0,0,IF(P34-S34&gt;=0,S34,P34))</f>
        <v>0</v>
      </c>
      <c r="S34" s="136">
        <f t="shared" si="10"/>
        <v>426665</v>
      </c>
      <c r="T34" s="600" t="str">
        <f t="shared" si="11"/>
        <v>○</v>
      </c>
      <c r="U34" s="610" t="str">
        <f>IF(AND(IF(ABS(P34)-S34&lt;=0,"○","×")="×",Q34&lt;0),"×","○")</f>
        <v>○</v>
      </c>
      <c r="V34" s="600" t="str">
        <f t="shared" si="12"/>
        <v>○</v>
      </c>
      <c r="W34" s="600"/>
      <c r="X34" s="600" t="str">
        <f t="shared" si="13"/>
        <v>○</v>
      </c>
      <c r="Y34" s="600" t="str">
        <f>$Y$20</f>
        <v> </v>
      </c>
      <c r="Z34" s="611"/>
      <c r="AA34" s="276">
        <f t="shared" si="14"/>
        <v>2133328</v>
      </c>
      <c r="AB34" s="681"/>
      <c r="AC34" s="137"/>
      <c r="AD34" s="137"/>
      <c r="AE34" s="137"/>
      <c r="AF34" s="71"/>
      <c r="AG34"/>
      <c r="AH34"/>
      <c r="AI34" s="527" t="s">
        <v>780</v>
      </c>
      <c r="AJ34" s="523" t="s">
        <v>820</v>
      </c>
      <c r="AK34" s="602">
        <f>$L$25</f>
        <v>550000</v>
      </c>
      <c r="AL34" s="520" t="str">
        <f>IF(OR(AK34=0,AK34=""),"○","×")</f>
        <v>×</v>
      </c>
      <c r="AM34" s="614" t="str">
        <f>IF('基本情報入力（使い方）'!$C$22=2,"知的財産権関連経費が補助対象経費の1/3を超えていないか。※１","事業対象外の経費を使用していないか")</f>
        <v>知的財産権関連経費が補助対象経費の1/3を超えていないか。※１</v>
      </c>
      <c r="AN34" s="616">
        <f>$L$25</f>
        <v>550000</v>
      </c>
      <c r="AO34" s="613" t="str">
        <f>IF('基本情報入力（使い方）'!$C$22=2,IF($L$29/3-$L$25&gt;=0,"○","×"),IF(OR(AN34=0,AN34=""),"○","×"))</f>
        <v>○</v>
      </c>
      <c r="AP34" s="523" t="s">
        <v>820</v>
      </c>
      <c r="AQ34" s="602">
        <f>$L$25</f>
        <v>550000</v>
      </c>
      <c r="AR34" s="521" t="str">
        <f>IF(OR(AQ34=0,AQ34=""),"○","×")</f>
        <v>×</v>
      </c>
      <c r="AS34" s="529" t="str">
        <f>IF('基本情報入力（使い方）'!$C$22=1,AJ34,IF(OR('基本情報入力（使い方）'!$C$22=2,'基本情報入力（使い方）'!$C$22=3),AM34,AP34))</f>
        <v>知的財産権関連経費が補助対象経費の1/3を超えていないか。※１</v>
      </c>
      <c r="AT34" s="515">
        <f>IF('基本情報入力（使い方）'!$C$22=1,AK34,IF(OR('基本情報入力（使い方）'!$C$22=2,'基本情報入力（使い方）'!$C$22=3),AN34,AQ34))</f>
        <v>550000</v>
      </c>
      <c r="AU34" s="516" t="str">
        <f>IF('基本情報入力（使い方）'!$C$22=1,AL34,IF(OR('基本情報入力（使い方）'!$C$22=2,'基本情報入力（使い方）'!$C$22=3),AO34,AR34))</f>
        <v>○</v>
      </c>
    </row>
    <row r="35" spans="3:47" ht="30" customHeight="1">
      <c r="C35" s="2"/>
      <c r="D35" s="2"/>
      <c r="E35" s="162" t="s">
        <v>601</v>
      </c>
      <c r="F35" s="2"/>
      <c r="G35" s="2"/>
      <c r="H35" s="2"/>
      <c r="I35" s="2"/>
      <c r="J35" s="2"/>
      <c r="K35" s="7"/>
      <c r="N35" s="101" t="s">
        <v>26</v>
      </c>
      <c r="O35" s="600" t="str">
        <f t="shared" si="8"/>
        <v>○</v>
      </c>
      <c r="P35" s="138">
        <f t="shared" si="9"/>
        <v>0</v>
      </c>
      <c r="Q35" s="135">
        <f t="shared" si="15"/>
        <v>0</v>
      </c>
      <c r="R35" s="136">
        <f t="shared" si="16"/>
        <v>0</v>
      </c>
      <c r="S35" s="102">
        <f t="shared" si="10"/>
        <v>15469</v>
      </c>
      <c r="T35" s="600" t="str">
        <f t="shared" si="11"/>
        <v>○</v>
      </c>
      <c r="U35" s="610" t="str">
        <f>IF(AND(IF(ABS(P35)-S35&lt;=0,"○","×")="×",Q35&lt;0),"×","○")</f>
        <v>○</v>
      </c>
      <c r="V35" s="600" t="str">
        <f t="shared" si="12"/>
        <v>○</v>
      </c>
      <c r="W35" s="600"/>
      <c r="X35" s="600" t="str">
        <f t="shared" si="13"/>
        <v>○</v>
      </c>
      <c r="Y35" s="600"/>
      <c r="Z35" s="611" t="str">
        <f>IF(AND(OR(F21="",F21=0),OR(J21="",J21=0)),"",Y25)</f>
        <v> </v>
      </c>
      <c r="AA35" s="276">
        <f t="shared" si="14"/>
        <v>77349</v>
      </c>
      <c r="AB35" s="681"/>
      <c r="AC35" s="137"/>
      <c r="AD35" s="137"/>
      <c r="AE35" s="137"/>
      <c r="AF35" s="71"/>
      <c r="AG35"/>
      <c r="AH35"/>
      <c r="AI35" s="527" t="s">
        <v>819</v>
      </c>
      <c r="AJ35" s="523" t="s">
        <v>820</v>
      </c>
      <c r="AK35" s="602">
        <f>$L$28</f>
        <v>250000</v>
      </c>
      <c r="AL35" s="520" t="str">
        <f>IF(OR(AK35=0,AK35=""),"○","×")</f>
        <v>×</v>
      </c>
      <c r="AM35" s="614" t="str">
        <f>IF('基本情報入力（使い方）'!$C$22=2,"判定対象外","事業対象外の経費を使用していないか")</f>
        <v>判定対象外</v>
      </c>
      <c r="AN35" s="616">
        <f>$L$28</f>
        <v>250000</v>
      </c>
      <c r="AO35" s="613">
        <f>IF('基本情報入力（使い方）'!$C$22=2,"",IF(OR(AN35=0,AN35=""),"○","×"))</f>
      </c>
      <c r="AP35" s="523" t="s">
        <v>820</v>
      </c>
      <c r="AQ35" s="602">
        <f>$L$28</f>
        <v>250000</v>
      </c>
      <c r="AR35" s="521" t="str">
        <f>IF(OR(AQ35=0,AQ35=""),"○","×")</f>
        <v>×</v>
      </c>
      <c r="AS35" s="529" t="str">
        <f>IF('基本情報入力（使い方）'!$C$22=1,AJ35,IF(OR('基本情報入力（使い方）'!$C$22=2,'基本情報入力（使い方）'!$C$22=3),AM35,AP35))</f>
        <v>判定対象外</v>
      </c>
      <c r="AT35" s="515">
        <f>IF('基本情報入力（使い方）'!$C$22=1,AK35,IF(OR('基本情報入力（使い方）'!$C$22=2,'基本情報入力（使い方）'!$C$22=3),AN35,AQ35))</f>
        <v>250000</v>
      </c>
      <c r="AU35" s="516">
        <f>IF('基本情報入力（使い方）'!$C$22=1,AL35,IF(OR('基本情報入力（使い方）'!$C$22=2,'基本情報入力（使い方）'!$C$22=3),AO35,AR35))</f>
      </c>
    </row>
    <row r="36" spans="3:47" ht="30" customHeight="1">
      <c r="C36" s="2"/>
      <c r="D36" s="2"/>
      <c r="E36" s="165" t="s">
        <v>602</v>
      </c>
      <c r="F36" s="2"/>
      <c r="G36" s="2"/>
      <c r="H36" s="2"/>
      <c r="I36" s="2"/>
      <c r="J36" s="2"/>
      <c r="K36" s="7"/>
      <c r="N36" s="101" t="s">
        <v>34</v>
      </c>
      <c r="O36" s="600" t="str">
        <f t="shared" si="8"/>
        <v>○</v>
      </c>
      <c r="P36" s="138">
        <f t="shared" si="9"/>
        <v>-533</v>
      </c>
      <c r="Q36" s="135">
        <f t="shared" si="15"/>
        <v>-533</v>
      </c>
      <c r="R36" s="136">
        <f t="shared" si="16"/>
        <v>0</v>
      </c>
      <c r="S36" s="136">
        <f t="shared" si="10"/>
        <v>162698</v>
      </c>
      <c r="T36" s="600" t="str">
        <f t="shared" si="11"/>
        <v>○</v>
      </c>
      <c r="U36" s="610" t="str">
        <f aca="true" t="shared" si="17" ref="U36:U42">IF(AND(IF(ABS(P36)-S36&lt;=0,"○","×")="×",Q36&lt;0),"×","○")</f>
        <v>○</v>
      </c>
      <c r="V36" s="600" t="str">
        <f t="shared" si="12"/>
        <v>○</v>
      </c>
      <c r="W36" s="600"/>
      <c r="X36" s="600" t="str">
        <f t="shared" si="13"/>
        <v>○</v>
      </c>
      <c r="Y36" s="600"/>
      <c r="Z36" s="611" t="str">
        <f>IF(AND(OR(F22="",F22=0),OR(J22="",J22=0)),"",Y25)</f>
        <v> </v>
      </c>
      <c r="AA36" s="276">
        <f t="shared" si="14"/>
        <v>814023</v>
      </c>
      <c r="AB36" s="681"/>
      <c r="AC36" s="137"/>
      <c r="AD36" s="137"/>
      <c r="AE36" s="137"/>
      <c r="AF36" s="100"/>
      <c r="AG36"/>
      <c r="AH36"/>
      <c r="AI36" s="530"/>
      <c r="AJ36" s="530"/>
      <c r="AK36" s="530"/>
      <c r="AL36" s="530"/>
      <c r="AM36" s="530" t="s">
        <v>781</v>
      </c>
      <c r="AN36" s="530"/>
      <c r="AO36" s="530"/>
      <c r="AP36" s="530"/>
      <c r="AQ36" s="530"/>
      <c r="AR36" s="530"/>
      <c r="AS36" s="530"/>
      <c r="AT36" s="530"/>
      <c r="AU36" s="530"/>
    </row>
    <row r="37" spans="3:47" ht="30" customHeight="1">
      <c r="C37" s="2"/>
      <c r="D37" s="2"/>
      <c r="E37" s="169"/>
      <c r="F37" s="2"/>
      <c r="G37" s="2"/>
      <c r="H37" s="2"/>
      <c r="I37" s="2"/>
      <c r="J37" s="2"/>
      <c r="K37" s="7"/>
      <c r="N37" s="101" t="s">
        <v>36</v>
      </c>
      <c r="O37" s="600" t="str">
        <f t="shared" si="8"/>
        <v>○</v>
      </c>
      <c r="P37" s="138">
        <f t="shared" si="9"/>
        <v>0</v>
      </c>
      <c r="Q37" s="135">
        <f t="shared" si="15"/>
        <v>0</v>
      </c>
      <c r="R37" s="136">
        <f t="shared" si="16"/>
        <v>0</v>
      </c>
      <c r="S37" s="136">
        <f t="shared" si="10"/>
        <v>15064</v>
      </c>
      <c r="T37" s="600" t="str">
        <f t="shared" si="11"/>
        <v>○</v>
      </c>
      <c r="U37" s="610" t="str">
        <f t="shared" si="17"/>
        <v>○</v>
      </c>
      <c r="V37" s="600" t="str">
        <f t="shared" si="12"/>
        <v>○</v>
      </c>
      <c r="W37" s="600" t="str">
        <f>IF(OR('基本情報入力（使い方）'!$C$22=2,'基本情報入力（使い方）'!$C$22=3),IF(OR(AU31="×",AU33="×"),"×","○"),"")</f>
        <v>○</v>
      </c>
      <c r="X37" s="600" t="str">
        <f t="shared" si="13"/>
        <v>○</v>
      </c>
      <c r="Y37" s="600"/>
      <c r="Z37" s="611" t="str">
        <f>IF(AND(OR(F23="",F23=0),OR(J23="",J23=0)),"",Y25)</f>
        <v> </v>
      </c>
      <c r="AA37" s="276">
        <f t="shared" si="14"/>
        <v>75322</v>
      </c>
      <c r="AB37" s="681"/>
      <c r="AC37" s="137"/>
      <c r="AD37" s="137"/>
      <c r="AE37" s="137"/>
      <c r="AF37" s="71"/>
      <c r="AG37"/>
      <c r="AH37"/>
      <c r="AI37" s="530"/>
      <c r="AJ37" s="530"/>
      <c r="AK37" s="530"/>
      <c r="AL37" s="530"/>
      <c r="AM37" s="530" t="s">
        <v>801</v>
      </c>
      <c r="AN37" s="530"/>
      <c r="AO37" s="530"/>
      <c r="AP37" s="530"/>
      <c r="AQ37" s="530"/>
      <c r="AR37" s="530"/>
      <c r="AS37" s="530"/>
      <c r="AT37" s="530"/>
      <c r="AU37" s="530"/>
    </row>
    <row r="38" spans="5:38" ht="30" customHeight="1" thickBot="1">
      <c r="E38" s="692" t="s">
        <v>751</v>
      </c>
      <c r="F38" s="692"/>
      <c r="G38" s="692"/>
      <c r="H38" s="7"/>
      <c r="I38" s="693" t="s">
        <v>750</v>
      </c>
      <c r="J38" s="693"/>
      <c r="K38" s="693"/>
      <c r="M38" s="176"/>
      <c r="N38" s="101" t="s">
        <v>35</v>
      </c>
      <c r="O38" s="600" t="str">
        <f t="shared" si="8"/>
        <v>○</v>
      </c>
      <c r="P38" s="138">
        <f t="shared" si="9"/>
        <v>0</v>
      </c>
      <c r="Q38" s="135">
        <f t="shared" si="15"/>
        <v>0</v>
      </c>
      <c r="R38" s="136">
        <f t="shared" si="16"/>
        <v>0</v>
      </c>
      <c r="S38" s="136">
        <f t="shared" si="10"/>
        <v>32539</v>
      </c>
      <c r="T38" s="600" t="str">
        <f t="shared" si="11"/>
        <v>○</v>
      </c>
      <c r="U38" s="610" t="str">
        <f t="shared" si="17"/>
        <v>○</v>
      </c>
      <c r="V38" s="600" t="str">
        <f t="shared" si="12"/>
        <v>○</v>
      </c>
      <c r="W38" s="600" t="str">
        <f>IF(OR('基本情報入力（使い方）'!$C$22=2,'基本情報入力（使い方）'!$C$22=3),IF(OR(AU32="×",AU33="×"),"×","○"),"")</f>
        <v>○</v>
      </c>
      <c r="X38" s="600" t="str">
        <f t="shared" si="13"/>
        <v>○</v>
      </c>
      <c r="Y38" s="600"/>
      <c r="Z38" s="611" t="str">
        <f>IF(AND(OR(F24="",F24=0),OR(J24="",J24=0)),"",Y25)</f>
        <v> </v>
      </c>
      <c r="AA38" s="276">
        <f t="shared" si="14"/>
        <v>162697</v>
      </c>
      <c r="AB38" s="681"/>
      <c r="AC38" s="137"/>
      <c r="AD38" s="137"/>
      <c r="AE38" s="137"/>
      <c r="AF38" s="72"/>
      <c r="AG38"/>
      <c r="AH38"/>
      <c r="AI38" s="423" t="s">
        <v>567</v>
      </c>
      <c r="AJ38" s="424"/>
      <c r="AK38" s="424"/>
      <c r="AL38" s="421"/>
    </row>
    <row r="39" spans="5:38" ht="30" customHeight="1" thickTop="1">
      <c r="E39" s="683" t="s">
        <v>29</v>
      </c>
      <c r="F39" s="683" t="s">
        <v>752</v>
      </c>
      <c r="G39" s="683" t="s">
        <v>586</v>
      </c>
      <c r="H39" s="185"/>
      <c r="I39" s="686" t="s">
        <v>29</v>
      </c>
      <c r="J39" s="687"/>
      <c r="K39" s="683" t="s">
        <v>752</v>
      </c>
      <c r="L39" s="683" t="s">
        <v>30</v>
      </c>
      <c r="M39" s="176"/>
      <c r="N39" s="110" t="s">
        <v>550</v>
      </c>
      <c r="O39" s="600" t="str">
        <f t="shared" si="8"/>
        <v>○</v>
      </c>
      <c r="P39" s="138">
        <f t="shared" si="9"/>
        <v>0</v>
      </c>
      <c r="Q39" s="135">
        <f t="shared" si="15"/>
        <v>0</v>
      </c>
      <c r="R39" s="136">
        <f t="shared" si="16"/>
        <v>0</v>
      </c>
      <c r="S39" s="136">
        <f t="shared" si="10"/>
        <v>16570</v>
      </c>
      <c r="T39" s="600" t="str">
        <f t="shared" si="11"/>
        <v>○</v>
      </c>
      <c r="U39" s="610" t="str">
        <f t="shared" si="17"/>
        <v>○</v>
      </c>
      <c r="V39" s="600" t="str">
        <f t="shared" si="12"/>
        <v>○</v>
      </c>
      <c r="W39" s="600" t="str">
        <f>IF(OR('基本情報入力（使い方）'!$C$22=2,'基本情報入力（使い方）'!$C$22=3),AU34,"")</f>
        <v>○</v>
      </c>
      <c r="X39" s="600" t="str">
        <f t="shared" si="13"/>
        <v>○</v>
      </c>
      <c r="Y39" s="600"/>
      <c r="Z39" s="611" t="str">
        <f>IF(AND(OR(F25="",F25=0),OR(J25="",J25=0)),"",Y25)</f>
        <v> </v>
      </c>
      <c r="AA39" s="276">
        <f t="shared" si="14"/>
        <v>82854</v>
      </c>
      <c r="AB39" s="681"/>
      <c r="AC39" s="137"/>
      <c r="AD39" s="137"/>
      <c r="AE39" s="137"/>
      <c r="AF39" s="72"/>
      <c r="AG39"/>
      <c r="AH39"/>
      <c r="AI39" s="580" t="s">
        <v>573</v>
      </c>
      <c r="AJ39" s="721" t="s">
        <v>56</v>
      </c>
      <c r="AK39" s="721"/>
      <c r="AL39" s="722"/>
    </row>
    <row r="40" spans="5:38" ht="30" customHeight="1">
      <c r="E40" s="684"/>
      <c r="F40" s="685"/>
      <c r="G40" s="685"/>
      <c r="H40" s="185"/>
      <c r="I40" s="688"/>
      <c r="J40" s="689"/>
      <c r="K40" s="685"/>
      <c r="L40" s="685"/>
      <c r="M40" s="176"/>
      <c r="N40" s="101" t="s">
        <v>37</v>
      </c>
      <c r="O40" s="600" t="str">
        <f t="shared" si="8"/>
        <v>○</v>
      </c>
      <c r="P40" s="138">
        <f t="shared" si="9"/>
        <v>0</v>
      </c>
      <c r="Q40" s="135">
        <f t="shared" si="15"/>
        <v>0</v>
      </c>
      <c r="R40" s="136">
        <f t="shared" si="16"/>
        <v>0</v>
      </c>
      <c r="S40" s="136">
        <f t="shared" si="10"/>
        <v>26664</v>
      </c>
      <c r="T40" s="600" t="str">
        <f t="shared" si="11"/>
        <v>○</v>
      </c>
      <c r="U40" s="610" t="str">
        <f t="shared" si="17"/>
        <v>○</v>
      </c>
      <c r="V40" s="600" t="str">
        <f t="shared" si="12"/>
        <v>○</v>
      </c>
      <c r="W40" s="600"/>
      <c r="X40" s="600" t="str">
        <f t="shared" si="13"/>
        <v>○</v>
      </c>
      <c r="Y40" s="600"/>
      <c r="Z40" s="611" t="str">
        <f>IF(AND(OR(F26="",F26=0),OR(J26="",J26=0)),"",Y25)</f>
        <v> </v>
      </c>
      <c r="AA40" s="276">
        <f t="shared" si="14"/>
        <v>133321</v>
      </c>
      <c r="AB40" s="681"/>
      <c r="AC40" s="137"/>
      <c r="AD40" s="137"/>
      <c r="AE40" s="137"/>
      <c r="AF40" s="72"/>
      <c r="AG40"/>
      <c r="AH40"/>
      <c r="AI40" s="581" t="s">
        <v>574</v>
      </c>
      <c r="AJ40" s="647">
        <v>0.08</v>
      </c>
      <c r="AK40" s="647"/>
      <c r="AL40" s="648"/>
    </row>
    <row r="41" spans="5:38" ht="30" customHeight="1">
      <c r="E41" s="201" t="s">
        <v>587</v>
      </c>
      <c r="F41" s="114">
        <f>F45-F42-F43-F44</f>
        <v>11607862</v>
      </c>
      <c r="G41" s="202"/>
      <c r="H41" s="185"/>
      <c r="I41" s="690" t="s">
        <v>31</v>
      </c>
      <c r="J41" s="691"/>
      <c r="K41" s="393">
        <v>0</v>
      </c>
      <c r="L41" s="202"/>
      <c r="M41" s="176"/>
      <c r="N41" s="101" t="s">
        <v>672</v>
      </c>
      <c r="O41" s="600" t="str">
        <f t="shared" si="8"/>
        <v>○</v>
      </c>
      <c r="P41" s="138">
        <f t="shared" si="9"/>
        <v>0</v>
      </c>
      <c r="Q41" s="135">
        <f t="shared" si="15"/>
        <v>0</v>
      </c>
      <c r="R41" s="136">
        <f t="shared" si="16"/>
        <v>0</v>
      </c>
      <c r="S41" s="139">
        <f t="shared" si="10"/>
        <v>30129</v>
      </c>
      <c r="T41" s="600" t="str">
        <f t="shared" si="11"/>
        <v>○</v>
      </c>
      <c r="U41" s="610" t="str">
        <f t="shared" si="17"/>
        <v>○</v>
      </c>
      <c r="V41" s="600" t="str">
        <f t="shared" si="12"/>
        <v>○</v>
      </c>
      <c r="W41" s="600"/>
      <c r="X41" s="600" t="str">
        <f t="shared" si="13"/>
        <v>○</v>
      </c>
      <c r="Y41" s="600"/>
      <c r="Z41" s="611" t="str">
        <f>IF(AND(OR(F27="",F27=0),OR(J27="",J27=0)),"",Y25)</f>
        <v> </v>
      </c>
      <c r="AA41" s="276">
        <f t="shared" si="14"/>
        <v>150645</v>
      </c>
      <c r="AB41" s="681"/>
      <c r="AC41" s="137"/>
      <c r="AD41" s="137"/>
      <c r="AE41" s="137"/>
      <c r="AF41" s="72"/>
      <c r="AI41" s="582" t="s">
        <v>575</v>
      </c>
      <c r="AJ41" s="662" t="str">
        <f>VLOOKUP('基本情報入力（使い方）'!C16,'設定'!B:C,2)</f>
        <v>革新的サービス</v>
      </c>
      <c r="AK41" s="662"/>
      <c r="AL41" s="663"/>
    </row>
    <row r="42" spans="5:50" ht="30" customHeight="1" thickBot="1">
      <c r="E42" s="211" t="s">
        <v>588</v>
      </c>
      <c r="F42" s="114">
        <f>M29</f>
        <v>5000000</v>
      </c>
      <c r="G42" s="212"/>
      <c r="H42" s="185"/>
      <c r="I42" s="690" t="s">
        <v>589</v>
      </c>
      <c r="J42" s="691"/>
      <c r="K42" s="114">
        <f>K44-K41-K43</f>
        <v>5000000</v>
      </c>
      <c r="L42" s="561" t="str">
        <f>IF(K42=0,"",IF('基本情報入力（使い方）'!C30="","",'基本情報入力（使い方）'!C30))</f>
        <v>○○信用金庫　○○支店</v>
      </c>
      <c r="M42" s="176"/>
      <c r="N42" s="101" t="s">
        <v>673</v>
      </c>
      <c r="O42" s="600" t="str">
        <f t="shared" si="8"/>
        <v>○</v>
      </c>
      <c r="P42" s="138">
        <f t="shared" si="9"/>
        <v>0</v>
      </c>
      <c r="Q42" s="135">
        <f t="shared" si="15"/>
        <v>0</v>
      </c>
      <c r="R42" s="136">
        <f t="shared" si="16"/>
        <v>0</v>
      </c>
      <c r="S42" s="139">
        <f t="shared" si="10"/>
        <v>7532</v>
      </c>
      <c r="T42" s="600" t="str">
        <f t="shared" si="11"/>
        <v>○</v>
      </c>
      <c r="U42" s="610" t="str">
        <f t="shared" si="17"/>
        <v>○</v>
      </c>
      <c r="V42" s="600" t="str">
        <f t="shared" si="12"/>
        <v>○</v>
      </c>
      <c r="W42" s="600"/>
      <c r="X42" s="600" t="str">
        <f t="shared" si="13"/>
        <v>○</v>
      </c>
      <c r="Y42" s="600"/>
      <c r="Z42" s="611" t="str">
        <f>IF(AND(OR(F28="",F28=0),OR(J28="",J28=0)),"",Y25)</f>
        <v> </v>
      </c>
      <c r="AA42" s="276">
        <f t="shared" si="14"/>
        <v>37661</v>
      </c>
      <c r="AB42" s="682"/>
      <c r="AC42" s="137"/>
      <c r="AD42" s="137"/>
      <c r="AE42" s="137"/>
      <c r="AF42" s="72"/>
      <c r="AI42" s="582"/>
      <c r="AJ42" s="657" t="str">
        <f>VLOOKUP('基本情報入力（使い方）'!C22,'設定'!E:H,2)&amp;VLOOKUP('基本情報入力（使い方）'!C22,'設定'!E:H,3)</f>
        <v>小規模型（試作開発等）</v>
      </c>
      <c r="AK42" s="658"/>
      <c r="AL42" s="659"/>
      <c r="AV42"/>
      <c r="AW42"/>
      <c r="AX42"/>
    </row>
    <row r="43" spans="5:38" ht="30" customHeight="1" thickTop="1">
      <c r="E43" s="201" t="s">
        <v>590</v>
      </c>
      <c r="F43" s="393">
        <v>0</v>
      </c>
      <c r="G43" s="561">
        <f>IF(F43=0,"",'基本情報入力（使い方）'!C30)</f>
      </c>
      <c r="H43" s="185"/>
      <c r="I43" s="690" t="s">
        <v>32</v>
      </c>
      <c r="J43" s="691"/>
      <c r="K43" s="393">
        <v>0</v>
      </c>
      <c r="L43" s="214"/>
      <c r="M43" s="176"/>
      <c r="N43" s="83"/>
      <c r="O43" s="274" t="s">
        <v>610</v>
      </c>
      <c r="P43" s="271" t="s">
        <v>641</v>
      </c>
      <c r="Q43" s="141">
        <f>SUM(Q33:Q42)</f>
        <v>-533</v>
      </c>
      <c r="R43" s="136">
        <f>SUM(R33:R42)</f>
        <v>533</v>
      </c>
      <c r="S43" s="142"/>
      <c r="T43" s="143"/>
      <c r="U43" s="299"/>
      <c r="V43" s="144"/>
      <c r="W43" s="144"/>
      <c r="X43" s="144"/>
      <c r="Y43" s="299"/>
      <c r="Z43" s="143"/>
      <c r="AA43" s="145">
        <f t="shared" si="14"/>
        <v>5000000</v>
      </c>
      <c r="AB43" s="504"/>
      <c r="AC43" s="137"/>
      <c r="AD43" s="137"/>
      <c r="AE43" s="137"/>
      <c r="AF43" s="72"/>
      <c r="AI43" s="582" t="s">
        <v>831</v>
      </c>
      <c r="AJ43" s="660">
        <f>I29</f>
        <v>5000000</v>
      </c>
      <c r="AK43" s="661"/>
      <c r="AL43" s="589" t="s">
        <v>1</v>
      </c>
    </row>
    <row r="44" spans="5:38" ht="30" customHeight="1" thickBot="1">
      <c r="E44" s="201" t="s">
        <v>591</v>
      </c>
      <c r="F44" s="393">
        <v>0</v>
      </c>
      <c r="G44" s="214"/>
      <c r="H44" s="215"/>
      <c r="I44" s="694" t="s">
        <v>592</v>
      </c>
      <c r="J44" s="691"/>
      <c r="K44" s="114">
        <f>F42</f>
        <v>5000000</v>
      </c>
      <c r="L44" s="216"/>
      <c r="M44" s="176"/>
      <c r="N44" s="83"/>
      <c r="O44" s="275" t="s">
        <v>642</v>
      </c>
      <c r="P44"/>
      <c r="Q44" s="148"/>
      <c r="R44" s="149"/>
      <c r="S44"/>
      <c r="T44" s="150"/>
      <c r="U44" s="150"/>
      <c r="Z44" s="503"/>
      <c r="AA44" s="145"/>
      <c r="AB44" s="504"/>
      <c r="AC44" s="137"/>
      <c r="AD44" s="137"/>
      <c r="AE44" s="137"/>
      <c r="AF44" s="72"/>
      <c r="AG44"/>
      <c r="AH44"/>
      <c r="AI44" s="583" t="s">
        <v>775</v>
      </c>
      <c r="AJ44" s="664">
        <f>VLOOKUP('基本情報入力（使い方）'!C22,'設定'!E:I,5)</f>
        <v>1000000</v>
      </c>
      <c r="AK44" s="665"/>
      <c r="AL44" s="584" t="s">
        <v>1</v>
      </c>
    </row>
    <row r="45" spans="3:34" ht="30" customHeight="1" thickTop="1">
      <c r="C45" s="215"/>
      <c r="D45" s="215"/>
      <c r="E45" s="201" t="s">
        <v>593</v>
      </c>
      <c r="F45" s="114">
        <f>J29</f>
        <v>16607862</v>
      </c>
      <c r="G45" s="202"/>
      <c r="H45" s="215"/>
      <c r="I45" s="215"/>
      <c r="J45" s="215"/>
      <c r="K45" s="7"/>
      <c r="M45" s="176"/>
      <c r="N45" s="101"/>
      <c r="O45" s="499"/>
      <c r="P45" s="500"/>
      <c r="Q45" s="501"/>
      <c r="R45" s="502"/>
      <c r="S45" s="502"/>
      <c r="T45" s="499"/>
      <c r="U45" s="499"/>
      <c r="V45" s="499"/>
      <c r="W45" s="499"/>
      <c r="X45" s="499"/>
      <c r="Y45" s="499"/>
      <c r="Z45" s="503"/>
      <c r="AA45" s="145"/>
      <c r="AC45" s="1"/>
      <c r="AD45" s="1"/>
      <c r="AE45"/>
      <c r="AF45"/>
      <c r="AH45" s="151"/>
    </row>
    <row r="46" spans="3:34" ht="30" customHeight="1">
      <c r="C46" s="217"/>
      <c r="D46" s="217"/>
      <c r="E46" s="7"/>
      <c r="F46" s="217"/>
      <c r="G46" s="217"/>
      <c r="H46" s="217"/>
      <c r="I46" s="434" t="s">
        <v>737</v>
      </c>
      <c r="J46" s="218"/>
      <c r="K46" s="217"/>
      <c r="M46" s="176"/>
      <c r="N46" s="101"/>
      <c r="O46" s="499"/>
      <c r="P46" s="500"/>
      <c r="Q46" s="501"/>
      <c r="R46" s="502"/>
      <c r="S46" s="502"/>
      <c r="T46" s="499"/>
      <c r="V46" s="499"/>
      <c r="W46" s="499"/>
      <c r="X46" s="499"/>
      <c r="Y46" s="499"/>
      <c r="Z46" s="503"/>
      <c r="AB46" s="125"/>
      <c r="AH46" s="151"/>
    </row>
    <row r="47" spans="3:34" ht="30" customHeight="1">
      <c r="C47" s="219"/>
      <c r="D47" s="219"/>
      <c r="E47" s="7"/>
      <c r="F47" s="219"/>
      <c r="G47" s="219"/>
      <c r="H47" s="219"/>
      <c r="I47" s="435" t="s">
        <v>735</v>
      </c>
      <c r="J47" s="559" t="str">
        <f>IF('基本情報入力（使い方）'!C34="","",'基本情報入力（使い方）'!C34)</f>
        <v>総務部長　経済計子</v>
      </c>
      <c r="K47" s="219"/>
      <c r="M47" s="176"/>
      <c r="N47" s="83"/>
      <c r="O47"/>
      <c r="P47"/>
      <c r="Q47" s="154"/>
      <c r="R47" s="155"/>
      <c r="S47"/>
      <c r="T47" s="156"/>
      <c r="U47" s="156"/>
      <c r="AB47" s="125"/>
      <c r="AG47" s="38"/>
      <c r="AH47" s="38"/>
    </row>
    <row r="48" spans="9:34" ht="30" customHeight="1">
      <c r="I48" s="433" t="s">
        <v>645</v>
      </c>
      <c r="J48" s="34"/>
      <c r="M48" s="176"/>
      <c r="N48" s="83"/>
      <c r="O48"/>
      <c r="P48"/>
      <c r="Q48" s="159"/>
      <c r="R48" s="159"/>
      <c r="S48"/>
      <c r="T48" s="156"/>
      <c r="U48" s="160"/>
      <c r="AB48" s="125"/>
      <c r="AE48" s="38"/>
      <c r="AF48" s="161"/>
      <c r="AH48" s="38"/>
    </row>
    <row r="49" spans="9:34" ht="24.75" customHeight="1">
      <c r="I49" s="435" t="s">
        <v>736</v>
      </c>
      <c r="J49" s="560" t="str">
        <f>IF('基本情報入力（使い方）'!C35="","",'基本情報入力（使い方）'!C35)</f>
        <v>052-123-4567</v>
      </c>
      <c r="N49" s="163" t="s">
        <v>733</v>
      </c>
      <c r="O49" s="164"/>
      <c r="P49" s="164"/>
      <c r="Q49" s="164"/>
      <c r="R49" s="164"/>
      <c r="S49" s="164"/>
      <c r="T49" s="164"/>
      <c r="U49" s="164"/>
      <c r="V49" s="164"/>
      <c r="W49" s="164"/>
      <c r="Z49" s="267"/>
      <c r="AA49" s="267" t="str">
        <f>E11</f>
        <v>事業者名　：　Ｂ金属株式会社</v>
      </c>
      <c r="AB49" s="125"/>
      <c r="AE49" s="38"/>
      <c r="AF49"/>
      <c r="AG49" s="71"/>
      <c r="AH49"/>
    </row>
    <row r="50" spans="14:34" ht="21.75" customHeight="1" thickBot="1">
      <c r="N50" s="166"/>
      <c r="O50" s="166"/>
      <c r="P50" s="390" t="s">
        <v>682</v>
      </c>
      <c r="Q50" s="166"/>
      <c r="R50" s="166"/>
      <c r="S50" s="166"/>
      <c r="T50" s="166"/>
      <c r="U50" s="166"/>
      <c r="V50" s="166"/>
      <c r="W50" s="166"/>
      <c r="Y50" s="167"/>
      <c r="AC50" s="38"/>
      <c r="AD50" s="38"/>
      <c r="AE50" s="98"/>
      <c r="AF50" s="168"/>
      <c r="AG50" s="1"/>
      <c r="AH50" s="1"/>
    </row>
    <row r="51" spans="15:34" ht="22.5" customHeight="1">
      <c r="O51"/>
      <c r="P51" s="290" t="s">
        <v>19</v>
      </c>
      <c r="Q51" s="289" t="s">
        <v>38</v>
      </c>
      <c r="R51" s="170" t="s">
        <v>603</v>
      </c>
      <c r="S51" s="281" t="s">
        <v>643</v>
      </c>
      <c r="T51" s="171" t="s">
        <v>604</v>
      </c>
      <c r="U51" s="172" t="s">
        <v>605</v>
      </c>
      <c r="V51" s="289" t="s">
        <v>606</v>
      </c>
      <c r="W51" s="173" t="s">
        <v>607</v>
      </c>
      <c r="X51" s="172" t="s">
        <v>576</v>
      </c>
      <c r="Y51" s="174" t="s">
        <v>577</v>
      </c>
      <c r="Z51" s="175" t="s">
        <v>608</v>
      </c>
      <c r="AA51" s="666" t="s">
        <v>17</v>
      </c>
      <c r="AB51"/>
      <c r="AC51"/>
      <c r="AD51"/>
      <c r="AE51"/>
      <c r="AF51"/>
      <c r="AG51" s="184"/>
      <c r="AH51" s="99"/>
    </row>
    <row r="52" spans="15:34" ht="30" customHeight="1">
      <c r="O52"/>
      <c r="P52" s="268" t="s">
        <v>578</v>
      </c>
      <c r="Q52" s="177" t="s">
        <v>614</v>
      </c>
      <c r="R52" s="178" t="s">
        <v>579</v>
      </c>
      <c r="S52" s="695" t="s">
        <v>644</v>
      </c>
      <c r="T52" s="179" t="s">
        <v>580</v>
      </c>
      <c r="U52" s="669" t="s">
        <v>581</v>
      </c>
      <c r="V52" s="180" t="s">
        <v>609</v>
      </c>
      <c r="W52" s="671" t="s">
        <v>582</v>
      </c>
      <c r="X52" s="181" t="s">
        <v>583</v>
      </c>
      <c r="Y52" s="182" t="s">
        <v>584</v>
      </c>
      <c r="Z52" s="183" t="s">
        <v>585</v>
      </c>
      <c r="AA52" s="667"/>
      <c r="AB52"/>
      <c r="AC52"/>
      <c r="AD52"/>
      <c r="AE52"/>
      <c r="AF52"/>
      <c r="AG52" s="184"/>
      <c r="AH52" s="10"/>
    </row>
    <row r="53" spans="15:34" ht="30" customHeight="1">
      <c r="O53"/>
      <c r="P53" s="288"/>
      <c r="Q53" s="186"/>
      <c r="R53" s="187"/>
      <c r="S53" s="696"/>
      <c r="T53" s="188"/>
      <c r="U53" s="670"/>
      <c r="V53" s="189"/>
      <c r="W53" s="672"/>
      <c r="X53" s="190"/>
      <c r="Y53" s="191"/>
      <c r="Z53" s="192"/>
      <c r="AA53" s="668"/>
      <c r="AB53"/>
      <c r="AC53"/>
      <c r="AD53"/>
      <c r="AE53"/>
      <c r="AF53"/>
      <c r="AG53" s="184"/>
      <c r="AH53" s="10"/>
    </row>
    <row r="54" spans="14:34" ht="30" customHeight="1">
      <c r="N54" s="101"/>
      <c r="O54" s="101" t="s">
        <v>666</v>
      </c>
      <c r="P54" s="105">
        <f>'機械装置費（50万円以上）'!Q33</f>
        <v>1332800</v>
      </c>
      <c r="Q54" s="193">
        <f aca="true" t="shared" si="18" ref="Q54:Q63">I19</f>
        <v>1333333</v>
      </c>
      <c r="R54" s="194">
        <f>MIN(P54,Q54)</f>
        <v>1332800</v>
      </c>
      <c r="S54" s="282">
        <f>MIN(Q54-R54,T54)</f>
        <v>533</v>
      </c>
      <c r="T54" s="195">
        <f aca="true" t="shared" si="19" ref="T54:T63">ROUNDDOWN(I19*20%,0)</f>
        <v>266666</v>
      </c>
      <c r="U54" s="196" t="str">
        <f>IF(P54=0,"",IF(P54-R54&gt;0,"○","-"))</f>
        <v>-</v>
      </c>
      <c r="V54" s="197">
        <f>P54-R54</f>
        <v>0</v>
      </c>
      <c r="W54" s="198">
        <f>MIN(T54,V54)</f>
        <v>0</v>
      </c>
      <c r="X54" s="199">
        <f>IF($W$54&gt;0,1,"")</f>
      </c>
      <c r="Y54" s="394"/>
      <c r="Z54" s="200">
        <f aca="true" t="shared" si="20" ref="Z54:Z63">R54+Y54</f>
        <v>1332800</v>
      </c>
      <c r="AA54" s="469" t="s">
        <v>678</v>
      </c>
      <c r="AB54"/>
      <c r="AC54"/>
      <c r="AD54"/>
      <c r="AE54"/>
      <c r="AF54"/>
      <c r="AG54" s="184"/>
      <c r="AH54" s="99"/>
    </row>
    <row r="55" spans="14:34" ht="30" customHeight="1">
      <c r="N55" s="101"/>
      <c r="O55" s="101" t="s">
        <v>667</v>
      </c>
      <c r="P55" s="105">
        <f>'機械装置費（50万円未満）'!Q33</f>
        <v>2133328</v>
      </c>
      <c r="Q55" s="203">
        <f t="shared" si="18"/>
        <v>2133328</v>
      </c>
      <c r="R55" s="204">
        <f aca="true" t="shared" si="21" ref="R55:R63">MIN(Q55,P55)</f>
        <v>2133328</v>
      </c>
      <c r="S55" s="283">
        <f aca="true" t="shared" si="22" ref="S55:S63">MIN(Q55-R55,T55)</f>
        <v>0</v>
      </c>
      <c r="T55" s="205">
        <f t="shared" si="19"/>
        <v>426665</v>
      </c>
      <c r="U55" s="206" t="str">
        <f>IF(P55=0,"",IF(P55-R55&gt;0,"○","-"))</f>
        <v>-</v>
      </c>
      <c r="V55" s="207">
        <f>P55-R55</f>
        <v>0</v>
      </c>
      <c r="W55" s="208">
        <f>MIN(T55,V55)</f>
        <v>0</v>
      </c>
      <c r="X55" s="209">
        <f>IF($W$55&gt;0,1,"")</f>
      </c>
      <c r="Y55" s="395"/>
      <c r="Z55" s="210">
        <f t="shared" si="20"/>
        <v>2133328</v>
      </c>
      <c r="AA55" s="470" t="s">
        <v>679</v>
      </c>
      <c r="AB55"/>
      <c r="AC55"/>
      <c r="AD55"/>
      <c r="AE55"/>
      <c r="AF55"/>
      <c r="AG55" s="213"/>
      <c r="AH55" s="10"/>
    </row>
    <row r="56" spans="14:34" ht="30" customHeight="1">
      <c r="N56" s="101"/>
      <c r="O56" s="101" t="s">
        <v>26</v>
      </c>
      <c r="P56" s="105">
        <f aca="true" t="shared" si="23" ref="P56:P63">IF(L21="",0,ROUNDDOWN(L21*2/3,0))</f>
        <v>342300</v>
      </c>
      <c r="Q56" s="203">
        <f t="shared" si="18"/>
        <v>77349</v>
      </c>
      <c r="R56" s="204">
        <f t="shared" si="21"/>
        <v>77349</v>
      </c>
      <c r="S56" s="283">
        <f t="shared" si="22"/>
        <v>0</v>
      </c>
      <c r="T56" s="205">
        <f t="shared" si="19"/>
        <v>15469</v>
      </c>
      <c r="U56" s="206" t="str">
        <f>IF(P56=0,"",IF(P56-R56&gt;0,"○","-"))</f>
        <v>○</v>
      </c>
      <c r="V56" s="207">
        <f>P56-R56</f>
        <v>264951</v>
      </c>
      <c r="W56" s="208">
        <f aca="true" t="shared" si="24" ref="W56:W63">MIN(T56,V56)</f>
        <v>15469</v>
      </c>
      <c r="X56" s="209">
        <f>IF(W56=0,"",RANK(W56,($W$56:$W$63))+1)</f>
        <v>7</v>
      </c>
      <c r="Y56" s="395"/>
      <c r="Z56" s="210">
        <f t="shared" si="20"/>
        <v>77349</v>
      </c>
      <c r="AA56" s="470" t="s">
        <v>543</v>
      </c>
      <c r="AB56"/>
      <c r="AC56"/>
      <c r="AD56"/>
      <c r="AE56"/>
      <c r="AF56"/>
      <c r="AG56" s="184"/>
      <c r="AH56" s="10"/>
    </row>
    <row r="57" spans="14:34" ht="30" customHeight="1">
      <c r="N57" s="101"/>
      <c r="O57" s="101" t="s">
        <v>34</v>
      </c>
      <c r="P57" s="105">
        <f t="shared" si="23"/>
        <v>3600000</v>
      </c>
      <c r="Q57" s="203">
        <f t="shared" si="18"/>
        <v>813490</v>
      </c>
      <c r="R57" s="204">
        <f t="shared" si="21"/>
        <v>813490</v>
      </c>
      <c r="S57" s="283">
        <f t="shared" si="22"/>
        <v>0</v>
      </c>
      <c r="T57" s="205">
        <f t="shared" si="19"/>
        <v>162698</v>
      </c>
      <c r="U57" s="206" t="str">
        <f aca="true" t="shared" si="25" ref="U57:U63">IF(P57=0,"",IF(P57-R57&gt;0,"○","-"))</f>
        <v>○</v>
      </c>
      <c r="V57" s="207">
        <f aca="true" t="shared" si="26" ref="V57:V63">P57-R57</f>
        <v>2786510</v>
      </c>
      <c r="W57" s="208">
        <f t="shared" si="24"/>
        <v>162698</v>
      </c>
      <c r="X57" s="209">
        <f aca="true" t="shared" si="27" ref="X57:X63">IF(W57=0,"",RANK(W57,($W$56:$W$63))+1)</f>
        <v>2</v>
      </c>
      <c r="Y57" s="395">
        <v>533</v>
      </c>
      <c r="Z57" s="210">
        <f t="shared" si="20"/>
        <v>814023</v>
      </c>
      <c r="AA57" s="470" t="s">
        <v>547</v>
      </c>
      <c r="AB57"/>
      <c r="AC57"/>
      <c r="AD57"/>
      <c r="AE57"/>
      <c r="AF57"/>
      <c r="AG57" s="184"/>
      <c r="AH57" s="99"/>
    </row>
    <row r="58" spans="14:34" ht="30" customHeight="1">
      <c r="N58" s="101"/>
      <c r="O58" s="101" t="s">
        <v>36</v>
      </c>
      <c r="P58" s="105">
        <f t="shared" si="23"/>
        <v>333333</v>
      </c>
      <c r="Q58" s="203">
        <f t="shared" si="18"/>
        <v>75322</v>
      </c>
      <c r="R58" s="204">
        <f t="shared" si="21"/>
        <v>75322</v>
      </c>
      <c r="S58" s="283">
        <f t="shared" si="22"/>
        <v>0</v>
      </c>
      <c r="T58" s="205">
        <f t="shared" si="19"/>
        <v>15064</v>
      </c>
      <c r="U58" s="206" t="str">
        <f t="shared" si="25"/>
        <v>○</v>
      </c>
      <c r="V58" s="207">
        <f t="shared" si="26"/>
        <v>258011</v>
      </c>
      <c r="W58" s="208">
        <f t="shared" si="24"/>
        <v>15064</v>
      </c>
      <c r="X58" s="209">
        <f t="shared" si="27"/>
        <v>8</v>
      </c>
      <c r="Y58" s="395"/>
      <c r="Z58" s="210">
        <f t="shared" si="20"/>
        <v>75322</v>
      </c>
      <c r="AA58" s="470" t="s">
        <v>548</v>
      </c>
      <c r="AB58"/>
      <c r="AC58"/>
      <c r="AD58"/>
      <c r="AE58"/>
      <c r="AF58"/>
      <c r="AG58" s="184"/>
      <c r="AH58" s="10"/>
    </row>
    <row r="59" spans="14:34" ht="30" customHeight="1">
      <c r="N59" s="101"/>
      <c r="O59" s="101" t="s">
        <v>35</v>
      </c>
      <c r="P59" s="105">
        <f t="shared" si="23"/>
        <v>720000</v>
      </c>
      <c r="Q59" s="203">
        <f t="shared" si="18"/>
        <v>162697</v>
      </c>
      <c r="R59" s="204">
        <f t="shared" si="21"/>
        <v>162697</v>
      </c>
      <c r="S59" s="283">
        <f t="shared" si="22"/>
        <v>0</v>
      </c>
      <c r="T59" s="205">
        <f t="shared" si="19"/>
        <v>32539</v>
      </c>
      <c r="U59" s="206" t="str">
        <f t="shared" si="25"/>
        <v>○</v>
      </c>
      <c r="V59" s="207">
        <f t="shared" si="26"/>
        <v>557303</v>
      </c>
      <c r="W59" s="208">
        <f t="shared" si="24"/>
        <v>32539</v>
      </c>
      <c r="X59" s="209">
        <f t="shared" si="27"/>
        <v>3</v>
      </c>
      <c r="Y59" s="395"/>
      <c r="Z59" s="210">
        <f t="shared" si="20"/>
        <v>162697</v>
      </c>
      <c r="AA59" s="470" t="s">
        <v>549</v>
      </c>
      <c r="AB59"/>
      <c r="AC59"/>
      <c r="AD59"/>
      <c r="AE59"/>
      <c r="AF59"/>
      <c r="AG59" s="184"/>
      <c r="AH59" s="99"/>
    </row>
    <row r="60" spans="14:34" ht="30" customHeight="1">
      <c r="N60" s="110"/>
      <c r="O60" s="101" t="s">
        <v>49</v>
      </c>
      <c r="P60" s="105">
        <f t="shared" si="23"/>
        <v>366666</v>
      </c>
      <c r="Q60" s="203">
        <f t="shared" si="18"/>
        <v>82854</v>
      </c>
      <c r="R60" s="204">
        <f t="shared" si="21"/>
        <v>82854</v>
      </c>
      <c r="S60" s="283">
        <f t="shared" si="22"/>
        <v>0</v>
      </c>
      <c r="T60" s="205">
        <f t="shared" si="19"/>
        <v>16570</v>
      </c>
      <c r="U60" s="206" t="str">
        <f t="shared" si="25"/>
        <v>○</v>
      </c>
      <c r="V60" s="207">
        <f t="shared" si="26"/>
        <v>283812</v>
      </c>
      <c r="W60" s="208">
        <f t="shared" si="24"/>
        <v>16570</v>
      </c>
      <c r="X60" s="209">
        <f t="shared" si="27"/>
        <v>6</v>
      </c>
      <c r="Y60" s="395"/>
      <c r="Z60" s="210">
        <f t="shared" si="20"/>
        <v>82854</v>
      </c>
      <c r="AA60" s="470" t="s">
        <v>551</v>
      </c>
      <c r="AB60"/>
      <c r="AC60"/>
      <c r="AD60"/>
      <c r="AE60"/>
      <c r="AF60"/>
      <c r="AG60" s="184"/>
      <c r="AH60" s="10"/>
    </row>
    <row r="61" spans="14:34" ht="30" customHeight="1">
      <c r="N61" s="101"/>
      <c r="O61" s="101" t="s">
        <v>37</v>
      </c>
      <c r="P61" s="105">
        <f t="shared" si="23"/>
        <v>590000</v>
      </c>
      <c r="Q61" s="203">
        <f t="shared" si="18"/>
        <v>133321</v>
      </c>
      <c r="R61" s="204">
        <f t="shared" si="21"/>
        <v>133321</v>
      </c>
      <c r="S61" s="283">
        <f t="shared" si="22"/>
        <v>0</v>
      </c>
      <c r="T61" s="205">
        <f t="shared" si="19"/>
        <v>26664</v>
      </c>
      <c r="U61" s="206" t="str">
        <f t="shared" si="25"/>
        <v>○</v>
      </c>
      <c r="V61" s="207">
        <f t="shared" si="26"/>
        <v>456679</v>
      </c>
      <c r="W61" s="208">
        <f t="shared" si="24"/>
        <v>26664</v>
      </c>
      <c r="X61" s="209">
        <f t="shared" si="27"/>
        <v>5</v>
      </c>
      <c r="Y61" s="395"/>
      <c r="Z61" s="210">
        <f t="shared" si="20"/>
        <v>133321</v>
      </c>
      <c r="AA61" s="470" t="s">
        <v>552</v>
      </c>
      <c r="AB61"/>
      <c r="AC61"/>
      <c r="AD61"/>
      <c r="AE61"/>
      <c r="AF61"/>
      <c r="AG61" s="184"/>
      <c r="AH61" s="99"/>
    </row>
    <row r="62" spans="14:34" ht="30" customHeight="1">
      <c r="N62" s="101"/>
      <c r="O62" s="101" t="s">
        <v>672</v>
      </c>
      <c r="P62" s="105">
        <f t="shared" si="23"/>
        <v>666666</v>
      </c>
      <c r="Q62" s="203">
        <f t="shared" si="18"/>
        <v>150645</v>
      </c>
      <c r="R62" s="204">
        <f t="shared" si="21"/>
        <v>150645</v>
      </c>
      <c r="S62" s="283">
        <f t="shared" si="22"/>
        <v>0</v>
      </c>
      <c r="T62" s="205">
        <f t="shared" si="19"/>
        <v>30129</v>
      </c>
      <c r="U62" s="220" t="str">
        <f t="shared" si="25"/>
        <v>○</v>
      </c>
      <c r="V62" s="207">
        <f t="shared" si="26"/>
        <v>516021</v>
      </c>
      <c r="W62" s="208">
        <f t="shared" si="24"/>
        <v>30129</v>
      </c>
      <c r="X62" s="209">
        <f t="shared" si="27"/>
        <v>4</v>
      </c>
      <c r="Y62" s="395"/>
      <c r="Z62" s="221">
        <f t="shared" si="20"/>
        <v>150645</v>
      </c>
      <c r="AA62" s="470" t="s">
        <v>680</v>
      </c>
      <c r="AB62"/>
      <c r="AC62"/>
      <c r="AD62"/>
      <c r="AE62"/>
      <c r="AF62"/>
      <c r="AG62" s="1"/>
      <c r="AH62" s="1"/>
    </row>
    <row r="63" spans="14:47" ht="30" customHeight="1">
      <c r="N63" s="101"/>
      <c r="O63" s="101" t="s">
        <v>673</v>
      </c>
      <c r="P63" s="117">
        <f t="shared" si="23"/>
        <v>166666</v>
      </c>
      <c r="Q63" s="222">
        <f t="shared" si="18"/>
        <v>37661</v>
      </c>
      <c r="R63" s="425">
        <f t="shared" si="21"/>
        <v>37661</v>
      </c>
      <c r="S63" s="284">
        <f t="shared" si="22"/>
        <v>0</v>
      </c>
      <c r="T63" s="223">
        <f t="shared" si="19"/>
        <v>7532</v>
      </c>
      <c r="U63" s="224" t="str">
        <f t="shared" si="25"/>
        <v>○</v>
      </c>
      <c r="V63" s="225">
        <f t="shared" si="26"/>
        <v>129005</v>
      </c>
      <c r="W63" s="226">
        <f t="shared" si="24"/>
        <v>7532</v>
      </c>
      <c r="X63" s="586">
        <f t="shared" si="27"/>
        <v>9</v>
      </c>
      <c r="Y63" s="396"/>
      <c r="Z63" s="227">
        <f t="shared" si="20"/>
        <v>37661</v>
      </c>
      <c r="AA63" s="471" t="s">
        <v>681</v>
      </c>
      <c r="AB63"/>
      <c r="AC63"/>
      <c r="AD63"/>
      <c r="AE63"/>
      <c r="AF63"/>
      <c r="AG63" s="1"/>
      <c r="AH63" s="1"/>
      <c r="AU63" s="534"/>
    </row>
    <row r="64" spans="15:47" ht="30" customHeight="1" thickBot="1">
      <c r="O64" s="269" t="s">
        <v>33</v>
      </c>
      <c r="P64" s="228">
        <f>SUM(P54:P63)</f>
        <v>10251759</v>
      </c>
      <c r="Q64" s="228">
        <f>SUM(Q54:Q63)</f>
        <v>5000000</v>
      </c>
      <c r="R64" s="426">
        <f>SUM(R54:R63)</f>
        <v>4999467</v>
      </c>
      <c r="S64" s="285">
        <f>SUM(S54:S63)</f>
        <v>533</v>
      </c>
      <c r="T64" s="386"/>
      <c r="U64" s="387"/>
      <c r="V64" s="388"/>
      <c r="W64" s="229">
        <f>SUM(W54:W63)</f>
        <v>306665</v>
      </c>
      <c r="X64" s="389"/>
      <c r="Y64" s="230">
        <f>SUM(Y54:Y63)</f>
        <v>533</v>
      </c>
      <c r="Z64" s="231">
        <f>SUM(Z54:Z63)</f>
        <v>5000000</v>
      </c>
      <c r="AA64" s="232"/>
      <c r="AB64"/>
      <c r="AC64"/>
      <c r="AD64"/>
      <c r="AE64"/>
      <c r="AF64"/>
      <c r="AG64" s="38"/>
      <c r="AH64" s="128"/>
      <c r="AP64" s="534"/>
      <c r="AQ64" s="534"/>
      <c r="AR64" s="534"/>
      <c r="AS64" s="534"/>
      <c r="AT64" s="534"/>
      <c r="AU64" s="535"/>
    </row>
    <row r="65" spans="15:47" ht="30" customHeight="1">
      <c r="O65" s="38"/>
      <c r="P65" s="114">
        <f>IF(P64&gt;補助上限額,補助上限額,P64)</f>
        <v>5000000</v>
      </c>
      <c r="Q65" s="673" t="s">
        <v>594</v>
      </c>
      <c r="R65" s="675" t="s">
        <v>646</v>
      </c>
      <c r="S65" s="233"/>
      <c r="T65" s="234"/>
      <c r="U65" s="234"/>
      <c r="V65" s="234"/>
      <c r="W65" s="234"/>
      <c r="X65" s="673" t="s">
        <v>594</v>
      </c>
      <c r="Y65" s="675" t="s">
        <v>646</v>
      </c>
      <c r="Z65" s="675" t="s">
        <v>646</v>
      </c>
      <c r="AA65" s="232"/>
      <c r="AB65"/>
      <c r="AC65"/>
      <c r="AD65" s="38"/>
      <c r="AE65" s="38"/>
      <c r="AF65" s="38"/>
      <c r="AH65" s="80"/>
      <c r="AP65" s="536"/>
      <c r="AQ65" s="536"/>
      <c r="AR65" s="536"/>
      <c r="AS65" s="536"/>
      <c r="AT65" s="536"/>
      <c r="AU65" s="535"/>
    </row>
    <row r="66" spans="15:47" ht="30" customHeight="1" thickBot="1">
      <c r="O66" s="235"/>
      <c r="P66" s="235"/>
      <c r="Q66" s="699"/>
      <c r="R66" s="675"/>
      <c r="S66" s="236"/>
      <c r="T66" s="237"/>
      <c r="U66" s="238"/>
      <c r="V66" s="239"/>
      <c r="W66" s="239"/>
      <c r="X66" s="674"/>
      <c r="Y66" s="676"/>
      <c r="Z66" s="676"/>
      <c r="AA66" s="234"/>
      <c r="AB66"/>
      <c r="AC66" s="38"/>
      <c r="AD66" s="71"/>
      <c r="AE66" s="38"/>
      <c r="AF66" s="72"/>
      <c r="AP66" s="536"/>
      <c r="AQ66" s="536"/>
      <c r="AR66" s="536"/>
      <c r="AS66" s="536"/>
      <c r="AT66" s="536"/>
      <c r="AU66" s="535"/>
    </row>
    <row r="67" spans="15:47" ht="42" customHeight="1" thickTop="1">
      <c r="O67" s="417"/>
      <c r="P67" s="653"/>
      <c r="Q67" s="654"/>
      <c r="R67" s="427" t="s">
        <v>647</v>
      </c>
      <c r="S67" s="286" t="s">
        <v>727</v>
      </c>
      <c r="T67" s="412">
        <f>S64</f>
        <v>533</v>
      </c>
      <c r="U67" s="240" t="s">
        <v>648</v>
      </c>
      <c r="V67" s="239"/>
      <c r="W67" s="239"/>
      <c r="X67" s="241"/>
      <c r="Y67" s="242" t="s">
        <v>649</v>
      </c>
      <c r="Z67" s="243" t="s">
        <v>650</v>
      </c>
      <c r="AA67" s="15"/>
      <c r="AB67" s="38"/>
      <c r="AC67" s="38"/>
      <c r="AD67" s="38"/>
      <c r="AE67" s="38"/>
      <c r="AF67" s="72"/>
      <c r="AP67" s="536"/>
      <c r="AQ67" s="536"/>
      <c r="AR67" s="536"/>
      <c r="AS67" s="536"/>
      <c r="AT67" s="536"/>
      <c r="AU67" s="535"/>
    </row>
    <row r="68" spans="15:47" ht="38.25" customHeight="1">
      <c r="O68" s="418"/>
      <c r="P68" s="655" t="s">
        <v>725</v>
      </c>
      <c r="Q68" s="656"/>
      <c r="R68" s="428">
        <f>R54</f>
        <v>1332800</v>
      </c>
      <c r="S68" s="244" t="s">
        <v>651</v>
      </c>
      <c r="T68" s="413">
        <f>SUMIF($U$54:$U$63,"○",$T$54:$T$63)</f>
        <v>306665</v>
      </c>
      <c r="U68" s="238" t="s">
        <v>652</v>
      </c>
      <c r="V68" s="239" t="s">
        <v>595</v>
      </c>
      <c r="W68" s="239"/>
      <c r="X68" s="245" t="s">
        <v>28</v>
      </c>
      <c r="Y68" s="246">
        <f>SUM(Y54:Y55)</f>
        <v>0</v>
      </c>
      <c r="Z68" s="247">
        <f>SUM(Z54:Z55)</f>
        <v>3466128</v>
      </c>
      <c r="AA68" s="33"/>
      <c r="AB68" s="71"/>
      <c r="AC68" s="71"/>
      <c r="AE68" s="72"/>
      <c r="AF68" s="72"/>
      <c r="AP68" s="536"/>
      <c r="AQ68" s="536"/>
      <c r="AR68" s="536"/>
      <c r="AS68" s="536"/>
      <c r="AT68" s="536"/>
      <c r="AU68" s="537"/>
    </row>
    <row r="69" spans="15:47" ht="38.25" customHeight="1">
      <c r="O69" s="417"/>
      <c r="P69" s="655" t="s">
        <v>726</v>
      </c>
      <c r="Q69" s="656"/>
      <c r="R69" s="428">
        <f>R55</f>
        <v>2133328</v>
      </c>
      <c r="S69" s="248" t="s">
        <v>597</v>
      </c>
      <c r="T69" s="237">
        <f>MIN(T67,T68)</f>
        <v>533</v>
      </c>
      <c r="U69" s="238" t="s">
        <v>653</v>
      </c>
      <c r="V69" s="239"/>
      <c r="W69" s="239"/>
      <c r="X69" s="245" t="s">
        <v>596</v>
      </c>
      <c r="Y69" s="246">
        <f>Y64-Y68</f>
        <v>533</v>
      </c>
      <c r="Z69" s="247">
        <f>Z64-Z68</f>
        <v>1533872</v>
      </c>
      <c r="AA69" s="488">
        <f>IF(AU29="×","←機械装置費以外の補助金の合計が500万円を超えています。修正して下さい。","")</f>
      </c>
      <c r="AB69" s="71"/>
      <c r="AC69" s="71"/>
      <c r="AE69" s="72"/>
      <c r="AF69" s="72"/>
      <c r="AP69" s="537"/>
      <c r="AQ69" s="537"/>
      <c r="AR69" s="537"/>
      <c r="AS69" s="537"/>
      <c r="AT69" s="537"/>
      <c r="AU69" s="535"/>
    </row>
    <row r="70" spans="15:47" ht="38.25" customHeight="1" thickBot="1">
      <c r="O70" s="419"/>
      <c r="P70" s="655" t="s">
        <v>596</v>
      </c>
      <c r="Q70" s="656"/>
      <c r="R70" s="428">
        <f>R64-(R68+R69)</f>
        <v>1533339</v>
      </c>
      <c r="S70" s="236"/>
      <c r="T70" s="237"/>
      <c r="U70" s="249"/>
      <c r="V70" s="250"/>
      <c r="W70" s="250"/>
      <c r="X70" s="251" t="s">
        <v>33</v>
      </c>
      <c r="Y70" s="252">
        <f>SUM(Y68:Y69)</f>
        <v>533</v>
      </c>
      <c r="Z70" s="253">
        <f>SUM(Z68:Z69)</f>
        <v>5000000</v>
      </c>
      <c r="AA70" s="486">
        <f>IF(Y70&gt;S82,"←流用可能額を超えています。修正して下さい。","")</f>
      </c>
      <c r="AC70" s="80"/>
      <c r="AE70" s="72"/>
      <c r="AF70" s="72"/>
      <c r="AP70" s="535"/>
      <c r="AQ70" s="535"/>
      <c r="AR70" s="534"/>
      <c r="AS70" s="535"/>
      <c r="AT70" s="535"/>
      <c r="AU70" s="531"/>
    </row>
    <row r="71" spans="15:46" ht="38.25" customHeight="1" thickBot="1" thickTop="1">
      <c r="O71" s="71"/>
      <c r="P71" s="697" t="s">
        <v>33</v>
      </c>
      <c r="Q71" s="698"/>
      <c r="R71" s="429">
        <f>SUM(R68:R70)</f>
        <v>4999467</v>
      </c>
      <c r="S71" s="255" t="s">
        <v>598</v>
      </c>
      <c r="T71" s="237">
        <f>Q64-R64</f>
        <v>533</v>
      </c>
      <c r="U71" s="238" t="s">
        <v>654</v>
      </c>
      <c r="V71" s="239" t="s">
        <v>728</v>
      </c>
      <c r="W71" s="256"/>
      <c r="X71" s="257"/>
      <c r="AB71" s="489"/>
      <c r="AC71" s="489"/>
      <c r="AE71" s="72"/>
      <c r="AF71" s="72"/>
      <c r="AP71" s="531"/>
      <c r="AQ71" s="531"/>
      <c r="AR71" s="531"/>
      <c r="AS71" s="531"/>
      <c r="AT71" s="531"/>
    </row>
    <row r="72" spans="15:32" ht="30" customHeight="1">
      <c r="O72" s="71"/>
      <c r="P72" s="71"/>
      <c r="Q72" s="71"/>
      <c r="R72" s="71"/>
      <c r="S72" s="236"/>
      <c r="T72" s="237"/>
      <c r="U72" s="238"/>
      <c r="V72" s="239"/>
      <c r="W72" s="234"/>
      <c r="X72" s="234"/>
      <c r="AB72" s="487"/>
      <c r="AC72" s="487"/>
      <c r="AE72" s="72"/>
      <c r="AF72" s="72"/>
    </row>
    <row r="73" spans="17:32" ht="30" customHeight="1">
      <c r="Q73" s="71"/>
      <c r="R73" s="71"/>
      <c r="S73" s="255" t="s">
        <v>655</v>
      </c>
      <c r="T73" s="237">
        <f>SUM(W54:W63)</f>
        <v>306665</v>
      </c>
      <c r="U73" s="238" t="s">
        <v>656</v>
      </c>
      <c r="V73" s="239" t="s">
        <v>657</v>
      </c>
      <c r="W73" s="234"/>
      <c r="X73" s="234"/>
      <c r="AB73" s="80"/>
      <c r="AE73" s="72"/>
      <c r="AF73" s="72"/>
    </row>
    <row r="74" spans="19:47" ht="30" customHeight="1">
      <c r="S74" s="236"/>
      <c r="T74" s="237"/>
      <c r="U74" s="238"/>
      <c r="V74" s="239"/>
      <c r="W74" s="234"/>
      <c r="X74" s="234"/>
      <c r="AB74" s="80"/>
      <c r="AE74" s="72"/>
      <c r="AF74" s="72"/>
      <c r="AU74" s="531"/>
    </row>
    <row r="75" spans="19:47" ht="30" customHeight="1">
      <c r="S75" s="258"/>
      <c r="T75" s="237"/>
      <c r="U75" s="238"/>
      <c r="V75" s="239"/>
      <c r="W75" s="234"/>
      <c r="X75" s="234"/>
      <c r="AB75" s="80"/>
      <c r="AE75" s="72"/>
      <c r="AF75" s="72"/>
      <c r="AP75" s="531"/>
      <c r="AQ75" s="531"/>
      <c r="AR75" s="531"/>
      <c r="AS75" s="531"/>
      <c r="AT75" s="531"/>
      <c r="AU75" s="531"/>
    </row>
    <row r="76" spans="19:47" ht="20.25" customHeight="1">
      <c r="S76" s="236"/>
      <c r="T76" s="259"/>
      <c r="U76" s="260"/>
      <c r="V76" s="261"/>
      <c r="W76" s="234"/>
      <c r="X76" s="234"/>
      <c r="AB76" s="80"/>
      <c r="AE76" s="72"/>
      <c r="AF76" s="72"/>
      <c r="AP76" s="531"/>
      <c r="AQ76" s="531"/>
      <c r="AR76" s="531"/>
      <c r="AS76" s="531"/>
      <c r="AT76" s="531"/>
      <c r="AU76" s="531"/>
    </row>
    <row r="77" spans="19:47" ht="30" customHeight="1" thickBot="1">
      <c r="S77" s="236"/>
      <c r="T77" s="259"/>
      <c r="U77" s="260"/>
      <c r="V77" s="262"/>
      <c r="W77" s="234"/>
      <c r="X77" s="234"/>
      <c r="AB77" s="80"/>
      <c r="AE77" s="72"/>
      <c r="AF77" s="72"/>
      <c r="AP77" s="531"/>
      <c r="AQ77" s="531"/>
      <c r="AR77" s="531"/>
      <c r="AS77" s="531"/>
      <c r="AT77" s="531"/>
      <c r="AU77" s="531"/>
    </row>
    <row r="78" spans="16:47" ht="30" customHeight="1" thickBot="1" thickTop="1">
      <c r="P78" s="263" t="s">
        <v>730</v>
      </c>
      <c r="Q78" s="677"/>
      <c r="R78" s="678"/>
      <c r="S78" s="420" t="str">
        <f>事業類型</f>
        <v>革新的サービス</v>
      </c>
      <c r="T78"/>
      <c r="U78" s="759" t="s">
        <v>833</v>
      </c>
      <c r="V78" s="760"/>
      <c r="W78" s="760"/>
      <c r="X78" s="761"/>
      <c r="Y78" s="270"/>
      <c r="Z78" s="270"/>
      <c r="AB78" s="80"/>
      <c r="AE78" s="72"/>
      <c r="AF78" s="72"/>
      <c r="AP78" s="531"/>
      <c r="AQ78" s="531"/>
      <c r="AR78" s="531"/>
      <c r="AS78" s="531"/>
      <c r="AT78" s="531"/>
      <c r="AU78" s="531"/>
    </row>
    <row r="79" spans="16:47" ht="30" customHeight="1" thickBot="1">
      <c r="P79" s="264"/>
      <c r="Q79" s="649" t="s">
        <v>725</v>
      </c>
      <c r="R79" s="650"/>
      <c r="S79" s="460">
        <f>IF(U54="○",MIN(MIN($T$69,$T$71,$T$73),W54),0)</f>
        <v>0</v>
      </c>
      <c r="T79" s="679" t="s">
        <v>658</v>
      </c>
      <c r="U79" s="762"/>
      <c r="V79" s="763"/>
      <c r="W79" s="763"/>
      <c r="X79" s="764"/>
      <c r="Y79" s="270"/>
      <c r="Z79" s="270"/>
      <c r="AB79" s="80"/>
      <c r="AE79" s="72"/>
      <c r="AF79" s="72"/>
      <c r="AP79" s="531"/>
      <c r="AQ79" s="531"/>
      <c r="AR79" s="531"/>
      <c r="AS79" s="531"/>
      <c r="AT79" s="531"/>
      <c r="AU79" s="531"/>
    </row>
    <row r="80" spans="16:47" ht="30" customHeight="1" thickBot="1">
      <c r="P80" s="265"/>
      <c r="Q80" s="649" t="s">
        <v>726</v>
      </c>
      <c r="R80" s="650"/>
      <c r="S80" s="461">
        <f>IF(U55="○",MIN(MIN($T$69,$T$71,$T$73)-S79,W55),0)</f>
        <v>0</v>
      </c>
      <c r="T80" s="679"/>
      <c r="U80" s="762"/>
      <c r="V80" s="763"/>
      <c r="W80" s="763"/>
      <c r="X80" s="764"/>
      <c r="Y80" s="270"/>
      <c r="Z80" s="270"/>
      <c r="AB80" s="80"/>
      <c r="AE80" s="72"/>
      <c r="AF80" s="72"/>
      <c r="AP80" s="531"/>
      <c r="AQ80" s="531"/>
      <c r="AR80" s="531"/>
      <c r="AS80" s="531"/>
      <c r="AT80" s="531"/>
      <c r="AU80" s="531"/>
    </row>
    <row r="81" spans="17:47" ht="30" customHeight="1" thickBot="1">
      <c r="Q81" s="649" t="s">
        <v>596</v>
      </c>
      <c r="R81" s="650"/>
      <c r="S81" s="461">
        <f>IF(事業類型="革新的サービス（コンパクト型）",MIN(MIN($T$69,$T$71,$T$73)-SUM(S79:S80),7000000-R70),MIN(MIN($T$69,$T$71,$T$73)-SUM(S79:S80),5000000-R70))</f>
        <v>533</v>
      </c>
      <c r="T81"/>
      <c r="U81" s="765"/>
      <c r="V81" s="766"/>
      <c r="W81" s="766"/>
      <c r="X81" s="767"/>
      <c r="Y81" s="270"/>
      <c r="Z81" s="270"/>
      <c r="AB81" s="80"/>
      <c r="AE81" s="72"/>
      <c r="AF81" s="72"/>
      <c r="AP81" s="531"/>
      <c r="AQ81" s="531"/>
      <c r="AR81" s="531"/>
      <c r="AS81" s="531"/>
      <c r="AT81" s="531"/>
      <c r="AU81" s="531"/>
    </row>
    <row r="82" spans="17:47" ht="30" customHeight="1" thickBot="1">
      <c r="Q82" s="651" t="s">
        <v>33</v>
      </c>
      <c r="R82" s="652"/>
      <c r="S82" s="462">
        <f>SUM(S79:S81)</f>
        <v>533</v>
      </c>
      <c r="T82" s="266"/>
      <c r="U82" s="255"/>
      <c r="V82" s="71"/>
      <c r="W82" s="71"/>
      <c r="X82" s="158"/>
      <c r="AB82" s="80"/>
      <c r="AE82" s="72"/>
      <c r="AF82" s="72"/>
      <c r="AP82" s="531"/>
      <c r="AQ82" s="531"/>
      <c r="AR82" s="531"/>
      <c r="AS82" s="531"/>
      <c r="AT82" s="531"/>
      <c r="AU82" s="531"/>
    </row>
    <row r="83" spans="19:47" ht="30" customHeight="1" thickTop="1">
      <c r="S83" s="254"/>
      <c r="T83" s="254"/>
      <c r="U83" s="254"/>
      <c r="V83" s="71"/>
      <c r="W83" s="71"/>
      <c r="AB83" s="80"/>
      <c r="AE83" s="72"/>
      <c r="AF83" s="72"/>
      <c r="AP83" s="531"/>
      <c r="AQ83" s="531"/>
      <c r="AR83" s="531"/>
      <c r="AS83" s="531"/>
      <c r="AT83" s="531"/>
      <c r="AU83" s="531"/>
    </row>
    <row r="84" spans="19:47" ht="30" customHeight="1">
      <c r="S84" s="254"/>
      <c r="T84" s="254"/>
      <c r="U84" s="254"/>
      <c r="V84" s="71"/>
      <c r="W84" s="100"/>
      <c r="AB84" s="80"/>
      <c r="AE84" s="72"/>
      <c r="AF84" s="72"/>
      <c r="AI84" s="531"/>
      <c r="AJ84" s="531"/>
      <c r="AK84" s="531"/>
      <c r="AL84" s="531"/>
      <c r="AM84" s="531"/>
      <c r="AN84" s="531"/>
      <c r="AO84" s="531"/>
      <c r="AP84" s="531"/>
      <c r="AQ84" s="531"/>
      <c r="AR84" s="531"/>
      <c r="AS84" s="531"/>
      <c r="AT84" s="531"/>
      <c r="AU84" s="531"/>
    </row>
    <row r="85" spans="19:47" ht="30" customHeight="1">
      <c r="S85" s="254"/>
      <c r="T85" s="254"/>
      <c r="U85" s="71"/>
      <c r="V85" s="100"/>
      <c r="AB85" s="80"/>
      <c r="AE85" s="72"/>
      <c r="AF85" s="72"/>
      <c r="AI85" s="531"/>
      <c r="AJ85" s="531"/>
      <c r="AK85" s="531"/>
      <c r="AL85" s="531"/>
      <c r="AM85" s="531"/>
      <c r="AN85" s="531"/>
      <c r="AO85" s="531"/>
      <c r="AP85" s="531"/>
      <c r="AQ85" s="531"/>
      <c r="AR85" s="531"/>
      <c r="AS85" s="531"/>
      <c r="AT85" s="531"/>
      <c r="AU85" s="531"/>
    </row>
    <row r="86" spans="19:47" ht="13.5">
      <c r="S86" s="71"/>
      <c r="T86" s="71"/>
      <c r="U86" s="71"/>
      <c r="V86"/>
      <c r="AB86" s="80"/>
      <c r="AD86" s="80"/>
      <c r="AE86" s="72"/>
      <c r="AF86" s="72"/>
      <c r="AI86" s="531"/>
      <c r="AJ86" s="531"/>
      <c r="AK86" s="531"/>
      <c r="AL86" s="531"/>
      <c r="AM86" s="531"/>
      <c r="AN86" s="531"/>
      <c r="AO86" s="531"/>
      <c r="AP86" s="531"/>
      <c r="AQ86" s="531"/>
      <c r="AR86" s="531"/>
      <c r="AS86" s="531"/>
      <c r="AT86" s="531"/>
      <c r="AU86" s="531"/>
    </row>
    <row r="87" spans="19:47" ht="13.5">
      <c r="S87" s="71"/>
      <c r="T87"/>
      <c r="U87"/>
      <c r="W87"/>
      <c r="AC87" s="80"/>
      <c r="AD87" s="80"/>
      <c r="AE87" s="72"/>
      <c r="AF87" s="72"/>
      <c r="AI87" s="531"/>
      <c r="AJ87" s="531"/>
      <c r="AK87" s="531"/>
      <c r="AL87" s="531"/>
      <c r="AM87" s="531"/>
      <c r="AN87" s="531"/>
      <c r="AO87" s="531"/>
      <c r="AP87" s="531"/>
      <c r="AQ87" s="531"/>
      <c r="AR87" s="531"/>
      <c r="AS87" s="531"/>
      <c r="AT87" s="531"/>
      <c r="AU87" s="531"/>
    </row>
    <row r="88" spans="20:47" ht="13.5">
      <c r="T88" s="151"/>
      <c r="AC88" s="80"/>
      <c r="AD88" s="80"/>
      <c r="AE88" s="72"/>
      <c r="AF88" s="72"/>
      <c r="AI88" s="531"/>
      <c r="AJ88" s="531"/>
      <c r="AK88" s="531"/>
      <c r="AL88" s="531"/>
      <c r="AM88" s="531"/>
      <c r="AN88" s="531"/>
      <c r="AO88" s="531"/>
      <c r="AP88" s="531"/>
      <c r="AQ88" s="531"/>
      <c r="AR88" s="531"/>
      <c r="AS88" s="531"/>
      <c r="AT88" s="531"/>
      <c r="AU88" s="531"/>
    </row>
    <row r="89" spans="29:47" ht="13.5">
      <c r="AC89" s="80"/>
      <c r="AD89" s="80"/>
      <c r="AE89" s="72"/>
      <c r="AF89" s="72"/>
      <c r="AI89" s="531"/>
      <c r="AJ89" s="531"/>
      <c r="AK89" s="531"/>
      <c r="AL89" s="531"/>
      <c r="AM89" s="531"/>
      <c r="AN89" s="531"/>
      <c r="AO89" s="531"/>
      <c r="AP89" s="531"/>
      <c r="AQ89" s="531"/>
      <c r="AR89" s="531"/>
      <c r="AS89" s="531"/>
      <c r="AT89" s="531"/>
      <c r="AU89" s="531"/>
    </row>
    <row r="90" spans="29:47" ht="13.5">
      <c r="AC90" s="80"/>
      <c r="AD90" s="80"/>
      <c r="AE90" s="72"/>
      <c r="AF90" s="72"/>
      <c r="AI90" s="531"/>
      <c r="AJ90" s="531"/>
      <c r="AK90" s="531"/>
      <c r="AL90" s="531"/>
      <c r="AM90" s="531"/>
      <c r="AN90" s="531"/>
      <c r="AO90" s="531"/>
      <c r="AP90" s="531"/>
      <c r="AQ90" s="531"/>
      <c r="AR90" s="531"/>
      <c r="AS90" s="531"/>
      <c r="AT90" s="531"/>
      <c r="AU90" s="531"/>
    </row>
    <row r="91" spans="29:47" ht="13.5">
      <c r="AC91" s="80"/>
      <c r="AD91" s="80"/>
      <c r="AI91" s="531"/>
      <c r="AJ91" s="531"/>
      <c r="AK91" s="531"/>
      <c r="AL91" s="531"/>
      <c r="AM91" s="531"/>
      <c r="AN91" s="531"/>
      <c r="AO91" s="531"/>
      <c r="AP91" s="531"/>
      <c r="AQ91" s="531"/>
      <c r="AR91" s="531"/>
      <c r="AS91" s="531"/>
      <c r="AT91" s="531"/>
      <c r="AU91" s="531"/>
    </row>
    <row r="92" spans="29:47" ht="13.5">
      <c r="AC92" s="80"/>
      <c r="AD92" s="80"/>
      <c r="AI92" s="531"/>
      <c r="AJ92" s="531"/>
      <c r="AK92" s="531"/>
      <c r="AL92" s="531"/>
      <c r="AM92" s="531"/>
      <c r="AN92" s="531"/>
      <c r="AO92" s="531"/>
      <c r="AP92" s="531"/>
      <c r="AQ92" s="531"/>
      <c r="AR92" s="531"/>
      <c r="AS92" s="531"/>
      <c r="AT92" s="531"/>
      <c r="AU92" s="531"/>
    </row>
    <row r="93" spans="29:46" ht="13.5">
      <c r="AC93" s="80"/>
      <c r="AI93" s="531"/>
      <c r="AJ93" s="531"/>
      <c r="AK93" s="531"/>
      <c r="AL93" s="531"/>
      <c r="AM93" s="531"/>
      <c r="AN93" s="531"/>
      <c r="AO93" s="531"/>
      <c r="AP93" s="531"/>
      <c r="AQ93" s="531"/>
      <c r="AR93" s="531"/>
      <c r="AS93" s="531"/>
      <c r="AT93" s="531"/>
    </row>
    <row r="94" spans="35:46" ht="13.5">
      <c r="AI94" s="531"/>
      <c r="AJ94" s="531"/>
      <c r="AK94" s="531"/>
      <c r="AL94" s="531"/>
      <c r="AM94" s="531"/>
      <c r="AN94" s="531"/>
      <c r="AO94" s="531"/>
      <c r="AP94" s="531"/>
      <c r="AQ94" s="531"/>
      <c r="AR94" s="531"/>
      <c r="AS94" s="531"/>
      <c r="AT94" s="531"/>
    </row>
    <row r="95" spans="35:47" ht="13.5">
      <c r="AI95" s="531"/>
      <c r="AJ95" s="531"/>
      <c r="AK95" s="531"/>
      <c r="AL95" s="531"/>
      <c r="AM95" s="531"/>
      <c r="AN95" s="531"/>
      <c r="AO95" s="531"/>
      <c r="AP95" s="531"/>
      <c r="AQ95" s="531"/>
      <c r="AR95" s="531"/>
      <c r="AS95" s="531"/>
      <c r="AT95" s="531"/>
      <c r="AU95" s="531"/>
    </row>
    <row r="96" spans="35:46" ht="13.5">
      <c r="AI96" s="531"/>
      <c r="AJ96" s="531"/>
      <c r="AK96" s="531"/>
      <c r="AL96" s="531"/>
      <c r="AM96" s="531"/>
      <c r="AN96" s="531"/>
      <c r="AO96" s="531"/>
      <c r="AP96" s="531"/>
      <c r="AQ96" s="531"/>
      <c r="AR96" s="531"/>
      <c r="AS96" s="531"/>
      <c r="AT96" s="531"/>
    </row>
  </sheetData>
  <sheetProtection sheet="1" objects="1" scenarios="1"/>
  <mergeCells count="109">
    <mergeCell ref="C13:C18"/>
    <mergeCell ref="B13:B18"/>
    <mergeCell ref="A13:A18"/>
    <mergeCell ref="E13:E14"/>
    <mergeCell ref="F17:G17"/>
    <mergeCell ref="F16:G16"/>
    <mergeCell ref="D13:D18"/>
    <mergeCell ref="E15:E18"/>
    <mergeCell ref="F15:I15"/>
    <mergeCell ref="N4:Q5"/>
    <mergeCell ref="Q7:Q9"/>
    <mergeCell ref="T7:T9"/>
    <mergeCell ref="U7:U9"/>
    <mergeCell ref="X9:X10"/>
    <mergeCell ref="Y9:Y10"/>
    <mergeCell ref="X13:X14"/>
    <mergeCell ref="Y13:Y14"/>
    <mergeCell ref="Z13:AB14"/>
    <mergeCell ref="U78:X81"/>
    <mergeCell ref="Y20:Y21"/>
    <mergeCell ref="Z20:AB20"/>
    <mergeCell ref="Z21:AB21"/>
    <mergeCell ref="Z19:AB19"/>
    <mergeCell ref="Y22:AB23"/>
    <mergeCell ref="AA30:AA32"/>
    <mergeCell ref="Z9:AB10"/>
    <mergeCell ref="X11:X12"/>
    <mergeCell ref="Y11:Y12"/>
    <mergeCell ref="Z11:AB12"/>
    <mergeCell ref="F13:L14"/>
    <mergeCell ref="J17:K17"/>
    <mergeCell ref="E11:J11"/>
    <mergeCell ref="Y15:Y16"/>
    <mergeCell ref="Z15:AB16"/>
    <mergeCell ref="J15:M15"/>
    <mergeCell ref="AJ39:AL39"/>
    <mergeCell ref="U31:U32"/>
    <mergeCell ref="V31:V32"/>
    <mergeCell ref="Z24:AB24"/>
    <mergeCell ref="N24:O24"/>
    <mergeCell ref="N22:O22"/>
    <mergeCell ref="W31:W32"/>
    <mergeCell ref="Z26:AB26"/>
    <mergeCell ref="T31:T32"/>
    <mergeCell ref="Z25:AB25"/>
    <mergeCell ref="J16:K16"/>
    <mergeCell ref="X15:X16"/>
    <mergeCell ref="N21:O21"/>
    <mergeCell ref="N23:O23"/>
    <mergeCell ref="L30:M30"/>
    <mergeCell ref="P30:P32"/>
    <mergeCell ref="N25:O25"/>
    <mergeCell ref="O30:O32"/>
    <mergeCell ref="S30:S32"/>
    <mergeCell ref="Y25:Y26"/>
    <mergeCell ref="Z31:Z32"/>
    <mergeCell ref="AB30:AB32"/>
    <mergeCell ref="L39:L40"/>
    <mergeCell ref="I41:J41"/>
    <mergeCell ref="I42:J42"/>
    <mergeCell ref="Q30:Q32"/>
    <mergeCell ref="R30:R32"/>
    <mergeCell ref="X31:X32"/>
    <mergeCell ref="Y31:Y32"/>
    <mergeCell ref="I43:J43"/>
    <mergeCell ref="E38:G38"/>
    <mergeCell ref="I38:K38"/>
    <mergeCell ref="I44:J44"/>
    <mergeCell ref="S52:S53"/>
    <mergeCell ref="P71:Q71"/>
    <mergeCell ref="Q65:Q66"/>
    <mergeCell ref="R65:R66"/>
    <mergeCell ref="Q80:R80"/>
    <mergeCell ref="Q78:R78"/>
    <mergeCell ref="Q79:R79"/>
    <mergeCell ref="T79:T80"/>
    <mergeCell ref="AB33:AB42"/>
    <mergeCell ref="E39:E40"/>
    <mergeCell ref="F39:F40"/>
    <mergeCell ref="G39:G40"/>
    <mergeCell ref="I39:J40"/>
    <mergeCell ref="K39:K40"/>
    <mergeCell ref="AJ44:AK44"/>
    <mergeCell ref="AA51:AA53"/>
    <mergeCell ref="U52:U53"/>
    <mergeCell ref="W52:W53"/>
    <mergeCell ref="X65:X66"/>
    <mergeCell ref="Y65:Y66"/>
    <mergeCell ref="Z65:Z66"/>
    <mergeCell ref="AJ40:AL40"/>
    <mergeCell ref="Q81:R81"/>
    <mergeCell ref="Q82:R82"/>
    <mergeCell ref="P67:Q67"/>
    <mergeCell ref="P68:Q68"/>
    <mergeCell ref="P69:Q69"/>
    <mergeCell ref="P70:Q70"/>
    <mergeCell ref="AJ42:AL42"/>
    <mergeCell ref="AJ43:AK43"/>
    <mergeCell ref="AJ41:AL41"/>
    <mergeCell ref="AS8:AU8"/>
    <mergeCell ref="AI24:AI25"/>
    <mergeCell ref="AJ24:AL24"/>
    <mergeCell ref="AM24:AO24"/>
    <mergeCell ref="AP24:AR24"/>
    <mergeCell ref="AS24:AU24"/>
    <mergeCell ref="AI8:AI9"/>
    <mergeCell ref="AJ8:AL8"/>
    <mergeCell ref="AM8:AO8"/>
    <mergeCell ref="AP8:AR8"/>
  </mergeCells>
  <conditionalFormatting sqref="X69:Z69 Y54 Y56:Y63">
    <cfRule type="expression" priority="53" dxfId="36" stopIfTrue="1">
      <formula>$AA$69&lt;&gt;""</formula>
    </cfRule>
  </conditionalFormatting>
  <conditionalFormatting sqref="X67:Z70 Y54:Y63">
    <cfRule type="expression" priority="71" dxfId="36" stopIfTrue="1">
      <formula>$AA$70&lt;&gt;""</formula>
    </cfRule>
  </conditionalFormatting>
  <conditionalFormatting sqref="J23:M23">
    <cfRule type="expression" priority="35" dxfId="0" stopIfTrue="1">
      <formula>$O$37="×"</formula>
    </cfRule>
  </conditionalFormatting>
  <conditionalFormatting sqref="J25:M25">
    <cfRule type="expression" priority="36" dxfId="0" stopIfTrue="1">
      <formula>$O$39="×"</formula>
    </cfRule>
  </conditionalFormatting>
  <conditionalFormatting sqref="J26:M26">
    <cfRule type="expression" priority="50" dxfId="0" stopIfTrue="1">
      <formula>$O$40="×"</formula>
    </cfRule>
  </conditionalFormatting>
  <conditionalFormatting sqref="J27:M27">
    <cfRule type="expression" priority="51" dxfId="0" stopIfTrue="1">
      <formula>$O$41="×"</formula>
    </cfRule>
  </conditionalFormatting>
  <conditionalFormatting sqref="J28:M28">
    <cfRule type="expression" priority="52" dxfId="0" stopIfTrue="1">
      <formula>$O$42="×"</formula>
    </cfRule>
  </conditionalFormatting>
  <conditionalFormatting sqref="O33:O42 Y25:Y26 Y9:Y14 Y20:Y21 AB33 T33:Z42">
    <cfRule type="cellIs" priority="72" dxfId="0" operator="equal" stopIfTrue="1">
      <formula>"×"</formula>
    </cfRule>
  </conditionalFormatting>
  <conditionalFormatting sqref="M29">
    <cfRule type="expression" priority="32" dxfId="0" stopIfTrue="1">
      <formula>$Y$15="×"</formula>
    </cfRule>
  </conditionalFormatting>
  <conditionalFormatting sqref="I29 M29">
    <cfRule type="expression" priority="13" dxfId="0" stopIfTrue="1">
      <formula>$Y$9="×"</formula>
    </cfRule>
  </conditionalFormatting>
  <conditionalFormatting sqref="H29 L29">
    <cfRule type="expression" priority="25" dxfId="0" stopIfTrue="1">
      <formula>$Y$11="×"</formula>
    </cfRule>
  </conditionalFormatting>
  <conditionalFormatting sqref="Q43:R43">
    <cfRule type="expression" priority="28" dxfId="0" stopIfTrue="1">
      <formula>$Y$13="×"</formula>
    </cfRule>
  </conditionalFormatting>
  <conditionalFormatting sqref="J21:M21">
    <cfRule type="expression" priority="33" dxfId="0" stopIfTrue="1">
      <formula>$O$35="×"</formula>
    </cfRule>
  </conditionalFormatting>
  <conditionalFormatting sqref="J22:M22">
    <cfRule type="expression" priority="34" dxfId="0" stopIfTrue="1">
      <formula>$O$36="×"</formula>
    </cfRule>
  </conditionalFormatting>
  <conditionalFormatting sqref="O35 S35:Z35">
    <cfRule type="expression" priority="205" dxfId="37" stopIfTrue="1">
      <formula>AND(OR($F$21="",$F$21=0),OR($J$21="",$J$21=0),$O$35="○")</formula>
    </cfRule>
  </conditionalFormatting>
  <conditionalFormatting sqref="O33 S33:Z33">
    <cfRule type="expression" priority="259" dxfId="37" stopIfTrue="1">
      <formula>AND(OR($F$19="",$F$19=0),OR($J$19="",$J$19=0),$O$33="○")</formula>
    </cfRule>
  </conditionalFormatting>
  <conditionalFormatting sqref="O34 S34:Z34">
    <cfRule type="expression" priority="260" dxfId="38" stopIfTrue="1">
      <formula>AND(OR($F$20="",$F$20=0),OR($J$20="",$J$20=0),$O$34="○")</formula>
    </cfRule>
  </conditionalFormatting>
  <conditionalFormatting sqref="P33:R42">
    <cfRule type="expression" priority="5" dxfId="37" stopIfTrue="1">
      <formula>AND(OR($F$19="",$F$19=0),OR($J$19="",$J19=0),$O$33="○")</formula>
    </cfRule>
  </conditionalFormatting>
  <conditionalFormatting sqref="O46 S46:T46 V46:Z46 U45 Z44:Z45">
    <cfRule type="expression" priority="270" dxfId="37" stopIfTrue="1">
      <formula>AND(OR(#REF!="",#REF!=0),OR(#REF!="",#REF!=0),$O$46="○")</formula>
    </cfRule>
  </conditionalFormatting>
  <conditionalFormatting sqref="P45:R46">
    <cfRule type="expression" priority="321" dxfId="37" stopIfTrue="1">
      <formula>AND(OR($F$19="",$F$19=0),OR($J$19="",#REF!=0),$O$33="○")</formula>
    </cfRule>
  </conditionalFormatting>
  <conditionalFormatting sqref="O45 S45:T45 V45:Z45">
    <cfRule type="expression" priority="327" dxfId="37" stopIfTrue="1">
      <formula>AND(OR(#REF!="",#REF!=0),OR(#REF!="",#REF!=0),$O$45="○")</formula>
    </cfRule>
  </conditionalFormatting>
  <conditionalFormatting sqref="O36 S36:Z36">
    <cfRule type="expression" priority="349" dxfId="37" stopIfTrue="1">
      <formula>AND(OR($F$22="",$F$22=0),OR($J$22="",$J$22=0),$O$36="○")</formula>
    </cfRule>
  </conditionalFormatting>
  <conditionalFormatting sqref="O37 S37:Z37">
    <cfRule type="expression" priority="351" dxfId="37" stopIfTrue="1">
      <formula>AND(OR($F$23="",$F$23=0),OR($J$23="",$J$23=0),$O$37="○")</formula>
    </cfRule>
  </conditionalFormatting>
  <conditionalFormatting sqref="O38 S38:Z38">
    <cfRule type="expression" priority="353" dxfId="37" stopIfTrue="1">
      <formula>AND(OR($F$24="",$F$24=0),OR($J$24="",$J$24=0),$O$38="○")</formula>
    </cfRule>
  </conditionalFormatting>
  <conditionalFormatting sqref="O39 S39:Z39">
    <cfRule type="expression" priority="355" dxfId="37" stopIfTrue="1">
      <formula>AND(OR($F$25="",$F$25=0),OR($J$25="",$J$25=0),$O$39="○")</formula>
    </cfRule>
  </conditionalFormatting>
  <conditionalFormatting sqref="O40 S40:Z40">
    <cfRule type="expression" priority="357" dxfId="37" stopIfTrue="1">
      <formula>AND(OR($F$26="",$F$26=0),OR($J$26="",$J$26=0),$O$40="○")</formula>
    </cfRule>
  </conditionalFormatting>
  <conditionalFormatting sqref="O41 S41:Z41">
    <cfRule type="expression" priority="359" dxfId="37" stopIfTrue="1">
      <formula>AND(OR($F$27="",$F$27=0),OR($J$27="",$J$27=0),$O$41="○")</formula>
    </cfRule>
  </conditionalFormatting>
  <conditionalFormatting sqref="O42 S42:Z42">
    <cfRule type="expression" priority="361" dxfId="37" stopIfTrue="1">
      <formula>AND(OR($F$28="",$F$28=0),OR($J$28="",$J$28=0),$O$42="○")</formula>
    </cfRule>
  </conditionalFormatting>
  <conditionalFormatting sqref="J24:M24">
    <cfRule type="expression" priority="408" dxfId="0" stopIfTrue="1">
      <formula>$O$38="×"</formula>
    </cfRule>
  </conditionalFormatting>
  <conditionalFormatting sqref="J20:M20">
    <cfRule type="expression" priority="369" dxfId="0" stopIfTrue="1">
      <formula>$O$34="×"</formula>
    </cfRule>
  </conditionalFormatting>
  <conditionalFormatting sqref="J19:M19">
    <cfRule type="expression" priority="383" dxfId="0" stopIfTrue="1">
      <formula>$O$33="×"</formula>
    </cfRule>
  </conditionalFormatting>
  <conditionalFormatting sqref="F21:I21">
    <cfRule type="expression" priority="461" dxfId="0" stopIfTrue="1">
      <formula>$D$21="×"</formula>
    </cfRule>
  </conditionalFormatting>
  <conditionalFormatting sqref="F23:I23">
    <cfRule type="expression" priority="4" dxfId="0" stopIfTrue="1">
      <formula>$D$23="×"</formula>
    </cfRule>
  </conditionalFormatting>
  <conditionalFormatting sqref="F24:I24">
    <cfRule type="expression" priority="3" dxfId="0" stopIfTrue="1">
      <formula>$D$24="×"</formula>
    </cfRule>
  </conditionalFormatting>
  <conditionalFormatting sqref="F25:I25">
    <cfRule type="expression" priority="2" dxfId="0" stopIfTrue="1">
      <formula>$D$25="×"</formula>
    </cfRule>
  </conditionalFormatting>
  <conditionalFormatting sqref="F28:I28">
    <cfRule type="expression" priority="1" dxfId="0" stopIfTrue="1">
      <formula>$D$28="×"</formula>
    </cfRule>
  </conditionalFormatting>
  <dataValidations count="3">
    <dataValidation allowBlank="1" showInputMessage="1" showErrorMessage="1" imeMode="halfAlpha" sqref="L42 H29 G43"/>
    <dataValidation allowBlank="1" showInputMessage="1" showErrorMessage="1" imeMode="hiragana" sqref="I47 I49 C47:D47"/>
    <dataValidation type="whole" operator="greaterThanOrEqual" allowBlank="1" showInputMessage="1" showErrorMessage="1" errorTitle="0以上の数字を入力して下さい。" imeMode="halfAlpha" sqref="F19:M28">
      <formula1>0</formula1>
    </dataValidation>
  </dataValidations>
  <printOptions/>
  <pageMargins left="0.708661417322835" right="0.708661417322835" top="0.748031496062992" bottom="0.748031496062992" header="0.31496062992126" footer="0.31496062992126"/>
  <pageSetup fitToHeight="1" fitToWidth="1" horizontalDpi="600" verticalDpi="600" orientation="landscape" paperSize="9" scale="49" r:id="rId4"/>
  <colBreaks count="1" manualBreakCount="1">
    <brk id="13" max="65535" man="1"/>
  </colBreaks>
  <drawing r:id="rId3"/>
  <legacyDrawing r:id="rId2"/>
</worksheet>
</file>

<file path=xl/worksheets/sheet5.xml><?xml version="1.0" encoding="utf-8"?>
<worksheet xmlns="http://schemas.openxmlformats.org/spreadsheetml/2006/main" xmlns:r="http://schemas.openxmlformats.org/officeDocument/2006/relationships">
  <sheetPr codeName="Sheet30">
    <tabColor theme="4" tint="0.39998000860214233"/>
  </sheetPr>
  <dimension ref="A1:I102"/>
  <sheetViews>
    <sheetView zoomScalePageLayoutView="0" workbookViewId="0" topLeftCell="A1">
      <selection activeCell="A1" sqref="A1"/>
    </sheetView>
  </sheetViews>
  <sheetFormatPr defaultColWidth="33.57421875" defaultRowHeight="30.75" customHeight="1"/>
  <cols>
    <col min="1" max="1" width="8.28125" style="58" customWidth="1"/>
    <col min="2" max="2" width="33.57421875" style="55" customWidth="1"/>
    <col min="3" max="3" width="33.57421875" style="55" hidden="1" customWidth="1"/>
    <col min="4" max="4" width="15.28125" style="54" hidden="1" customWidth="1"/>
    <col min="5" max="5" width="33.57421875" style="55" hidden="1" customWidth="1"/>
    <col min="6" max="6" width="33.57421875" style="53" hidden="1" customWidth="1"/>
    <col min="7" max="7" width="33.57421875" style="58" hidden="1" customWidth="1"/>
    <col min="8" max="9" width="0" style="53" hidden="1" customWidth="1"/>
    <col min="10" max="16384" width="33.57421875" style="53" customWidth="1"/>
  </cols>
  <sheetData>
    <row r="1" spans="1:9" ht="30.75" customHeight="1">
      <c r="A1" s="50" t="s">
        <v>55</v>
      </c>
      <c r="B1" s="51" t="s">
        <v>56</v>
      </c>
      <c r="C1" s="51" t="str">
        <f>CONCATENATE(A1,B1)</f>
        <v>中分類　コード内容</v>
      </c>
      <c r="D1" s="50" t="s">
        <v>57</v>
      </c>
      <c r="E1" s="51" t="s">
        <v>56</v>
      </c>
      <c r="F1" s="51" t="str">
        <f>CONCATENATE(D1,E1)</f>
        <v>全中分類コード内容</v>
      </c>
      <c r="G1" s="52" t="s">
        <v>58</v>
      </c>
      <c r="H1" s="50" t="str">
        <f>CONCATENATE(D1,I1)</f>
        <v>全中分類コード小分類</v>
      </c>
      <c r="I1" s="52" t="s">
        <v>59</v>
      </c>
    </row>
    <row r="2" spans="1:9" ht="30.75" customHeight="1">
      <c r="A2" s="54" t="s">
        <v>60</v>
      </c>
      <c r="B2" s="55" t="s">
        <v>61</v>
      </c>
      <c r="C2" s="56" t="str">
        <f>CONCATENATE(A2,B2)</f>
        <v>01　農業</v>
      </c>
      <c r="D2" s="57" t="s">
        <v>62</v>
      </c>
      <c r="E2" s="55" t="s">
        <v>61</v>
      </c>
      <c r="F2" s="55" t="str">
        <f>CONCATENATE(D2,E2)</f>
        <v>010000　農業</v>
      </c>
      <c r="G2" s="58" t="s">
        <v>63</v>
      </c>
      <c r="H2" s="55" t="str">
        <f>CONCATENATE(D2,I2)</f>
        <v>010000管理，補助的経済活動を行う事業所（01農業） </v>
      </c>
      <c r="I2" s="53" t="s">
        <v>64</v>
      </c>
    </row>
    <row r="3" spans="1:9" ht="30.75" customHeight="1">
      <c r="A3" s="58" t="s">
        <v>65</v>
      </c>
      <c r="B3" s="55" t="s">
        <v>66</v>
      </c>
      <c r="C3" s="56" t="str">
        <f aca="true" t="shared" si="0" ref="C3:C66">CONCATENATE(A3,B3)</f>
        <v>02　林業</v>
      </c>
      <c r="D3" s="57" t="s">
        <v>67</v>
      </c>
      <c r="E3" s="55" t="s">
        <v>66</v>
      </c>
      <c r="F3" s="55" t="str">
        <f aca="true" t="shared" si="1" ref="F3:F66">CONCATENATE(D3,E3)</f>
        <v>020000　林業</v>
      </c>
      <c r="G3" s="58" t="s">
        <v>68</v>
      </c>
      <c r="H3" s="55" t="str">
        <f aca="true" t="shared" si="2" ref="H3:H66">CONCATENATE(D3,I3)</f>
        <v>020000管理，補助的経済活動を行う事業所（02林業） </v>
      </c>
      <c r="I3" s="53" t="s">
        <v>69</v>
      </c>
    </row>
    <row r="4" spans="1:9" ht="30.75" customHeight="1">
      <c r="A4" s="58" t="s">
        <v>70</v>
      </c>
      <c r="B4" s="55" t="s">
        <v>71</v>
      </c>
      <c r="C4" s="56" t="str">
        <f t="shared" si="0"/>
        <v>03　漁業（水産養殖業を除く）</v>
      </c>
      <c r="D4" s="57" t="s">
        <v>72</v>
      </c>
      <c r="E4" s="55" t="s">
        <v>71</v>
      </c>
      <c r="F4" s="55" t="str">
        <f t="shared" si="1"/>
        <v>030000　漁業（水産養殖業を除く）</v>
      </c>
      <c r="G4" s="58" t="s">
        <v>73</v>
      </c>
      <c r="H4" s="55" t="str">
        <f t="shared" si="2"/>
        <v>030000管理，補助的経済活動を行う事業所（03漁業） </v>
      </c>
      <c r="I4" s="53" t="s">
        <v>74</v>
      </c>
    </row>
    <row r="5" spans="1:9" ht="30.75" customHeight="1">
      <c r="A5" s="58" t="s">
        <v>75</v>
      </c>
      <c r="B5" s="55" t="s">
        <v>76</v>
      </c>
      <c r="C5" s="56" t="str">
        <f t="shared" si="0"/>
        <v>04　水産養殖業</v>
      </c>
      <c r="D5" s="57" t="s">
        <v>72</v>
      </c>
      <c r="E5" s="55" t="s">
        <v>76</v>
      </c>
      <c r="F5" s="55" t="str">
        <f t="shared" si="1"/>
        <v>030000　水産養殖業</v>
      </c>
      <c r="G5" s="58" t="s">
        <v>77</v>
      </c>
      <c r="H5" s="55" t="str">
        <f t="shared" si="2"/>
        <v>030000管理，補助的経済活動を行う事業所（04水産養殖業） </v>
      </c>
      <c r="I5" s="53" t="s">
        <v>78</v>
      </c>
    </row>
    <row r="6" spans="1:9" ht="30.75" customHeight="1">
      <c r="A6" s="58" t="s">
        <v>79</v>
      </c>
      <c r="B6" s="55" t="s">
        <v>80</v>
      </c>
      <c r="C6" s="56" t="str">
        <f t="shared" si="0"/>
        <v>05　鉱業，採石業，砂利採取業</v>
      </c>
      <c r="D6" s="57" t="s">
        <v>81</v>
      </c>
      <c r="E6" s="55" t="s">
        <v>82</v>
      </c>
      <c r="F6" s="55" t="str">
        <f t="shared" si="1"/>
        <v>040000　鉱業</v>
      </c>
      <c r="G6" s="58" t="s">
        <v>83</v>
      </c>
      <c r="H6" s="55" t="str">
        <f t="shared" si="2"/>
        <v>040000管理，補助的経済活動を行う事業所（05鉱業，採石業，砂利採取業） </v>
      </c>
      <c r="I6" s="53" t="s">
        <v>84</v>
      </c>
    </row>
    <row r="7" spans="1:9" ht="30.75" customHeight="1">
      <c r="A7" s="58" t="s">
        <v>85</v>
      </c>
      <c r="B7" s="55" t="s">
        <v>86</v>
      </c>
      <c r="C7" s="56" t="str">
        <f t="shared" si="0"/>
        <v>06　総合工事業</v>
      </c>
      <c r="D7" s="57" t="s">
        <v>87</v>
      </c>
      <c r="E7" s="55" t="s">
        <v>86</v>
      </c>
      <c r="F7" s="55" t="str">
        <f t="shared" si="1"/>
        <v>050100　総合工事業</v>
      </c>
      <c r="G7" s="58" t="s">
        <v>88</v>
      </c>
      <c r="H7" s="55" t="str">
        <f t="shared" si="2"/>
        <v>050100管理，補助的経済活動を行う事業所（06総合工事業） </v>
      </c>
      <c r="I7" s="53" t="s">
        <v>89</v>
      </c>
    </row>
    <row r="8" spans="1:9" ht="30.75" customHeight="1">
      <c r="A8" s="58" t="s">
        <v>90</v>
      </c>
      <c r="B8" s="55" t="s">
        <v>91</v>
      </c>
      <c r="C8" s="56" t="str">
        <f t="shared" si="0"/>
        <v>07　職別工事業(設備工事業を除く)</v>
      </c>
      <c r="D8" s="57" t="s">
        <v>92</v>
      </c>
      <c r="E8" s="55" t="s">
        <v>91</v>
      </c>
      <c r="F8" s="55" t="str">
        <f t="shared" si="1"/>
        <v>050300　職別工事業(設備工事業を除く)</v>
      </c>
      <c r="G8" s="58" t="s">
        <v>93</v>
      </c>
      <c r="H8" s="55" t="str">
        <f t="shared" si="2"/>
        <v>050300管理，補助的経済活動を行う事業所（07職別工事業） </v>
      </c>
      <c r="I8" s="53" t="s">
        <v>94</v>
      </c>
    </row>
    <row r="9" spans="1:9" ht="30.75" customHeight="1">
      <c r="A9" s="58" t="s">
        <v>95</v>
      </c>
      <c r="B9" s="55" t="s">
        <v>96</v>
      </c>
      <c r="C9" s="56" t="str">
        <f t="shared" si="0"/>
        <v>08　設備工事業</v>
      </c>
      <c r="D9" s="57" t="s">
        <v>97</v>
      </c>
      <c r="E9" s="55" t="s">
        <v>96</v>
      </c>
      <c r="F9" s="55" t="str">
        <f t="shared" si="1"/>
        <v>050500　設備工事業</v>
      </c>
      <c r="G9" s="58" t="s">
        <v>98</v>
      </c>
      <c r="H9" s="55" t="str">
        <f t="shared" si="2"/>
        <v>050500管理，補助的経済活動を行う事業所（08設備工事業） </v>
      </c>
      <c r="I9" s="53" t="s">
        <v>99</v>
      </c>
    </row>
    <row r="10" spans="1:9" ht="30.75" customHeight="1">
      <c r="A10" s="58" t="s">
        <v>100</v>
      </c>
      <c r="B10" s="55" t="s">
        <v>101</v>
      </c>
      <c r="C10" s="56" t="str">
        <f t="shared" si="0"/>
        <v>09　食料品製造業</v>
      </c>
      <c r="D10" s="57" t="s">
        <v>102</v>
      </c>
      <c r="E10" s="55" t="s">
        <v>101</v>
      </c>
      <c r="F10" s="55" t="str">
        <f t="shared" si="1"/>
        <v>060100　食料品製造業</v>
      </c>
      <c r="G10" s="58" t="s">
        <v>103</v>
      </c>
      <c r="H10" s="55" t="str">
        <f t="shared" si="2"/>
        <v>060100管理，補助的経済活動を行う事業所（09食料品製造業） </v>
      </c>
      <c r="I10" s="53" t="s">
        <v>104</v>
      </c>
    </row>
    <row r="11" spans="1:9" ht="30.75" customHeight="1">
      <c r="A11" s="58" t="s">
        <v>105</v>
      </c>
      <c r="B11" s="55" t="s">
        <v>106</v>
      </c>
      <c r="C11" s="56" t="str">
        <f t="shared" si="0"/>
        <v>10　飲料・たばこ・飼料製造業</v>
      </c>
      <c r="D11" s="57" t="s">
        <v>107</v>
      </c>
      <c r="E11" s="55" t="s">
        <v>106</v>
      </c>
      <c r="F11" s="55" t="str">
        <f t="shared" si="1"/>
        <v>060300　飲料・たばこ・飼料製造業</v>
      </c>
      <c r="G11" s="58" t="s">
        <v>108</v>
      </c>
      <c r="H11" s="55" t="str">
        <f t="shared" si="2"/>
        <v>060300管理，補助的経済活動を行う事業所（10飲料・たばこ・飼料製造業） </v>
      </c>
      <c r="I11" s="53" t="s">
        <v>109</v>
      </c>
    </row>
    <row r="12" spans="1:9" ht="30.75" customHeight="1">
      <c r="A12" s="58" t="s">
        <v>110</v>
      </c>
      <c r="B12" s="55" t="s">
        <v>111</v>
      </c>
      <c r="C12" s="56" t="str">
        <f t="shared" si="0"/>
        <v>11　繊維工業</v>
      </c>
      <c r="D12" s="57" t="s">
        <v>112</v>
      </c>
      <c r="E12" s="55" t="s">
        <v>113</v>
      </c>
      <c r="F12" s="55" t="str">
        <f t="shared" si="1"/>
        <v>060500繊維工業（衣服、その他の繊維製品を除く）</v>
      </c>
      <c r="G12" s="58" t="s">
        <v>114</v>
      </c>
      <c r="H12" s="55" t="str">
        <f t="shared" si="2"/>
        <v>060500管理，補助的経済活動を行う事業所（11繊維工業） </v>
      </c>
      <c r="I12" s="53" t="s">
        <v>115</v>
      </c>
    </row>
    <row r="13" spans="1:9" ht="30.75" customHeight="1">
      <c r="A13" s="58" t="s">
        <v>116</v>
      </c>
      <c r="B13" s="55" t="s">
        <v>117</v>
      </c>
      <c r="C13" s="56" t="str">
        <f t="shared" si="0"/>
        <v>12　木材・木製品製造業（家具を除く）</v>
      </c>
      <c r="D13" s="57" t="s">
        <v>118</v>
      </c>
      <c r="E13" s="55" t="s">
        <v>117</v>
      </c>
      <c r="F13" s="55" t="str">
        <f t="shared" si="1"/>
        <v>060900　木材・木製品製造業（家具を除く）</v>
      </c>
      <c r="G13" s="58" t="s">
        <v>119</v>
      </c>
      <c r="H13" s="55" t="str">
        <f t="shared" si="2"/>
        <v>060900管理，補助的経済活動を行う事業所（12木材・木製品製造業） </v>
      </c>
      <c r="I13" s="53" t="s">
        <v>120</v>
      </c>
    </row>
    <row r="14" spans="1:9" ht="30.75" customHeight="1">
      <c r="A14" s="58" t="s">
        <v>121</v>
      </c>
      <c r="B14" s="55" t="s">
        <v>122</v>
      </c>
      <c r="C14" s="56" t="str">
        <f t="shared" si="0"/>
        <v>13　家具・装備品製造業</v>
      </c>
      <c r="D14" s="57" t="s">
        <v>123</v>
      </c>
      <c r="E14" s="55" t="s">
        <v>122</v>
      </c>
      <c r="F14" s="55" t="str">
        <f t="shared" si="1"/>
        <v>061100　家具・装備品製造業</v>
      </c>
      <c r="G14" s="58" t="s">
        <v>124</v>
      </c>
      <c r="H14" s="55" t="str">
        <f t="shared" si="2"/>
        <v>061100管理，補助的経済活動を行う事業所（13家具・装備品製造業） </v>
      </c>
      <c r="I14" s="53" t="s">
        <v>125</v>
      </c>
    </row>
    <row r="15" spans="1:9" ht="30.75" customHeight="1">
      <c r="A15" s="58" t="s">
        <v>126</v>
      </c>
      <c r="B15" s="55" t="s">
        <v>127</v>
      </c>
      <c r="C15" s="56" t="str">
        <f t="shared" si="0"/>
        <v>14　パルプ・紙・紙加工品製造業</v>
      </c>
      <c r="D15" s="57" t="s">
        <v>128</v>
      </c>
      <c r="E15" s="55" t="s">
        <v>127</v>
      </c>
      <c r="F15" s="55" t="str">
        <f t="shared" si="1"/>
        <v>061300　パルプ・紙・紙加工品製造業</v>
      </c>
      <c r="G15" s="58" t="s">
        <v>129</v>
      </c>
      <c r="H15" s="55" t="str">
        <f t="shared" si="2"/>
        <v>061300管理，補助的経済活動を行う事業所（14パルプ・紙・紙加工品製造業） </v>
      </c>
      <c r="I15" s="53" t="s">
        <v>130</v>
      </c>
    </row>
    <row r="16" spans="1:9" ht="30.75" customHeight="1">
      <c r="A16" s="58" t="s">
        <v>131</v>
      </c>
      <c r="B16" s="55" t="s">
        <v>132</v>
      </c>
      <c r="C16" s="56" t="str">
        <f t="shared" si="0"/>
        <v>15　印刷・同関連業</v>
      </c>
      <c r="D16" s="57" t="s">
        <v>133</v>
      </c>
      <c r="E16" s="55" t="s">
        <v>132</v>
      </c>
      <c r="F16" s="55" t="str">
        <f t="shared" si="1"/>
        <v>061500　印刷・同関連業</v>
      </c>
      <c r="G16" s="58" t="s">
        <v>134</v>
      </c>
      <c r="H16" s="55" t="str">
        <f t="shared" si="2"/>
        <v>061500管理，補助的経済活動を行う事業所（15印刷・同関連業） </v>
      </c>
      <c r="I16" s="53" t="s">
        <v>135</v>
      </c>
    </row>
    <row r="17" spans="1:9" ht="30.75" customHeight="1">
      <c r="A17" s="58" t="s">
        <v>136</v>
      </c>
      <c r="B17" s="55" t="s">
        <v>137</v>
      </c>
      <c r="C17" s="56" t="str">
        <f t="shared" si="0"/>
        <v>16　化学工業</v>
      </c>
      <c r="D17" s="57" t="s">
        <v>138</v>
      </c>
      <c r="E17" s="55" t="s">
        <v>137</v>
      </c>
      <c r="F17" s="55" t="str">
        <f t="shared" si="1"/>
        <v>061700　化学工業</v>
      </c>
      <c r="G17" s="58" t="s">
        <v>139</v>
      </c>
      <c r="H17" s="55" t="str">
        <f t="shared" si="2"/>
        <v>061700管理，補助的経済活動を行う事業所（16化学工業） </v>
      </c>
      <c r="I17" s="53" t="s">
        <v>140</v>
      </c>
    </row>
    <row r="18" spans="1:9" ht="30.75" customHeight="1">
      <c r="A18" s="58" t="s">
        <v>141</v>
      </c>
      <c r="B18" s="55" t="s">
        <v>142</v>
      </c>
      <c r="C18" s="56" t="str">
        <f t="shared" si="0"/>
        <v>17　石油製品・石炭製品製造業</v>
      </c>
      <c r="D18" s="57" t="s">
        <v>143</v>
      </c>
      <c r="E18" s="55" t="s">
        <v>142</v>
      </c>
      <c r="F18" s="55" t="str">
        <f t="shared" si="1"/>
        <v>061900　石油製品・石炭製品製造業</v>
      </c>
      <c r="G18" s="58" t="s">
        <v>144</v>
      </c>
      <c r="H18" s="55" t="str">
        <f t="shared" si="2"/>
        <v>061900管理，補助的経済活動を行う事業所（17石油製品・石炭製品製造業） </v>
      </c>
      <c r="I18" s="53" t="s">
        <v>145</v>
      </c>
    </row>
    <row r="19" spans="1:9" ht="30.75" customHeight="1">
      <c r="A19" s="58" t="s">
        <v>146</v>
      </c>
      <c r="B19" s="55" t="s">
        <v>147</v>
      </c>
      <c r="C19" s="56" t="str">
        <f t="shared" si="0"/>
        <v>18　プラスチック製品製造業（別掲を除く）</v>
      </c>
      <c r="D19" s="57" t="s">
        <v>148</v>
      </c>
      <c r="E19" s="55" t="s">
        <v>147</v>
      </c>
      <c r="F19" s="55" t="str">
        <f t="shared" si="1"/>
        <v>062100　プラスチック製品製造業（別掲を除く）</v>
      </c>
      <c r="G19" s="58" t="s">
        <v>149</v>
      </c>
      <c r="H19" s="55" t="str">
        <f t="shared" si="2"/>
        <v>062100管理，補助的経済活動を行う事業所（18プラスチック製品製造業） </v>
      </c>
      <c r="I19" s="53" t="s">
        <v>150</v>
      </c>
    </row>
    <row r="20" spans="1:9" ht="30.75" customHeight="1">
      <c r="A20" s="58" t="s">
        <v>151</v>
      </c>
      <c r="B20" s="55" t="s">
        <v>152</v>
      </c>
      <c r="C20" s="56" t="str">
        <f t="shared" si="0"/>
        <v>19　ゴム製品製造業</v>
      </c>
      <c r="D20" s="57" t="s">
        <v>153</v>
      </c>
      <c r="E20" s="55" t="s">
        <v>152</v>
      </c>
      <c r="F20" s="55" t="str">
        <f t="shared" si="1"/>
        <v>062300　ゴム製品製造業</v>
      </c>
      <c r="G20" s="58" t="s">
        <v>154</v>
      </c>
      <c r="H20" s="55" t="str">
        <f t="shared" si="2"/>
        <v>062300管理，補助的経済活動を行う事業所（19ゴム製品製造業） </v>
      </c>
      <c r="I20" s="53" t="s">
        <v>155</v>
      </c>
    </row>
    <row r="21" spans="1:9" ht="30.75" customHeight="1">
      <c r="A21" s="58" t="s">
        <v>156</v>
      </c>
      <c r="B21" s="55" t="s">
        <v>157</v>
      </c>
      <c r="C21" s="56" t="str">
        <f t="shared" si="0"/>
        <v>20　なめし革・同製品・毛皮製造業</v>
      </c>
      <c r="D21" s="57" t="s">
        <v>158</v>
      </c>
      <c r="E21" s="55" t="s">
        <v>157</v>
      </c>
      <c r="F21" s="55" t="str">
        <f t="shared" si="1"/>
        <v>062500　なめし革・同製品・毛皮製造業</v>
      </c>
      <c r="G21" s="58" t="s">
        <v>159</v>
      </c>
      <c r="H21" s="55" t="str">
        <f t="shared" si="2"/>
        <v>062500管理，補助的経済活動を行う事業所（20なめし革・同製品・毛皮製造業） </v>
      </c>
      <c r="I21" s="53" t="s">
        <v>160</v>
      </c>
    </row>
    <row r="22" spans="1:9" ht="30.75" customHeight="1">
      <c r="A22" s="58" t="s">
        <v>161</v>
      </c>
      <c r="B22" s="55" t="s">
        <v>162</v>
      </c>
      <c r="C22" s="56" t="str">
        <f t="shared" si="0"/>
        <v>21　窯業・土石製品製造業</v>
      </c>
      <c r="D22" s="57" t="s">
        <v>163</v>
      </c>
      <c r="E22" s="55" t="s">
        <v>162</v>
      </c>
      <c r="F22" s="55" t="str">
        <f t="shared" si="1"/>
        <v>062700　窯業・土石製品製造業</v>
      </c>
      <c r="G22" s="58" t="s">
        <v>164</v>
      </c>
      <c r="H22" s="55" t="str">
        <f t="shared" si="2"/>
        <v>062700管理，補助的経済活動を行う事業所（21窯業・土石製品製造業） </v>
      </c>
      <c r="I22" s="53" t="s">
        <v>165</v>
      </c>
    </row>
    <row r="23" spans="1:9" ht="30.75" customHeight="1">
      <c r="A23" s="58" t="s">
        <v>166</v>
      </c>
      <c r="B23" s="55" t="s">
        <v>167</v>
      </c>
      <c r="C23" s="56" t="str">
        <f t="shared" si="0"/>
        <v>22　鉄鋼業</v>
      </c>
      <c r="D23" s="57" t="s">
        <v>168</v>
      </c>
      <c r="E23" s="55" t="s">
        <v>167</v>
      </c>
      <c r="F23" s="55" t="str">
        <f t="shared" si="1"/>
        <v>062900　鉄鋼業</v>
      </c>
      <c r="G23" s="58" t="s">
        <v>169</v>
      </c>
      <c r="H23" s="55" t="str">
        <f t="shared" si="2"/>
        <v>062900管理，補助的経済活動を行う事業所（22鉄鋼業） </v>
      </c>
      <c r="I23" s="53" t="s">
        <v>170</v>
      </c>
    </row>
    <row r="24" spans="1:9" ht="30.75" customHeight="1">
      <c r="A24" s="58" t="s">
        <v>171</v>
      </c>
      <c r="B24" s="55" t="s">
        <v>172</v>
      </c>
      <c r="C24" s="56" t="str">
        <f t="shared" si="0"/>
        <v>23　非鉄金属製造業</v>
      </c>
      <c r="D24" s="57" t="s">
        <v>173</v>
      </c>
      <c r="E24" s="55" t="s">
        <v>172</v>
      </c>
      <c r="F24" s="55" t="str">
        <f t="shared" si="1"/>
        <v>063100　非鉄金属製造業</v>
      </c>
      <c r="G24" s="58" t="s">
        <v>174</v>
      </c>
      <c r="H24" s="55" t="str">
        <f t="shared" si="2"/>
        <v>063100管理，補助的経済活動を行う事業所（23非鉄金属製造業） </v>
      </c>
      <c r="I24" s="53" t="s">
        <v>175</v>
      </c>
    </row>
    <row r="25" spans="1:9" ht="30.75" customHeight="1">
      <c r="A25" s="58" t="s">
        <v>176</v>
      </c>
      <c r="B25" s="55" t="s">
        <v>177</v>
      </c>
      <c r="C25" s="56" t="str">
        <f t="shared" si="0"/>
        <v>24　金属製品製造業</v>
      </c>
      <c r="D25" s="57" t="s">
        <v>178</v>
      </c>
      <c r="E25" s="55" t="s">
        <v>177</v>
      </c>
      <c r="F25" s="55" t="str">
        <f t="shared" si="1"/>
        <v>063300　金属製品製造業</v>
      </c>
      <c r="G25" s="58" t="s">
        <v>179</v>
      </c>
      <c r="H25" s="55" t="str">
        <f t="shared" si="2"/>
        <v>063300管理，補助的経済活動を行う事業所（24金属製品製造業） </v>
      </c>
      <c r="I25" s="53" t="s">
        <v>180</v>
      </c>
    </row>
    <row r="26" spans="1:9" ht="30.75" customHeight="1">
      <c r="A26" s="58" t="s">
        <v>181</v>
      </c>
      <c r="B26" s="55" t="s">
        <v>182</v>
      </c>
      <c r="C26" s="56" t="str">
        <f t="shared" si="0"/>
        <v>25　はん用機械器具製造業</v>
      </c>
      <c r="D26" s="57" t="s">
        <v>183</v>
      </c>
      <c r="E26" s="55" t="s">
        <v>184</v>
      </c>
      <c r="F26" s="55" t="str">
        <f t="shared" si="1"/>
        <v>063500一般機械器具製造業　 </v>
      </c>
      <c r="G26" s="58" t="s">
        <v>185</v>
      </c>
      <c r="H26" s="55" t="str">
        <f t="shared" si="2"/>
        <v>063500管理，補助的経済活動を行う事業所（25はん用機械器具製造業） </v>
      </c>
      <c r="I26" s="53" t="s">
        <v>186</v>
      </c>
    </row>
    <row r="27" spans="1:9" ht="30.75" customHeight="1">
      <c r="A27" s="58" t="s">
        <v>187</v>
      </c>
      <c r="B27" s="55" t="s">
        <v>188</v>
      </c>
      <c r="C27" s="56" t="str">
        <f t="shared" si="0"/>
        <v>26　生産用機械器具製造業</v>
      </c>
      <c r="D27" s="57" t="s">
        <v>183</v>
      </c>
      <c r="E27" s="55" t="s">
        <v>184</v>
      </c>
      <c r="F27" s="55" t="str">
        <f t="shared" si="1"/>
        <v>063500一般機械器具製造業　 </v>
      </c>
      <c r="G27" s="58" t="s">
        <v>189</v>
      </c>
      <c r="H27" s="55" t="str">
        <f t="shared" si="2"/>
        <v>063500管理，補助的経済活動を行う事業所（26生産用機械器具製造業） </v>
      </c>
      <c r="I27" s="53" t="s">
        <v>190</v>
      </c>
    </row>
    <row r="28" spans="1:9" ht="30.75" customHeight="1">
      <c r="A28" s="58" t="s">
        <v>191</v>
      </c>
      <c r="B28" s="55" t="s">
        <v>192</v>
      </c>
      <c r="C28" s="56" t="str">
        <f t="shared" si="0"/>
        <v>27　業務用機械器具製造業</v>
      </c>
      <c r="D28" s="57" t="s">
        <v>193</v>
      </c>
      <c r="E28" s="55" t="s">
        <v>194</v>
      </c>
      <c r="F28" s="55" t="str">
        <f t="shared" si="1"/>
        <v>064500精密機械器具製造業   　</v>
      </c>
      <c r="G28" s="58" t="s">
        <v>195</v>
      </c>
      <c r="H28" s="55" t="str">
        <f t="shared" si="2"/>
        <v>064500管理，補助的経済活動を行う事業所（27業務用機械器具製造業） </v>
      </c>
      <c r="I28" s="53" t="s">
        <v>196</v>
      </c>
    </row>
    <row r="29" spans="1:9" ht="30.75" customHeight="1">
      <c r="A29" s="58" t="s">
        <v>197</v>
      </c>
      <c r="B29" s="55" t="s">
        <v>198</v>
      </c>
      <c r="C29" s="56" t="str">
        <f t="shared" si="0"/>
        <v>28　電子部品・デバイス製造業</v>
      </c>
      <c r="D29" s="57" t="s">
        <v>199</v>
      </c>
      <c r="E29" s="55" t="s">
        <v>200</v>
      </c>
      <c r="F29" s="55" t="str">
        <f t="shared" si="1"/>
        <v>064100　電子部品・デバイス・電子回路製造業</v>
      </c>
      <c r="G29" s="58" t="s">
        <v>201</v>
      </c>
      <c r="H29" s="55" t="str">
        <f t="shared" si="2"/>
        <v>064100管理，補助的経済活動を行う事業所（28電子部品・デバイス・電子回路製造業） </v>
      </c>
      <c r="I29" s="53" t="s">
        <v>202</v>
      </c>
    </row>
    <row r="30" spans="1:9" ht="30.75" customHeight="1">
      <c r="A30" s="58" t="s">
        <v>203</v>
      </c>
      <c r="B30" s="55" t="s">
        <v>204</v>
      </c>
      <c r="C30" s="56" t="str">
        <f t="shared" si="0"/>
        <v>29　電気機械器具製造業</v>
      </c>
      <c r="D30" s="57" t="s">
        <v>205</v>
      </c>
      <c r="E30" s="55" t="s">
        <v>204</v>
      </c>
      <c r="F30" s="55" t="str">
        <f t="shared" si="1"/>
        <v>063700　電気機械器具製造業</v>
      </c>
      <c r="G30" s="58" t="s">
        <v>206</v>
      </c>
      <c r="H30" s="55" t="str">
        <f t="shared" si="2"/>
        <v>063700管理，補助的経済活動を行う事業所（29電気機械器具製造業） </v>
      </c>
      <c r="I30" s="53" t="s">
        <v>207</v>
      </c>
    </row>
    <row r="31" spans="1:9" ht="30.75" customHeight="1">
      <c r="A31" s="58" t="s">
        <v>208</v>
      </c>
      <c r="B31" s="55" t="s">
        <v>209</v>
      </c>
      <c r="C31" s="56" t="str">
        <f t="shared" si="0"/>
        <v>30　情報通信機械器具製造業</v>
      </c>
      <c r="D31" s="57" t="s">
        <v>210</v>
      </c>
      <c r="E31" s="55" t="s">
        <v>209</v>
      </c>
      <c r="F31" s="55" t="str">
        <f t="shared" si="1"/>
        <v>063900　情報通信機械器具製造業</v>
      </c>
      <c r="G31" s="58" t="s">
        <v>211</v>
      </c>
      <c r="H31" s="55" t="str">
        <f t="shared" si="2"/>
        <v>063900管理，補助的経済活動を行う事業所（30情報通信機械器具製造業） </v>
      </c>
      <c r="I31" s="53" t="s">
        <v>212</v>
      </c>
    </row>
    <row r="32" spans="1:9" ht="30.75" customHeight="1">
      <c r="A32" s="58" t="s">
        <v>213</v>
      </c>
      <c r="B32" s="55" t="s">
        <v>214</v>
      </c>
      <c r="C32" s="56" t="str">
        <f t="shared" si="0"/>
        <v>31　輸送用機械器具製造業</v>
      </c>
      <c r="D32" s="57" t="s">
        <v>215</v>
      </c>
      <c r="E32" s="55" t="s">
        <v>214</v>
      </c>
      <c r="F32" s="55" t="str">
        <f t="shared" si="1"/>
        <v>064300　輸送用機械器具製造業</v>
      </c>
      <c r="G32" s="58" t="s">
        <v>216</v>
      </c>
      <c r="H32" s="55" t="str">
        <f t="shared" si="2"/>
        <v>064300管理，補助的経済活動を行う事業所（31輸送用機械器具製造業） </v>
      </c>
      <c r="I32" s="53" t="s">
        <v>217</v>
      </c>
    </row>
    <row r="33" spans="1:9" ht="30.75" customHeight="1">
      <c r="A33" s="58" t="s">
        <v>218</v>
      </c>
      <c r="B33" s="55" t="s">
        <v>219</v>
      </c>
      <c r="C33" s="56" t="str">
        <f t="shared" si="0"/>
        <v>32　その他の製造業</v>
      </c>
      <c r="D33" s="57" t="s">
        <v>220</v>
      </c>
      <c r="E33" s="55" t="s">
        <v>219</v>
      </c>
      <c r="F33" s="55" t="str">
        <f t="shared" si="1"/>
        <v>064700　その他の製造業</v>
      </c>
      <c r="G33" s="58" t="s">
        <v>221</v>
      </c>
      <c r="H33" s="55" t="str">
        <f t="shared" si="2"/>
        <v>064700管理，補助的経済活動を行う事業所（32その他の製造業） </v>
      </c>
      <c r="I33" s="53" t="s">
        <v>222</v>
      </c>
    </row>
    <row r="34" spans="1:9" ht="30.75" customHeight="1">
      <c r="A34" s="58" t="s">
        <v>218</v>
      </c>
      <c r="B34" s="55" t="s">
        <v>219</v>
      </c>
      <c r="C34" s="56" t="str">
        <f t="shared" si="0"/>
        <v>32　その他の製造業</v>
      </c>
      <c r="D34" s="57" t="s">
        <v>220</v>
      </c>
      <c r="E34" s="55" t="s">
        <v>219</v>
      </c>
      <c r="F34" s="55" t="str">
        <f t="shared" si="1"/>
        <v>064700　その他の製造業</v>
      </c>
      <c r="G34" s="58" t="s">
        <v>223</v>
      </c>
      <c r="H34" s="55" t="str">
        <f t="shared" si="2"/>
        <v>064700漆器製造業 </v>
      </c>
      <c r="I34" s="53" t="s">
        <v>224</v>
      </c>
    </row>
    <row r="35" spans="1:9" ht="30.75" customHeight="1">
      <c r="A35" s="58" t="s">
        <v>225</v>
      </c>
      <c r="B35" s="55" t="s">
        <v>226</v>
      </c>
      <c r="C35" s="56" t="str">
        <f t="shared" si="0"/>
        <v>33　電気業</v>
      </c>
      <c r="D35" s="57" t="s">
        <v>227</v>
      </c>
      <c r="E35" s="55" t="s">
        <v>226</v>
      </c>
      <c r="F35" s="55" t="str">
        <f t="shared" si="1"/>
        <v>070000　電気業</v>
      </c>
      <c r="G35" s="58" t="s">
        <v>228</v>
      </c>
      <c r="H35" s="55" t="str">
        <f t="shared" si="2"/>
        <v>070000管理，補助的経済活動を行う事業所（33電気業） </v>
      </c>
      <c r="I35" s="53" t="s">
        <v>229</v>
      </c>
    </row>
    <row r="36" spans="1:9" ht="30.75" customHeight="1">
      <c r="A36" s="58" t="s">
        <v>230</v>
      </c>
      <c r="B36" s="55" t="s">
        <v>231</v>
      </c>
      <c r="C36" s="56" t="str">
        <f t="shared" si="0"/>
        <v>34　ガス業</v>
      </c>
      <c r="D36" s="57" t="s">
        <v>227</v>
      </c>
      <c r="E36" s="55" t="s">
        <v>231</v>
      </c>
      <c r="F36" s="55" t="str">
        <f t="shared" si="1"/>
        <v>070000　ガス業</v>
      </c>
      <c r="G36" s="58" t="s">
        <v>232</v>
      </c>
      <c r="H36" s="55" t="str">
        <f t="shared" si="2"/>
        <v>070000管理，補助的経済活動を行う事業所（34ガス業） </v>
      </c>
      <c r="I36" s="53" t="s">
        <v>233</v>
      </c>
    </row>
    <row r="37" spans="1:9" ht="30.75" customHeight="1">
      <c r="A37" s="58" t="s">
        <v>234</v>
      </c>
      <c r="B37" s="55" t="s">
        <v>235</v>
      </c>
      <c r="C37" s="56" t="str">
        <f t="shared" si="0"/>
        <v>35　熱供給業</v>
      </c>
      <c r="D37" s="57" t="s">
        <v>227</v>
      </c>
      <c r="E37" s="55" t="s">
        <v>235</v>
      </c>
      <c r="F37" s="55" t="str">
        <f t="shared" si="1"/>
        <v>070000　熱供給業</v>
      </c>
      <c r="G37" s="58" t="s">
        <v>236</v>
      </c>
      <c r="H37" s="55" t="str">
        <f t="shared" si="2"/>
        <v>070000管理，補助的経済活動を行う事業所（35熱供給業） </v>
      </c>
      <c r="I37" s="53" t="s">
        <v>237</v>
      </c>
    </row>
    <row r="38" spans="1:9" ht="30.75" customHeight="1">
      <c r="A38" s="58" t="s">
        <v>238</v>
      </c>
      <c r="B38" s="55" t="s">
        <v>239</v>
      </c>
      <c r="C38" s="56" t="str">
        <f t="shared" si="0"/>
        <v>36　水道業</v>
      </c>
      <c r="D38" s="57" t="s">
        <v>227</v>
      </c>
      <c r="E38" s="55" t="s">
        <v>239</v>
      </c>
      <c r="F38" s="55" t="str">
        <f t="shared" si="1"/>
        <v>070000　水道業</v>
      </c>
      <c r="G38" s="58" t="s">
        <v>240</v>
      </c>
      <c r="H38" s="55" t="str">
        <f t="shared" si="2"/>
        <v>070000管理，補助的経済活動を行う事業所（36水道業） </v>
      </c>
      <c r="I38" s="53" t="s">
        <v>241</v>
      </c>
    </row>
    <row r="39" spans="1:9" ht="30.75" customHeight="1">
      <c r="A39" s="58" t="s">
        <v>242</v>
      </c>
      <c r="B39" s="55" t="s">
        <v>243</v>
      </c>
      <c r="C39" s="56" t="str">
        <f t="shared" si="0"/>
        <v>37　通信業</v>
      </c>
      <c r="D39" s="57" t="s">
        <v>244</v>
      </c>
      <c r="E39" s="55" t="s">
        <v>243</v>
      </c>
      <c r="F39" s="55" t="str">
        <f t="shared" si="1"/>
        <v>080100　通信業</v>
      </c>
      <c r="G39" s="58" t="s">
        <v>245</v>
      </c>
      <c r="H39" s="55" t="str">
        <f t="shared" si="2"/>
        <v>080100管理，補助的経済活動を行う事業所（37通信業） </v>
      </c>
      <c r="I39" s="53" t="s">
        <v>246</v>
      </c>
    </row>
    <row r="40" spans="1:9" ht="30.75" customHeight="1">
      <c r="A40" s="58" t="s">
        <v>247</v>
      </c>
      <c r="B40" s="55" t="s">
        <v>248</v>
      </c>
      <c r="C40" s="56" t="str">
        <f t="shared" si="0"/>
        <v>38　放送業</v>
      </c>
      <c r="D40" s="57" t="s">
        <v>249</v>
      </c>
      <c r="E40" s="55" t="s">
        <v>248</v>
      </c>
      <c r="F40" s="55" t="str">
        <f t="shared" si="1"/>
        <v>080300　放送業</v>
      </c>
      <c r="G40" s="58" t="s">
        <v>250</v>
      </c>
      <c r="H40" s="55" t="str">
        <f t="shared" si="2"/>
        <v>080300管理，補助的経済活動を行う事業所（38放送業） </v>
      </c>
      <c r="I40" s="53" t="s">
        <v>251</v>
      </c>
    </row>
    <row r="41" spans="1:9" ht="30.75" customHeight="1">
      <c r="A41" s="58" t="s">
        <v>252</v>
      </c>
      <c r="B41" s="55" t="s">
        <v>253</v>
      </c>
      <c r="C41" s="56" t="str">
        <f t="shared" si="0"/>
        <v>39　情報サービス業</v>
      </c>
      <c r="D41" s="57" t="s">
        <v>254</v>
      </c>
      <c r="E41" s="55" t="s">
        <v>253</v>
      </c>
      <c r="F41" s="55" t="str">
        <f t="shared" si="1"/>
        <v>080500　情報サービス業</v>
      </c>
      <c r="G41" s="58" t="s">
        <v>255</v>
      </c>
      <c r="H41" s="55" t="str">
        <f t="shared" si="2"/>
        <v>080500管理，補助的経済活動を行う事業所（39情報サービス業） </v>
      </c>
      <c r="I41" s="53" t="s">
        <v>256</v>
      </c>
    </row>
    <row r="42" spans="1:9" ht="30.75" customHeight="1">
      <c r="A42" s="58" t="s">
        <v>257</v>
      </c>
      <c r="B42" s="55" t="s">
        <v>258</v>
      </c>
      <c r="C42" s="56" t="str">
        <f t="shared" si="0"/>
        <v>40　インターネット附随サービス業</v>
      </c>
      <c r="D42" s="57" t="s">
        <v>259</v>
      </c>
      <c r="E42" s="55" t="s">
        <v>258</v>
      </c>
      <c r="F42" s="55" t="str">
        <f t="shared" si="1"/>
        <v>080700　インターネット附随サービス業</v>
      </c>
      <c r="G42" s="58" t="s">
        <v>260</v>
      </c>
      <c r="H42" s="55" t="str">
        <f t="shared" si="2"/>
        <v>080700管理，補助的経済活動を行う事業所（40インターネット附随サービス業） </v>
      </c>
      <c r="I42" s="53" t="s">
        <v>261</v>
      </c>
    </row>
    <row r="43" spans="1:9" ht="30.75" customHeight="1">
      <c r="A43" s="58" t="s">
        <v>262</v>
      </c>
      <c r="B43" s="55" t="s">
        <v>263</v>
      </c>
      <c r="C43" s="56" t="str">
        <f t="shared" si="0"/>
        <v>41　映像・音声・文字情報制作業</v>
      </c>
      <c r="D43" s="57" t="s">
        <v>264</v>
      </c>
      <c r="E43" s="55" t="s">
        <v>263</v>
      </c>
      <c r="F43" s="55" t="str">
        <f t="shared" si="1"/>
        <v>080900　映像・音声・文字情報制作業</v>
      </c>
      <c r="G43" s="58" t="s">
        <v>265</v>
      </c>
      <c r="H43" s="55" t="str">
        <f t="shared" si="2"/>
        <v>080900管理，補助的経済活動を行う事業所（41映像・音声・文字情報制作業） </v>
      </c>
      <c r="I43" s="53" t="s">
        <v>266</v>
      </c>
    </row>
    <row r="44" spans="1:9" ht="30.75" customHeight="1">
      <c r="A44" s="58" t="s">
        <v>267</v>
      </c>
      <c r="B44" s="55" t="s">
        <v>268</v>
      </c>
      <c r="C44" s="56" t="str">
        <f t="shared" si="0"/>
        <v>42　鉄道業</v>
      </c>
      <c r="D44" s="57" t="s">
        <v>269</v>
      </c>
      <c r="E44" s="55" t="s">
        <v>268</v>
      </c>
      <c r="F44" s="55" t="str">
        <f t="shared" si="1"/>
        <v>090000　鉄道業</v>
      </c>
      <c r="G44" s="58" t="s">
        <v>270</v>
      </c>
      <c r="H44" s="55" t="str">
        <f t="shared" si="2"/>
        <v>090000管理，補助的経済活動を行う事業所（42鉄道業） </v>
      </c>
      <c r="I44" s="53" t="s">
        <v>271</v>
      </c>
    </row>
    <row r="45" spans="1:9" ht="30.75" customHeight="1">
      <c r="A45" s="58" t="s">
        <v>267</v>
      </c>
      <c r="B45" s="55" t="s">
        <v>268</v>
      </c>
      <c r="C45" s="56" t="str">
        <f t="shared" si="0"/>
        <v>42　鉄道業</v>
      </c>
      <c r="D45" s="57" t="s">
        <v>269</v>
      </c>
      <c r="E45" s="55" t="s">
        <v>268</v>
      </c>
      <c r="F45" s="55" t="str">
        <f t="shared" si="1"/>
        <v>090000　鉄道業</v>
      </c>
      <c r="G45" s="58" t="s">
        <v>272</v>
      </c>
      <c r="H45" s="55" t="str">
        <f t="shared" si="2"/>
        <v>090000鉄道業 </v>
      </c>
      <c r="I45" s="53" t="s">
        <v>273</v>
      </c>
    </row>
    <row r="46" spans="1:9" ht="30.75" customHeight="1">
      <c r="A46" s="58" t="s">
        <v>274</v>
      </c>
      <c r="B46" s="55" t="s">
        <v>275</v>
      </c>
      <c r="C46" s="56" t="str">
        <f t="shared" si="0"/>
        <v>43　道路旅客運送業</v>
      </c>
      <c r="D46" s="57" t="s">
        <v>269</v>
      </c>
      <c r="E46" s="55" t="s">
        <v>275</v>
      </c>
      <c r="F46" s="55" t="str">
        <f t="shared" si="1"/>
        <v>090000　道路旅客運送業</v>
      </c>
      <c r="G46" s="58" t="s">
        <v>276</v>
      </c>
      <c r="H46" s="55" t="str">
        <f t="shared" si="2"/>
        <v>090000管理，補助的経済活動を行う事業所（43道路旅客運送業） </v>
      </c>
      <c r="I46" s="53" t="s">
        <v>277</v>
      </c>
    </row>
    <row r="47" spans="1:9" ht="30.75" customHeight="1">
      <c r="A47" s="58" t="s">
        <v>278</v>
      </c>
      <c r="B47" s="55" t="s">
        <v>279</v>
      </c>
      <c r="C47" s="56" t="str">
        <f t="shared" si="0"/>
        <v>44　道路貨物運送業</v>
      </c>
      <c r="D47" s="57" t="s">
        <v>269</v>
      </c>
      <c r="E47" s="55" t="s">
        <v>279</v>
      </c>
      <c r="F47" s="55" t="str">
        <f t="shared" si="1"/>
        <v>090000　道路貨物運送業</v>
      </c>
      <c r="G47" s="58" t="s">
        <v>280</v>
      </c>
      <c r="H47" s="55" t="str">
        <f t="shared" si="2"/>
        <v>090000管理，補助的経済活動を行う事業所（44道路貨物運送業） </v>
      </c>
      <c r="I47" s="53" t="s">
        <v>281</v>
      </c>
    </row>
    <row r="48" spans="1:9" ht="30.75" customHeight="1">
      <c r="A48" s="58" t="s">
        <v>282</v>
      </c>
      <c r="B48" s="55" t="s">
        <v>283</v>
      </c>
      <c r="C48" s="56" t="str">
        <f t="shared" si="0"/>
        <v>45　水運業</v>
      </c>
      <c r="D48" s="57" t="s">
        <v>269</v>
      </c>
      <c r="E48" s="55" t="s">
        <v>283</v>
      </c>
      <c r="F48" s="55" t="str">
        <f t="shared" si="1"/>
        <v>090000　水運業</v>
      </c>
      <c r="G48" s="58" t="s">
        <v>284</v>
      </c>
      <c r="H48" s="55" t="str">
        <f t="shared" si="2"/>
        <v>090000管理，補助的経済活動を行う事業所（45水運業） </v>
      </c>
      <c r="I48" s="53" t="s">
        <v>285</v>
      </c>
    </row>
    <row r="49" spans="1:9" ht="30.75" customHeight="1">
      <c r="A49" s="58" t="s">
        <v>286</v>
      </c>
      <c r="B49" s="55" t="s">
        <v>287</v>
      </c>
      <c r="C49" s="56" t="str">
        <f t="shared" si="0"/>
        <v>46　航空運輸業</v>
      </c>
      <c r="D49" s="57" t="s">
        <v>269</v>
      </c>
      <c r="E49" s="55" t="s">
        <v>287</v>
      </c>
      <c r="F49" s="55" t="str">
        <f t="shared" si="1"/>
        <v>090000　航空運輸業</v>
      </c>
      <c r="G49" s="58" t="s">
        <v>288</v>
      </c>
      <c r="H49" s="55" t="str">
        <f t="shared" si="2"/>
        <v>090000管理，補助的経済活動を行う事業所（46航空運輸業） </v>
      </c>
      <c r="I49" s="53" t="s">
        <v>289</v>
      </c>
    </row>
    <row r="50" spans="1:9" ht="30.75" customHeight="1">
      <c r="A50" s="58" t="s">
        <v>290</v>
      </c>
      <c r="B50" s="55" t="s">
        <v>291</v>
      </c>
      <c r="C50" s="56" t="str">
        <f t="shared" si="0"/>
        <v>47　倉庫業</v>
      </c>
      <c r="D50" s="57" t="s">
        <v>269</v>
      </c>
      <c r="E50" s="55" t="s">
        <v>291</v>
      </c>
      <c r="F50" s="55" t="str">
        <f t="shared" si="1"/>
        <v>090000　倉庫業</v>
      </c>
      <c r="G50" s="58" t="s">
        <v>292</v>
      </c>
      <c r="H50" s="55" t="str">
        <f t="shared" si="2"/>
        <v>090000管理，補助的経済活動を行う事業所（47倉庫業） </v>
      </c>
      <c r="I50" s="53" t="s">
        <v>293</v>
      </c>
    </row>
    <row r="51" spans="1:9" ht="30.75" customHeight="1">
      <c r="A51" s="58" t="s">
        <v>294</v>
      </c>
      <c r="B51" s="55" t="s">
        <v>295</v>
      </c>
      <c r="C51" s="56" t="str">
        <f t="shared" si="0"/>
        <v>48　運輸に附帯するサービス業</v>
      </c>
      <c r="D51" s="57" t="s">
        <v>269</v>
      </c>
      <c r="E51" s="55" t="s">
        <v>295</v>
      </c>
      <c r="F51" s="55" t="str">
        <f t="shared" si="1"/>
        <v>090000　運輸に附帯するサービス業</v>
      </c>
      <c r="G51" s="58" t="s">
        <v>296</v>
      </c>
      <c r="H51" s="55" t="str">
        <f t="shared" si="2"/>
        <v>090000管理，補助的経済活動を行う事業所（48運輸に附帯するサービス業） </v>
      </c>
      <c r="I51" s="53" t="s">
        <v>297</v>
      </c>
    </row>
    <row r="52" spans="1:9" ht="30.75" customHeight="1">
      <c r="A52" s="58" t="s">
        <v>298</v>
      </c>
      <c r="B52" s="55" t="s">
        <v>299</v>
      </c>
      <c r="C52" s="56" t="str">
        <f t="shared" si="0"/>
        <v>49　郵便業（信書便事業を含む）</v>
      </c>
      <c r="D52" s="57" t="s">
        <v>269</v>
      </c>
      <c r="E52" s="55" t="s">
        <v>299</v>
      </c>
      <c r="F52" s="55" t="str">
        <f t="shared" si="1"/>
        <v>090000　郵便業（信書便事業を含む）</v>
      </c>
      <c r="G52" s="58" t="s">
        <v>300</v>
      </c>
      <c r="H52" s="55" t="str">
        <f t="shared" si="2"/>
        <v>090000管理，補助的経済活動を行う事業所（49郵便業） </v>
      </c>
      <c r="I52" s="53" t="s">
        <v>301</v>
      </c>
    </row>
    <row r="53" spans="1:9" ht="30.75" customHeight="1">
      <c r="A53" s="58" t="s">
        <v>302</v>
      </c>
      <c r="B53" s="55" t="s">
        <v>303</v>
      </c>
      <c r="C53" s="56" t="str">
        <f t="shared" si="0"/>
        <v>50　各種商品卸売業</v>
      </c>
      <c r="D53" s="59" t="s">
        <v>304</v>
      </c>
      <c r="E53" s="55" t="s">
        <v>303</v>
      </c>
      <c r="F53" s="55" t="str">
        <f t="shared" si="1"/>
        <v>100100　各種商品卸売業</v>
      </c>
      <c r="G53" s="58" t="s">
        <v>305</v>
      </c>
      <c r="H53" s="55" t="str">
        <f t="shared" si="2"/>
        <v>100100管理，補助的経済活動を行う事業所（50各種商品卸売業） </v>
      </c>
      <c r="I53" s="53" t="s">
        <v>306</v>
      </c>
    </row>
    <row r="54" spans="1:9" ht="30.75" customHeight="1">
      <c r="A54" s="58" t="s">
        <v>307</v>
      </c>
      <c r="B54" s="55" t="s">
        <v>308</v>
      </c>
      <c r="C54" s="56" t="str">
        <f t="shared" si="0"/>
        <v>51　繊維・衣服等卸売業</v>
      </c>
      <c r="D54" s="59" t="s">
        <v>309</v>
      </c>
      <c r="E54" s="55" t="s">
        <v>308</v>
      </c>
      <c r="F54" s="55" t="str">
        <f t="shared" si="1"/>
        <v>100300　繊維・衣服等卸売業</v>
      </c>
      <c r="G54" s="58" t="s">
        <v>310</v>
      </c>
      <c r="H54" s="55" t="str">
        <f t="shared" si="2"/>
        <v>100300管理，補助的経済活動を行う事業所（51繊維・衣服等卸売業） </v>
      </c>
      <c r="I54" s="53" t="s">
        <v>311</v>
      </c>
    </row>
    <row r="55" spans="1:9" ht="30.75" customHeight="1">
      <c r="A55" s="58" t="s">
        <v>312</v>
      </c>
      <c r="B55" s="55" t="s">
        <v>313</v>
      </c>
      <c r="C55" s="56" t="str">
        <f t="shared" si="0"/>
        <v>52　飲食料品卸売業</v>
      </c>
      <c r="D55" s="59" t="s">
        <v>314</v>
      </c>
      <c r="E55" s="55" t="s">
        <v>313</v>
      </c>
      <c r="F55" s="55" t="str">
        <f t="shared" si="1"/>
        <v>100500　飲食料品卸売業</v>
      </c>
      <c r="G55" s="58" t="s">
        <v>315</v>
      </c>
      <c r="H55" s="55" t="str">
        <f t="shared" si="2"/>
        <v>100500管理，補助的経済活動を行う事業所（52飲食料品卸売業） </v>
      </c>
      <c r="I55" s="53" t="s">
        <v>316</v>
      </c>
    </row>
    <row r="56" spans="1:9" ht="30.75" customHeight="1">
      <c r="A56" s="58" t="s">
        <v>317</v>
      </c>
      <c r="B56" s="55" t="s">
        <v>318</v>
      </c>
      <c r="C56" s="56" t="str">
        <f t="shared" si="0"/>
        <v>53　建築材料，鉱物・金属材料等卸売業</v>
      </c>
      <c r="D56" s="59" t="s">
        <v>319</v>
      </c>
      <c r="E56" s="55" t="s">
        <v>318</v>
      </c>
      <c r="F56" s="55" t="str">
        <f t="shared" si="1"/>
        <v>100700　建築材料，鉱物・金属材料等卸売業</v>
      </c>
      <c r="G56" s="58" t="s">
        <v>320</v>
      </c>
      <c r="H56" s="55" t="str">
        <f t="shared" si="2"/>
        <v>100700管理，補助的経済活動を行う事業所（53建築材料，鉱物・金属材料等卸売業） </v>
      </c>
      <c r="I56" s="53" t="s">
        <v>321</v>
      </c>
    </row>
    <row r="57" spans="1:9" ht="30.75" customHeight="1">
      <c r="A57" s="58" t="s">
        <v>322</v>
      </c>
      <c r="B57" s="55" t="s">
        <v>323</v>
      </c>
      <c r="C57" s="56" t="str">
        <f t="shared" si="0"/>
        <v>54　機械器具卸売業</v>
      </c>
      <c r="D57" s="59" t="s">
        <v>324</v>
      </c>
      <c r="E57" s="55" t="s">
        <v>323</v>
      </c>
      <c r="F57" s="55" t="str">
        <f t="shared" si="1"/>
        <v>100900　機械器具卸売業</v>
      </c>
      <c r="G57" s="58" t="s">
        <v>325</v>
      </c>
      <c r="H57" s="55" t="str">
        <f t="shared" si="2"/>
        <v>100900管理，補助的経済活動を行う事業所（54機械器具卸売業） </v>
      </c>
      <c r="I57" s="53" t="s">
        <v>326</v>
      </c>
    </row>
    <row r="58" spans="1:9" ht="30.75" customHeight="1">
      <c r="A58" s="58" t="s">
        <v>327</v>
      </c>
      <c r="B58" s="55" t="s">
        <v>328</v>
      </c>
      <c r="C58" s="56" t="str">
        <f t="shared" si="0"/>
        <v>55　その他の卸売業</v>
      </c>
      <c r="D58" s="59" t="s">
        <v>329</v>
      </c>
      <c r="E58" s="55" t="s">
        <v>328</v>
      </c>
      <c r="F58" s="55" t="str">
        <f t="shared" si="1"/>
        <v>101100　その他の卸売業</v>
      </c>
      <c r="G58" s="58" t="s">
        <v>330</v>
      </c>
      <c r="H58" s="55" t="str">
        <f t="shared" si="2"/>
        <v>101100管理，補助的経済活動を行う事業所（55その他の卸売業） </v>
      </c>
      <c r="I58" s="53" t="s">
        <v>331</v>
      </c>
    </row>
    <row r="59" spans="1:9" ht="30.75" customHeight="1">
      <c r="A59" s="58" t="s">
        <v>332</v>
      </c>
      <c r="B59" s="55" t="s">
        <v>333</v>
      </c>
      <c r="C59" s="56" t="str">
        <f t="shared" si="0"/>
        <v>56　各種商品小売業</v>
      </c>
      <c r="D59" s="59" t="s">
        <v>334</v>
      </c>
      <c r="E59" s="55" t="s">
        <v>333</v>
      </c>
      <c r="F59" s="55" t="str">
        <f t="shared" si="1"/>
        <v>105100　各種商品小売業</v>
      </c>
      <c r="G59" s="58" t="s">
        <v>335</v>
      </c>
      <c r="H59" s="55" t="str">
        <f t="shared" si="2"/>
        <v>105100管理，補助的経済活動を行う事業所（56各種商品小売業） </v>
      </c>
      <c r="I59" s="53" t="s">
        <v>336</v>
      </c>
    </row>
    <row r="60" spans="1:9" ht="30.75" customHeight="1">
      <c r="A60" s="58" t="s">
        <v>337</v>
      </c>
      <c r="B60" s="55" t="s">
        <v>338</v>
      </c>
      <c r="C60" s="56" t="str">
        <f t="shared" si="0"/>
        <v>57　織物・衣服・身の回り品小売業</v>
      </c>
      <c r="D60" s="59" t="s">
        <v>339</v>
      </c>
      <c r="E60" s="55" t="s">
        <v>338</v>
      </c>
      <c r="F60" s="55" t="str">
        <f t="shared" si="1"/>
        <v>105300　織物・衣服・身の回り品小売業</v>
      </c>
      <c r="G60" s="58" t="s">
        <v>340</v>
      </c>
      <c r="H60" s="55" t="str">
        <f t="shared" si="2"/>
        <v>105300管理，補助的経済活動を行う事業所（57織物・衣服・身の回り品小売業） </v>
      </c>
      <c r="I60" s="53" t="s">
        <v>341</v>
      </c>
    </row>
    <row r="61" spans="1:9" ht="30.75" customHeight="1">
      <c r="A61" s="58" t="s">
        <v>342</v>
      </c>
      <c r="B61" s="55" t="s">
        <v>343</v>
      </c>
      <c r="C61" s="56" t="str">
        <f t="shared" si="0"/>
        <v>58　飲食料品小売業</v>
      </c>
      <c r="D61" s="59" t="s">
        <v>344</v>
      </c>
      <c r="E61" s="55" t="s">
        <v>343</v>
      </c>
      <c r="F61" s="55" t="str">
        <f t="shared" si="1"/>
        <v>105500　飲食料品小売業</v>
      </c>
      <c r="G61" s="58" t="s">
        <v>345</v>
      </c>
      <c r="H61" s="55" t="str">
        <f t="shared" si="2"/>
        <v>105500管理，補助的経済活動を行う事業所（58飲食料品小売業） </v>
      </c>
      <c r="I61" s="53" t="s">
        <v>346</v>
      </c>
    </row>
    <row r="62" spans="1:9" ht="30.75" customHeight="1">
      <c r="A62" s="58" t="s">
        <v>347</v>
      </c>
      <c r="B62" s="55" t="s">
        <v>348</v>
      </c>
      <c r="C62" s="56" t="str">
        <f t="shared" si="0"/>
        <v>59　機械器具小売業</v>
      </c>
      <c r="D62" s="59" t="s">
        <v>349</v>
      </c>
      <c r="E62" s="55" t="s">
        <v>350</v>
      </c>
      <c r="F62" s="55" t="str">
        <f t="shared" si="1"/>
        <v>105700自動車・自転車小売業   　　　　</v>
      </c>
      <c r="G62" s="58" t="s">
        <v>351</v>
      </c>
      <c r="H62" s="55" t="str">
        <f t="shared" si="2"/>
        <v>105700管理，補助的経済活動を行う事業所（59機械器具小売業） </v>
      </c>
      <c r="I62" s="53" t="s">
        <v>352</v>
      </c>
    </row>
    <row r="63" spans="1:9" ht="30.75" customHeight="1">
      <c r="A63" s="58" t="s">
        <v>353</v>
      </c>
      <c r="B63" s="55" t="s">
        <v>354</v>
      </c>
      <c r="C63" s="56" t="str">
        <f t="shared" si="0"/>
        <v>60　その他の小売業</v>
      </c>
      <c r="D63" s="59" t="s">
        <v>355</v>
      </c>
      <c r="E63" s="55" t="s">
        <v>356</v>
      </c>
      <c r="F63" s="55" t="str">
        <f t="shared" si="1"/>
        <v>105900家具・じゅう器・機械器具小売業</v>
      </c>
      <c r="G63" s="58" t="s">
        <v>357</v>
      </c>
      <c r="H63" s="55" t="str">
        <f t="shared" si="2"/>
        <v>105900管理，補助的経済活動を行う事業所（60その他の小売業） </v>
      </c>
      <c r="I63" s="53" t="s">
        <v>358</v>
      </c>
    </row>
    <row r="64" spans="1:9" ht="30.75" customHeight="1">
      <c r="A64" s="58" t="s">
        <v>359</v>
      </c>
      <c r="B64" s="55" t="s">
        <v>360</v>
      </c>
      <c r="C64" s="56" t="str">
        <f t="shared" si="0"/>
        <v>61　無店舗小売業</v>
      </c>
      <c r="D64" s="59" t="s">
        <v>361</v>
      </c>
      <c r="E64" s="55" t="s">
        <v>354</v>
      </c>
      <c r="F64" s="55" t="str">
        <f t="shared" si="1"/>
        <v>106100　その他の小売業</v>
      </c>
      <c r="G64" s="58" t="s">
        <v>362</v>
      </c>
      <c r="H64" s="55" t="str">
        <f t="shared" si="2"/>
        <v>106100管理，補助的経済活動を行う事業所（61無店舗小売業） </v>
      </c>
      <c r="I64" s="53" t="s">
        <v>363</v>
      </c>
    </row>
    <row r="65" spans="1:9" ht="30.75" customHeight="1">
      <c r="A65" s="58" t="s">
        <v>364</v>
      </c>
      <c r="B65" s="55" t="s">
        <v>365</v>
      </c>
      <c r="C65" s="56" t="str">
        <f t="shared" si="0"/>
        <v>62　銀行業</v>
      </c>
      <c r="D65" s="59" t="s">
        <v>366</v>
      </c>
      <c r="E65" s="55" t="s">
        <v>365</v>
      </c>
      <c r="F65" s="55" t="str">
        <f t="shared" si="1"/>
        <v>110000　銀行業</v>
      </c>
      <c r="G65" s="58" t="s">
        <v>367</v>
      </c>
      <c r="H65" s="55" t="str">
        <f t="shared" si="2"/>
        <v>110000管理，補助的経済活動を行う事業所（62銀行業） </v>
      </c>
      <c r="I65" s="53" t="s">
        <v>368</v>
      </c>
    </row>
    <row r="66" spans="1:9" ht="30.75" customHeight="1">
      <c r="A66" s="58" t="s">
        <v>369</v>
      </c>
      <c r="B66" s="55" t="s">
        <v>370</v>
      </c>
      <c r="C66" s="56" t="str">
        <f t="shared" si="0"/>
        <v>63　協同組織金融業</v>
      </c>
      <c r="D66" s="59" t="s">
        <v>366</v>
      </c>
      <c r="E66" s="55" t="s">
        <v>370</v>
      </c>
      <c r="F66" s="55" t="str">
        <f t="shared" si="1"/>
        <v>110000　協同組織金融業</v>
      </c>
      <c r="G66" s="58" t="s">
        <v>371</v>
      </c>
      <c r="H66" s="55" t="str">
        <f t="shared" si="2"/>
        <v>110000管理，補助的経済活動を行う事業所（63協同組織金融業） </v>
      </c>
      <c r="I66" s="53" t="s">
        <v>372</v>
      </c>
    </row>
    <row r="67" spans="1:9" ht="30.75" customHeight="1">
      <c r="A67" s="58">
        <v>64</v>
      </c>
      <c r="B67" s="55" t="s">
        <v>373</v>
      </c>
      <c r="C67" s="56" t="str">
        <f aca="true" t="shared" si="3" ref="C67:C97">CONCATENATE(A67,B67)</f>
        <v>64　貸金業，クレジットカード業等非預金信用機関</v>
      </c>
      <c r="D67" s="59" t="s">
        <v>366</v>
      </c>
      <c r="E67" s="55" t="s">
        <v>373</v>
      </c>
      <c r="F67" s="55" t="str">
        <f aca="true" t="shared" si="4" ref="F67:F97">CONCATENATE(D67,E67)</f>
        <v>110000　貸金業，クレジットカード業等非預金信用機関</v>
      </c>
      <c r="G67" s="58" t="s">
        <v>374</v>
      </c>
      <c r="H67" s="55" t="str">
        <f aca="true" t="shared" si="5" ref="H67:H97">CONCATENATE(D67,I67)</f>
        <v>110000管理，補助的経済活動を行う事業所（64貸金業，クレジットカード業等非預金信用機関） </v>
      </c>
      <c r="I67" s="53" t="s">
        <v>375</v>
      </c>
    </row>
    <row r="68" spans="1:9" ht="30.75" customHeight="1">
      <c r="A68" s="58" t="s">
        <v>376</v>
      </c>
      <c r="B68" s="55" t="s">
        <v>377</v>
      </c>
      <c r="C68" s="56" t="str">
        <f t="shared" si="3"/>
        <v>65　金融商品取引業，商品先物取引業</v>
      </c>
      <c r="D68" s="59" t="s">
        <v>366</v>
      </c>
      <c r="E68" s="55" t="s">
        <v>377</v>
      </c>
      <c r="F68" s="55" t="str">
        <f t="shared" si="4"/>
        <v>110000　金融商品取引業，商品先物取引業</v>
      </c>
      <c r="G68" s="58" t="s">
        <v>378</v>
      </c>
      <c r="H68" s="55" t="str">
        <f t="shared" si="5"/>
        <v>110000管理，補助的経済活動を行う事業所（65金融商品取引業，商品先物取引業） </v>
      </c>
      <c r="I68" s="53" t="s">
        <v>379</v>
      </c>
    </row>
    <row r="69" spans="1:9" ht="30.75" customHeight="1">
      <c r="A69" s="58" t="s">
        <v>380</v>
      </c>
      <c r="B69" s="55" t="s">
        <v>381</v>
      </c>
      <c r="C69" s="56" t="str">
        <f t="shared" si="3"/>
        <v>66　補助的金融業等</v>
      </c>
      <c r="D69" s="59" t="s">
        <v>366</v>
      </c>
      <c r="E69" s="55" t="s">
        <v>381</v>
      </c>
      <c r="F69" s="55" t="str">
        <f t="shared" si="4"/>
        <v>110000　補助的金融業等</v>
      </c>
      <c r="G69" s="58" t="s">
        <v>382</v>
      </c>
      <c r="H69" s="55" t="str">
        <f t="shared" si="5"/>
        <v>110000管理，補助的経済活動を行う事業所（66補助的金融業等） </v>
      </c>
      <c r="I69" s="53" t="s">
        <v>383</v>
      </c>
    </row>
    <row r="70" spans="1:9" ht="30.75" customHeight="1">
      <c r="A70" s="58" t="s">
        <v>384</v>
      </c>
      <c r="B70" s="55" t="s">
        <v>385</v>
      </c>
      <c r="C70" s="56" t="str">
        <f t="shared" si="3"/>
        <v>67　保険業（保険媒介代理業，保険サービス業を含む）</v>
      </c>
      <c r="D70" s="59" t="s">
        <v>366</v>
      </c>
      <c r="E70" s="55" t="s">
        <v>385</v>
      </c>
      <c r="F70" s="55" t="str">
        <f t="shared" si="4"/>
        <v>110000　保険業（保険媒介代理業，保険サービス業を含む）</v>
      </c>
      <c r="G70" s="58" t="s">
        <v>386</v>
      </c>
      <c r="H70" s="55" t="str">
        <f t="shared" si="5"/>
        <v>110000管理，補助的経済活動を行う事業所（67保険業） </v>
      </c>
      <c r="I70" s="53" t="s">
        <v>387</v>
      </c>
    </row>
    <row r="71" spans="1:9" ht="30.75" customHeight="1">
      <c r="A71" s="58" t="s">
        <v>388</v>
      </c>
      <c r="B71" s="55" t="s">
        <v>389</v>
      </c>
      <c r="C71" s="56" t="str">
        <f t="shared" si="3"/>
        <v>68　不動産取引業</v>
      </c>
      <c r="D71" s="59" t="s">
        <v>390</v>
      </c>
      <c r="E71" s="55" t="s">
        <v>389</v>
      </c>
      <c r="F71" s="55" t="str">
        <f t="shared" si="4"/>
        <v>120000　不動産取引業</v>
      </c>
      <c r="G71" s="58" t="s">
        <v>391</v>
      </c>
      <c r="H71" s="55" t="str">
        <f t="shared" si="5"/>
        <v>120000管理，補助的経済活動を行う事業所（68不動産取引業） </v>
      </c>
      <c r="I71" s="53" t="s">
        <v>392</v>
      </c>
    </row>
    <row r="72" spans="1:9" ht="30.75" customHeight="1">
      <c r="A72" s="58" t="s">
        <v>393</v>
      </c>
      <c r="B72" s="55" t="s">
        <v>394</v>
      </c>
      <c r="C72" s="56" t="str">
        <f t="shared" si="3"/>
        <v>69　不動産賃貸業・管理業</v>
      </c>
      <c r="D72" s="59" t="s">
        <v>390</v>
      </c>
      <c r="E72" s="55" t="s">
        <v>394</v>
      </c>
      <c r="F72" s="55" t="str">
        <f t="shared" si="4"/>
        <v>120000　不動産賃貸業・管理業</v>
      </c>
      <c r="G72" s="58" t="s">
        <v>395</v>
      </c>
      <c r="H72" s="55" t="str">
        <f t="shared" si="5"/>
        <v>120000管理，補助的経済活動を行う事業所（69不動産賃貸業・管理業） </v>
      </c>
      <c r="I72" s="53" t="s">
        <v>396</v>
      </c>
    </row>
    <row r="73" spans="1:9" ht="30.75" customHeight="1">
      <c r="A73" s="58" t="s">
        <v>397</v>
      </c>
      <c r="B73" s="55" t="s">
        <v>398</v>
      </c>
      <c r="C73" s="56" t="str">
        <f t="shared" si="3"/>
        <v>70　物品賃貸業</v>
      </c>
      <c r="D73" s="59" t="s">
        <v>399</v>
      </c>
      <c r="E73" s="55" t="s">
        <v>398</v>
      </c>
      <c r="F73" s="55" t="str">
        <f t="shared" si="4"/>
        <v>171700　物品賃貸業</v>
      </c>
      <c r="G73" s="58" t="s">
        <v>400</v>
      </c>
      <c r="H73" s="55" t="str">
        <f t="shared" si="5"/>
        <v>171700管理，補助的経済活動を行う事業所（70物品賃貸業） </v>
      </c>
      <c r="I73" s="53" t="s">
        <v>401</v>
      </c>
    </row>
    <row r="74" spans="1:9" ht="30.75" customHeight="1">
      <c r="A74" s="58" t="s">
        <v>402</v>
      </c>
      <c r="B74" s="55" t="s">
        <v>403</v>
      </c>
      <c r="C74" s="56" t="str">
        <f t="shared" si="3"/>
        <v>71　学術・開発研究機関</v>
      </c>
      <c r="D74" s="59" t="s">
        <v>404</v>
      </c>
      <c r="E74" s="55" t="s">
        <v>403</v>
      </c>
      <c r="F74" s="55" t="str">
        <f t="shared" si="4"/>
        <v>170300　学術・開発研究機関</v>
      </c>
      <c r="G74" s="58" t="s">
        <v>405</v>
      </c>
      <c r="H74" s="55" t="str">
        <f t="shared" si="5"/>
        <v>170300管理，補助的経済活動を行う事業所（71学術・開発研究機関） </v>
      </c>
      <c r="I74" s="53" t="s">
        <v>406</v>
      </c>
    </row>
    <row r="75" spans="1:9" ht="30.75" customHeight="1">
      <c r="A75" s="58">
        <v>72</v>
      </c>
      <c r="B75" s="60" t="s">
        <v>407</v>
      </c>
      <c r="C75" s="56" t="str">
        <f t="shared" si="3"/>
        <v>72専門サービス業</v>
      </c>
      <c r="D75" s="59" t="s">
        <v>408</v>
      </c>
      <c r="E75" s="55" t="s">
        <v>407</v>
      </c>
      <c r="F75" s="55" t="str">
        <f t="shared" si="4"/>
        <v>170100専門サービス業</v>
      </c>
      <c r="G75" s="58" t="s">
        <v>409</v>
      </c>
      <c r="H75" s="55" t="str">
        <f t="shared" si="5"/>
        <v>170100管理，補助的経済活動を行う事業所（72専門サービス業） </v>
      </c>
      <c r="I75" s="53" t="s">
        <v>410</v>
      </c>
    </row>
    <row r="76" spans="1:9" ht="30.75" customHeight="1">
      <c r="A76" s="58">
        <v>73</v>
      </c>
      <c r="B76" s="60" t="s">
        <v>411</v>
      </c>
      <c r="C76" s="56" t="str">
        <f t="shared" si="3"/>
        <v>73広告業</v>
      </c>
      <c r="D76" s="59" t="s">
        <v>412</v>
      </c>
      <c r="E76" s="55" t="s">
        <v>413</v>
      </c>
      <c r="F76" s="55" t="str">
        <f t="shared" si="4"/>
        <v>171900　広告業</v>
      </c>
      <c r="G76" s="58" t="s">
        <v>414</v>
      </c>
      <c r="H76" s="55" t="str">
        <f t="shared" si="5"/>
        <v>171900管理，補助的経済活動を行う事業所（73広告業） </v>
      </c>
      <c r="I76" s="53" t="s">
        <v>415</v>
      </c>
    </row>
    <row r="77" spans="1:9" ht="30.75" customHeight="1">
      <c r="A77" s="58" t="s">
        <v>416</v>
      </c>
      <c r="B77" s="55" t="s">
        <v>417</v>
      </c>
      <c r="C77" s="56" t="str">
        <f t="shared" si="3"/>
        <v>74　技術サービス業（他に分類されないもの）</v>
      </c>
      <c r="D77" s="59" t="s">
        <v>408</v>
      </c>
      <c r="E77" s="60" t="s">
        <v>418</v>
      </c>
      <c r="F77" s="55" t="str">
        <f t="shared" si="4"/>
        <v>170100専門サービス業</v>
      </c>
      <c r="G77" s="58" t="s">
        <v>419</v>
      </c>
      <c r="H77" s="55" t="str">
        <f t="shared" si="5"/>
        <v>170100管理，補助的経済活動を行う事業所（74技術サービス業） </v>
      </c>
      <c r="I77" s="53" t="s">
        <v>420</v>
      </c>
    </row>
    <row r="78" spans="1:9" ht="30.75" customHeight="1">
      <c r="A78" s="58">
        <v>75</v>
      </c>
      <c r="B78" s="55" t="s">
        <v>421</v>
      </c>
      <c r="C78" s="56" t="str">
        <f t="shared" si="3"/>
        <v>75　宿泊業</v>
      </c>
      <c r="D78" s="59" t="s">
        <v>422</v>
      </c>
      <c r="E78" s="55" t="s">
        <v>421</v>
      </c>
      <c r="F78" s="55" t="str">
        <f t="shared" si="4"/>
        <v>130500　宿泊業</v>
      </c>
      <c r="G78" s="58" t="s">
        <v>423</v>
      </c>
      <c r="H78" s="55" t="str">
        <f t="shared" si="5"/>
        <v>130500管理，補助的経済活動を行う事業所（75宿泊業） </v>
      </c>
      <c r="I78" s="53" t="s">
        <v>424</v>
      </c>
    </row>
    <row r="79" spans="1:9" ht="30.75" customHeight="1">
      <c r="A79" s="58">
        <v>76</v>
      </c>
      <c r="B79" s="55" t="s">
        <v>425</v>
      </c>
      <c r="C79" s="56" t="str">
        <f t="shared" si="3"/>
        <v>76　飲食店</v>
      </c>
      <c r="D79" s="59" t="s">
        <v>426</v>
      </c>
      <c r="E79" s="55" t="s">
        <v>427</v>
      </c>
      <c r="F79" s="55" t="str">
        <f t="shared" si="4"/>
        <v>130100一般飲食店　</v>
      </c>
      <c r="G79" s="58" t="s">
        <v>428</v>
      </c>
      <c r="H79" s="55" t="str">
        <f t="shared" si="5"/>
        <v>130100管理，補助的経済活動を行う事業所（76飲食店） </v>
      </c>
      <c r="I79" s="53" t="s">
        <v>429</v>
      </c>
    </row>
    <row r="80" spans="1:9" ht="30.75" customHeight="1">
      <c r="A80" s="58" t="s">
        <v>430</v>
      </c>
      <c r="B80" s="55" t="s">
        <v>431</v>
      </c>
      <c r="C80" s="56" t="str">
        <f t="shared" si="3"/>
        <v>77　持ち帰り・配達飲食サービス業</v>
      </c>
      <c r="D80" s="59" t="s">
        <v>344</v>
      </c>
      <c r="E80" s="55" t="s">
        <v>343</v>
      </c>
      <c r="F80" s="55" t="str">
        <f t="shared" si="4"/>
        <v>105500　飲食料品小売業</v>
      </c>
      <c r="G80" s="58" t="s">
        <v>432</v>
      </c>
      <c r="H80" s="55" t="str">
        <f t="shared" si="5"/>
        <v>105500管理，補助的経済活動を行う事業所（77持ち帰り・配達飲食サービス業） </v>
      </c>
      <c r="I80" s="53" t="s">
        <v>433</v>
      </c>
    </row>
    <row r="81" spans="1:9" ht="30.75" customHeight="1">
      <c r="A81" s="58">
        <v>78</v>
      </c>
      <c r="B81" s="55" t="s">
        <v>434</v>
      </c>
      <c r="C81" s="56" t="str">
        <f t="shared" si="3"/>
        <v>78　洗濯・理容・美容・浴場業</v>
      </c>
      <c r="D81" s="59" t="s">
        <v>435</v>
      </c>
      <c r="E81" s="55" t="s">
        <v>434</v>
      </c>
      <c r="F81" s="55" t="str">
        <f t="shared" si="4"/>
        <v>170500　洗濯・理容・美容・浴場業</v>
      </c>
      <c r="G81" s="58" t="s">
        <v>436</v>
      </c>
      <c r="H81" s="55" t="str">
        <f t="shared" si="5"/>
        <v>170500管理，補助的経済活動を行う事業所（78洗濯・理容・美容・浴場業） </v>
      </c>
      <c r="I81" s="53" t="s">
        <v>437</v>
      </c>
    </row>
    <row r="82" spans="1:9" ht="30.75" customHeight="1">
      <c r="A82" s="58" t="s">
        <v>438</v>
      </c>
      <c r="B82" s="55" t="s">
        <v>439</v>
      </c>
      <c r="C82" s="56" t="str">
        <f t="shared" si="3"/>
        <v>79　その他の生活関連サービス業</v>
      </c>
      <c r="D82" s="59" t="s">
        <v>440</v>
      </c>
      <c r="E82" s="55" t="s">
        <v>439</v>
      </c>
      <c r="F82" s="55" t="str">
        <f t="shared" si="4"/>
        <v>170700　その他の生活関連サービス業</v>
      </c>
      <c r="G82" s="58" t="s">
        <v>441</v>
      </c>
      <c r="H82" s="55" t="str">
        <f t="shared" si="5"/>
        <v>170700管理，補助的経済活動を行う事業所（79その他の生活関連サービス業） </v>
      </c>
      <c r="I82" s="53" t="s">
        <v>442</v>
      </c>
    </row>
    <row r="83" spans="1:9" ht="30.75" customHeight="1">
      <c r="A83" s="58" t="s">
        <v>443</v>
      </c>
      <c r="B83" s="55" t="s">
        <v>444</v>
      </c>
      <c r="C83" s="56" t="str">
        <f t="shared" si="3"/>
        <v>80　娯楽業</v>
      </c>
      <c r="D83" s="59" t="s">
        <v>445</v>
      </c>
      <c r="E83" s="55" t="s">
        <v>444</v>
      </c>
      <c r="F83" s="55" t="str">
        <f t="shared" si="4"/>
        <v>170900　娯楽業</v>
      </c>
      <c r="G83" s="58" t="s">
        <v>446</v>
      </c>
      <c r="H83" s="55" t="str">
        <f t="shared" si="5"/>
        <v>170900管理，補助的経済活動を行う事業所（80娯楽業） </v>
      </c>
      <c r="I83" s="53" t="s">
        <v>447</v>
      </c>
    </row>
    <row r="84" spans="1:9" ht="30.75" customHeight="1">
      <c r="A84" s="58" t="s">
        <v>448</v>
      </c>
      <c r="B84" s="55" t="s">
        <v>449</v>
      </c>
      <c r="C84" s="56" t="str">
        <f t="shared" si="3"/>
        <v>81　学校教育</v>
      </c>
      <c r="D84" s="59" t="s">
        <v>450</v>
      </c>
      <c r="E84" s="55" t="s">
        <v>449</v>
      </c>
      <c r="F84" s="55" t="str">
        <f t="shared" si="4"/>
        <v>150000　学校教育</v>
      </c>
      <c r="G84" s="58" t="s">
        <v>451</v>
      </c>
      <c r="H84" s="55" t="str">
        <f t="shared" si="5"/>
        <v>150000管理，補助的経済活動を行う事業所（81学校教育） </v>
      </c>
      <c r="I84" s="53" t="s">
        <v>452</v>
      </c>
    </row>
    <row r="85" spans="1:9" ht="30.75" customHeight="1">
      <c r="A85" s="58">
        <v>82</v>
      </c>
      <c r="B85" s="55" t="s">
        <v>453</v>
      </c>
      <c r="C85" s="56" t="str">
        <f t="shared" si="3"/>
        <v>82　その他の教育，学習支援業</v>
      </c>
      <c r="D85" s="59" t="s">
        <v>450</v>
      </c>
      <c r="E85" s="55" t="s">
        <v>453</v>
      </c>
      <c r="F85" s="55" t="str">
        <f t="shared" si="4"/>
        <v>150000　その他の教育，学習支援業</v>
      </c>
      <c r="G85" s="58" t="s">
        <v>454</v>
      </c>
      <c r="H85" s="55" t="str">
        <f t="shared" si="5"/>
        <v>150000管理，補助的経済活動を行う事業所（82その他の教育，学習支援業） </v>
      </c>
      <c r="I85" s="53" t="s">
        <v>455</v>
      </c>
    </row>
    <row r="86" spans="1:9" ht="30.75" customHeight="1">
      <c r="A86" s="58" t="s">
        <v>456</v>
      </c>
      <c r="B86" s="55" t="s">
        <v>457</v>
      </c>
      <c r="C86" s="56" t="str">
        <f t="shared" si="3"/>
        <v>83　医療業</v>
      </c>
      <c r="D86" s="59" t="s">
        <v>458</v>
      </c>
      <c r="E86" s="55" t="s">
        <v>457</v>
      </c>
      <c r="F86" s="55" t="str">
        <f t="shared" si="4"/>
        <v>140100　医療業</v>
      </c>
      <c r="G86" s="58" t="s">
        <v>459</v>
      </c>
      <c r="H86" s="55" t="str">
        <f t="shared" si="5"/>
        <v>140100管理，補助的経済活動を行う事業所（83医療業） </v>
      </c>
      <c r="I86" s="53" t="s">
        <v>460</v>
      </c>
    </row>
    <row r="87" spans="1:9" ht="30.75" customHeight="1">
      <c r="A87" s="58" t="s">
        <v>461</v>
      </c>
      <c r="B87" s="55" t="s">
        <v>462</v>
      </c>
      <c r="C87" s="56" t="str">
        <f t="shared" si="3"/>
        <v>84　保健衛生</v>
      </c>
      <c r="D87" s="59" t="s">
        <v>463</v>
      </c>
      <c r="E87" s="55" t="s">
        <v>462</v>
      </c>
      <c r="F87" s="55" t="str">
        <f t="shared" si="4"/>
        <v>140300　保健衛生</v>
      </c>
      <c r="G87" s="58" t="s">
        <v>464</v>
      </c>
      <c r="H87" s="55" t="str">
        <f t="shared" si="5"/>
        <v>140300管理，補助的経済活動を行う事業所（84保健衛生） </v>
      </c>
      <c r="I87" s="53" t="s">
        <v>465</v>
      </c>
    </row>
    <row r="88" spans="1:9" ht="30.75" customHeight="1">
      <c r="A88" s="58" t="s">
        <v>466</v>
      </c>
      <c r="B88" s="55" t="s">
        <v>467</v>
      </c>
      <c r="C88" s="56" t="str">
        <f t="shared" si="3"/>
        <v>85　社会保険・社会福祉・介護事業</v>
      </c>
      <c r="D88" s="59" t="s">
        <v>468</v>
      </c>
      <c r="E88" s="55" t="s">
        <v>467</v>
      </c>
      <c r="F88" s="55" t="str">
        <f t="shared" si="4"/>
        <v>140500　社会保険・社会福祉・介護事業</v>
      </c>
      <c r="G88" s="58" t="s">
        <v>469</v>
      </c>
      <c r="H88" s="55" t="str">
        <f t="shared" si="5"/>
        <v>140500管理，補助的経済活動を行う事業所（85社会保険・社会福祉・介護事業） </v>
      </c>
      <c r="I88" s="53" t="s">
        <v>470</v>
      </c>
    </row>
    <row r="89" spans="1:9" ht="30.75" customHeight="1">
      <c r="A89" s="58" t="s">
        <v>471</v>
      </c>
      <c r="B89" s="55" t="s">
        <v>472</v>
      </c>
      <c r="C89" s="56" t="str">
        <f t="shared" si="3"/>
        <v>86　郵便局</v>
      </c>
      <c r="D89" s="59" t="s">
        <v>473</v>
      </c>
      <c r="E89" s="55" t="s">
        <v>472</v>
      </c>
      <c r="F89" s="55" t="str">
        <f t="shared" si="4"/>
        <v>160000　郵便局</v>
      </c>
      <c r="G89" s="58" t="s">
        <v>474</v>
      </c>
      <c r="H89" s="55" t="str">
        <f t="shared" si="5"/>
        <v>160000管理，補助的経済活動を行う事業所（86郵便局） </v>
      </c>
      <c r="I89" s="53" t="s">
        <v>475</v>
      </c>
    </row>
    <row r="90" spans="1:9" ht="30.75" customHeight="1">
      <c r="A90" s="58" t="s">
        <v>476</v>
      </c>
      <c r="B90" s="55" t="s">
        <v>477</v>
      </c>
      <c r="C90" s="56" t="str">
        <f t="shared" si="3"/>
        <v>87　協同組合（他に分類されないもの）</v>
      </c>
      <c r="D90" s="59" t="s">
        <v>473</v>
      </c>
      <c r="E90" s="55" t="s">
        <v>477</v>
      </c>
      <c r="F90" s="55" t="str">
        <f t="shared" si="4"/>
        <v>160000　協同組合（他に分類されないもの）</v>
      </c>
      <c r="G90" s="58" t="s">
        <v>478</v>
      </c>
      <c r="H90" s="55" t="str">
        <f t="shared" si="5"/>
        <v>160000管理，補助的経済活動を行う事業所（87協同組合） </v>
      </c>
      <c r="I90" s="53" t="s">
        <v>479</v>
      </c>
    </row>
    <row r="91" spans="1:9" ht="30.75" customHeight="1">
      <c r="A91" s="58" t="s">
        <v>480</v>
      </c>
      <c r="B91" s="55" t="s">
        <v>481</v>
      </c>
      <c r="C91" s="56" t="str">
        <f t="shared" si="3"/>
        <v>88　廃棄物処理業</v>
      </c>
      <c r="D91" s="59" t="s">
        <v>482</v>
      </c>
      <c r="E91" s="55" t="s">
        <v>481</v>
      </c>
      <c r="F91" s="55" t="str">
        <f t="shared" si="4"/>
        <v>171100　廃棄物処理業</v>
      </c>
      <c r="G91" s="58" t="s">
        <v>483</v>
      </c>
      <c r="H91" s="55" t="str">
        <f t="shared" si="5"/>
        <v>171100管理，補助的経済活動を行う事業所（88廃棄物処理業） </v>
      </c>
      <c r="I91" s="53" t="s">
        <v>484</v>
      </c>
    </row>
    <row r="92" spans="1:9" ht="30.75" customHeight="1">
      <c r="A92" s="58" t="s">
        <v>485</v>
      </c>
      <c r="B92" s="55" t="s">
        <v>486</v>
      </c>
      <c r="C92" s="56" t="str">
        <f t="shared" si="3"/>
        <v>89　自動車整備業</v>
      </c>
      <c r="D92" s="59" t="s">
        <v>487</v>
      </c>
      <c r="E92" s="55" t="s">
        <v>486</v>
      </c>
      <c r="F92" s="55" t="str">
        <f t="shared" si="4"/>
        <v>171300　自動車整備業</v>
      </c>
      <c r="G92" s="58" t="s">
        <v>488</v>
      </c>
      <c r="H92" s="55" t="str">
        <f t="shared" si="5"/>
        <v>171300管理，補助的経済活動を行う事業所（89自動車整備業） </v>
      </c>
      <c r="I92" s="53" t="s">
        <v>489</v>
      </c>
    </row>
    <row r="93" spans="1:9" ht="30.75" customHeight="1">
      <c r="A93" s="58" t="s">
        <v>490</v>
      </c>
      <c r="B93" s="55" t="s">
        <v>491</v>
      </c>
      <c r="C93" s="56" t="str">
        <f t="shared" si="3"/>
        <v>90　機械等修理業（別掲を除く）</v>
      </c>
      <c r="D93" s="59" t="s">
        <v>492</v>
      </c>
      <c r="E93" s="55" t="s">
        <v>491</v>
      </c>
      <c r="F93" s="55" t="str">
        <f t="shared" si="4"/>
        <v>171500　機械等修理業（別掲を除く）</v>
      </c>
      <c r="G93" s="58" t="s">
        <v>493</v>
      </c>
      <c r="H93" s="55" t="str">
        <f t="shared" si="5"/>
        <v>171500管理，補助的経済活動を行う事業所（90機械等修理業） </v>
      </c>
      <c r="I93" s="53" t="s">
        <v>494</v>
      </c>
    </row>
    <row r="94" spans="1:9" ht="30.75" customHeight="1">
      <c r="A94" s="58">
        <v>91</v>
      </c>
      <c r="B94" s="61" t="s">
        <v>495</v>
      </c>
      <c r="C94" s="56" t="str">
        <f t="shared" si="3"/>
        <v>91　職業紹介・労働者派遣業</v>
      </c>
      <c r="D94" s="59" t="s">
        <v>496</v>
      </c>
      <c r="E94" s="55" t="s">
        <v>497</v>
      </c>
      <c r="F94" s="55" t="str">
        <f t="shared" si="4"/>
        <v>172100　その他の事業サービス業</v>
      </c>
      <c r="G94" s="58" t="s">
        <v>498</v>
      </c>
      <c r="H94" s="55" t="str">
        <f t="shared" si="5"/>
        <v>172100管理，補助的経済活動を行う事業所（91職業紹介・労働者派遣業） </v>
      </c>
      <c r="I94" s="53" t="s">
        <v>499</v>
      </c>
    </row>
    <row r="95" spans="1:9" ht="30.75" customHeight="1">
      <c r="A95" s="58" t="s">
        <v>500</v>
      </c>
      <c r="B95" s="55" t="s">
        <v>497</v>
      </c>
      <c r="C95" s="56" t="str">
        <f t="shared" si="3"/>
        <v>92　その他の事業サービス業</v>
      </c>
      <c r="D95" s="59" t="s">
        <v>496</v>
      </c>
      <c r="E95" s="55" t="s">
        <v>497</v>
      </c>
      <c r="F95" s="55" t="str">
        <f t="shared" si="4"/>
        <v>172100　その他の事業サービス業</v>
      </c>
      <c r="G95" s="58" t="s">
        <v>501</v>
      </c>
      <c r="H95" s="55" t="str">
        <f t="shared" si="5"/>
        <v>172100管理，補助的経済活動を行う事業所（92その他の事業サービス業） </v>
      </c>
      <c r="I95" s="53" t="s">
        <v>502</v>
      </c>
    </row>
    <row r="96" spans="1:9" ht="30.75" customHeight="1">
      <c r="A96" s="58" t="s">
        <v>503</v>
      </c>
      <c r="B96" s="55" t="s">
        <v>504</v>
      </c>
      <c r="C96" s="56" t="str">
        <f t="shared" si="3"/>
        <v>93　政治・経済・文化団体</v>
      </c>
      <c r="D96" s="59" t="s">
        <v>505</v>
      </c>
      <c r="E96" s="55" t="s">
        <v>504</v>
      </c>
      <c r="F96" s="55" t="str">
        <f t="shared" si="4"/>
        <v>172300　政治・経済・文化団体</v>
      </c>
      <c r="G96" s="58" t="s">
        <v>506</v>
      </c>
      <c r="H96" s="55" t="str">
        <f t="shared" si="5"/>
        <v>172300経済団体 </v>
      </c>
      <c r="I96" s="53" t="s">
        <v>507</v>
      </c>
    </row>
    <row r="97" spans="1:9" ht="30.75" customHeight="1">
      <c r="A97" s="58" t="s">
        <v>508</v>
      </c>
      <c r="B97" s="55" t="s">
        <v>509</v>
      </c>
      <c r="C97" s="56" t="str">
        <f t="shared" si="3"/>
        <v>94　宗教</v>
      </c>
      <c r="D97" s="59" t="s">
        <v>505</v>
      </c>
      <c r="E97" s="55" t="s">
        <v>509</v>
      </c>
      <c r="F97" s="55" t="str">
        <f t="shared" si="4"/>
        <v>172300　宗教</v>
      </c>
      <c r="G97" s="58" t="s">
        <v>510</v>
      </c>
      <c r="H97" s="55" t="str">
        <f t="shared" si="5"/>
        <v>172300神道系宗教 </v>
      </c>
      <c r="I97" s="53" t="s">
        <v>511</v>
      </c>
    </row>
    <row r="98" spans="1:9" ht="30.75" customHeight="1">
      <c r="A98" s="58" t="s">
        <v>512</v>
      </c>
      <c r="B98" s="55" t="s">
        <v>513</v>
      </c>
      <c r="C98" s="56" t="str">
        <f>CONCATENATE(A98,B98)</f>
        <v>95　その他のサービス業</v>
      </c>
      <c r="D98" s="59" t="s">
        <v>505</v>
      </c>
      <c r="E98" s="55" t="s">
        <v>513</v>
      </c>
      <c r="F98" s="55" t="str">
        <f>CONCATENATE(D98,E98)</f>
        <v>172300　その他のサービス業</v>
      </c>
      <c r="G98" s="58" t="s">
        <v>514</v>
      </c>
      <c r="H98" s="55" t="str">
        <f>CONCATENATE(D98,I98)</f>
        <v>172300管理，補助的経済活動を行う事業所（95その他のサービス業） </v>
      </c>
      <c r="I98" s="53" t="s">
        <v>515</v>
      </c>
    </row>
    <row r="99" spans="1:9" ht="30.75" customHeight="1">
      <c r="A99" s="58" t="s">
        <v>516</v>
      </c>
      <c r="B99" s="55" t="s">
        <v>517</v>
      </c>
      <c r="C99" s="56" t="str">
        <f>CONCATENATE(A99,B99)</f>
        <v>96　外国公務</v>
      </c>
      <c r="D99" s="59" t="s">
        <v>505</v>
      </c>
      <c r="E99" s="55" t="s">
        <v>517</v>
      </c>
      <c r="F99" s="55" t="str">
        <f>CONCATENATE(D99,E99)</f>
        <v>172300　外国公務</v>
      </c>
      <c r="G99" s="58" t="s">
        <v>518</v>
      </c>
      <c r="H99" s="55" t="str">
        <f>CONCATENATE(D99,I99)</f>
        <v>172300外国公館 </v>
      </c>
      <c r="I99" s="53" t="s">
        <v>519</v>
      </c>
    </row>
    <row r="100" spans="1:9" ht="30.75" customHeight="1">
      <c r="A100" s="58">
        <v>97</v>
      </c>
      <c r="B100" s="55" t="s">
        <v>520</v>
      </c>
      <c r="C100" s="56" t="str">
        <f>CONCATENATE(A100,B100)</f>
        <v>97　国家公務</v>
      </c>
      <c r="D100" s="59" t="s">
        <v>505</v>
      </c>
      <c r="E100" s="55" t="s">
        <v>520</v>
      </c>
      <c r="F100" s="55" t="str">
        <f>CONCATENATE(D100,E100)</f>
        <v>172300　国家公務</v>
      </c>
      <c r="G100" s="58" t="s">
        <v>521</v>
      </c>
      <c r="H100" s="55" t="str">
        <f>CONCATENATE(D100,I100)</f>
        <v>172300立法機関 </v>
      </c>
      <c r="I100" s="53" t="s">
        <v>522</v>
      </c>
    </row>
    <row r="101" spans="1:9" ht="30.75" customHeight="1">
      <c r="A101" s="58" t="s">
        <v>523</v>
      </c>
      <c r="B101" s="55" t="s">
        <v>524</v>
      </c>
      <c r="C101" s="56" t="str">
        <f>CONCATENATE(A101,B101)</f>
        <v>98　地方公務</v>
      </c>
      <c r="D101" s="59" t="s">
        <v>505</v>
      </c>
      <c r="E101" s="55" t="s">
        <v>524</v>
      </c>
      <c r="F101" s="55" t="str">
        <f>CONCATENATE(D101,E101)</f>
        <v>172300　地方公務</v>
      </c>
      <c r="G101" s="58" t="s">
        <v>525</v>
      </c>
      <c r="H101" s="55" t="str">
        <f>CONCATENATE(D101,I101)</f>
        <v>172300都道府県機関 </v>
      </c>
      <c r="I101" s="53" t="s">
        <v>526</v>
      </c>
    </row>
    <row r="102" spans="1:9" ht="30.75" customHeight="1">
      <c r="A102" s="58" t="s">
        <v>527</v>
      </c>
      <c r="B102" s="55" t="s">
        <v>528</v>
      </c>
      <c r="C102" s="56" t="str">
        <f>CONCATENATE(A102,B102)</f>
        <v>99分類不能の産業</v>
      </c>
      <c r="D102" s="59" t="s">
        <v>529</v>
      </c>
      <c r="E102" s="55" t="s">
        <v>528</v>
      </c>
      <c r="F102" s="55" t="str">
        <f>CONCATENATE(D102,E102)</f>
        <v>990000分類不能の産業</v>
      </c>
      <c r="G102" s="58" t="s">
        <v>530</v>
      </c>
      <c r="H102" s="55" t="str">
        <f>CONCATENATE(D102,I102)</f>
        <v>990000分類不能の産業 </v>
      </c>
      <c r="I102" s="53" t="s">
        <v>531</v>
      </c>
    </row>
  </sheetData>
  <sheetProtection sheet="1" objects="1" scenarios="1"/>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Sheet4">
    <tabColor rgb="FF92D050"/>
    <pageSetUpPr fitToPage="1"/>
  </sheetPr>
  <dimension ref="A2:U39"/>
  <sheetViews>
    <sheetView showGridLines="0" zoomScaleSheetLayoutView="80" zoomScalePageLayoutView="0" workbookViewId="0" topLeftCell="A1">
      <pane ySplit="3" topLeftCell="A4" activePane="bottomLeft" state="frozen"/>
      <selection pane="topLeft" activeCell="F7" sqref="F7"/>
      <selection pane="bottomLeft" activeCell="A1" sqref="A1"/>
    </sheetView>
  </sheetViews>
  <sheetFormatPr defaultColWidth="9.140625" defaultRowHeight="15"/>
  <cols>
    <col min="1" max="1" width="3.7109375" style="8" customWidth="1"/>
    <col min="2" max="4" width="3.7109375" style="3" customWidth="1"/>
    <col min="5" max="5" width="16.421875" style="343" customWidth="1"/>
    <col min="6" max="6" width="16.140625" style="327" customWidth="1"/>
    <col min="7" max="7" width="9.140625" style="74" customWidth="1"/>
    <col min="8" max="8" width="6.421875" style="8" customWidth="1"/>
    <col min="9" max="10" width="11.57421875" style="3" customWidth="1"/>
    <col min="11" max="13" width="15.140625" style="3" customWidth="1"/>
    <col min="14" max="15" width="3.8515625" style="8" customWidth="1"/>
    <col min="16" max="16" width="9.00390625" style="8" customWidth="1"/>
    <col min="17" max="19" width="15.140625" style="3" customWidth="1"/>
    <col min="20" max="16384" width="9.00390625" style="3" customWidth="1"/>
  </cols>
  <sheetData>
    <row r="1" ht="13.5"/>
    <row r="2" ht="13.5">
      <c r="B2" s="404" t="s">
        <v>724</v>
      </c>
    </row>
    <row r="3" ht="13.5"/>
    <row r="4" spans="1:6" ht="13.5" customHeight="1">
      <c r="A4" s="817" t="s">
        <v>18</v>
      </c>
      <c r="B4" s="817"/>
      <c r="C4" s="817"/>
      <c r="D4" s="817"/>
      <c r="E4" s="817"/>
      <c r="F4" s="8"/>
    </row>
    <row r="5" spans="1:14" ht="13.5" customHeight="1">
      <c r="A5" s="20"/>
      <c r="B5" s="20"/>
      <c r="C5" s="20"/>
      <c r="D5" s="20"/>
      <c r="E5" s="369"/>
      <c r="F5" s="8"/>
      <c r="N5" s="20"/>
    </row>
    <row r="6" spans="1:14" ht="13.5" customHeight="1">
      <c r="A6" s="20"/>
      <c r="B6" s="20" t="s">
        <v>44</v>
      </c>
      <c r="C6" s="345" t="s">
        <v>21</v>
      </c>
      <c r="D6" s="20"/>
      <c r="E6" s="369"/>
      <c r="F6" s="346" t="s">
        <v>17</v>
      </c>
      <c r="N6" s="20"/>
    </row>
    <row r="7" spans="1:14" ht="13.5" customHeight="1">
      <c r="A7" s="20"/>
      <c r="B7" s="20"/>
      <c r="C7" s="20"/>
      <c r="D7" s="20"/>
      <c r="E7" s="369"/>
      <c r="F7" s="403" t="s">
        <v>739</v>
      </c>
      <c r="N7" s="20"/>
    </row>
    <row r="8" spans="1:15" ht="13.5" customHeight="1">
      <c r="A8" s="20"/>
      <c r="B8" s="20"/>
      <c r="C8" s="20"/>
      <c r="D8" s="20"/>
      <c r="E8" s="369"/>
      <c r="F8" s="8"/>
      <c r="M8" s="3" t="s">
        <v>22</v>
      </c>
      <c r="N8" s="20"/>
      <c r="O8" s="347"/>
    </row>
    <row r="9" spans="1:14" ht="13.5" customHeight="1">
      <c r="A9" s="20"/>
      <c r="F9" s="8"/>
      <c r="K9" s="4" t="s">
        <v>39</v>
      </c>
      <c r="L9" s="12" t="str">
        <f>IF(OR('基本情報入力（使い方）'!C11="",'基本情報入力（使い方）'!C11=0),"",'基本情報入力（使い方）'!C11)</f>
        <v>Ｂ金属株式会社</v>
      </c>
      <c r="N9" s="20"/>
    </row>
    <row r="10" spans="1:14" ht="13.5" customHeight="1" thickBot="1">
      <c r="A10" s="20"/>
      <c r="F10" s="8"/>
      <c r="N10" s="20"/>
    </row>
    <row r="11" spans="1:19" ht="27" customHeight="1">
      <c r="A11" s="818" t="s">
        <v>2</v>
      </c>
      <c r="B11" s="807" t="s">
        <v>3</v>
      </c>
      <c r="C11" s="807"/>
      <c r="D11" s="808"/>
      <c r="E11" s="370" t="s">
        <v>4</v>
      </c>
      <c r="F11" s="5" t="s">
        <v>5</v>
      </c>
      <c r="G11" s="5" t="s">
        <v>6</v>
      </c>
      <c r="H11" s="330" t="s">
        <v>7</v>
      </c>
      <c r="I11" s="5" t="s">
        <v>0</v>
      </c>
      <c r="J11" s="5" t="s">
        <v>0</v>
      </c>
      <c r="K11" s="807" t="s">
        <v>8</v>
      </c>
      <c r="L11" s="808"/>
      <c r="M11" s="330" t="s">
        <v>676</v>
      </c>
      <c r="N11" s="809" t="s">
        <v>2</v>
      </c>
      <c r="O11" s="811" t="s">
        <v>43</v>
      </c>
      <c r="Q11" s="474" t="s">
        <v>744</v>
      </c>
      <c r="R11" s="799" t="s">
        <v>745</v>
      </c>
      <c r="S11" s="800"/>
    </row>
    <row r="12" spans="1:19" ht="42" customHeight="1" thickBot="1">
      <c r="A12" s="819"/>
      <c r="B12" s="350" t="s">
        <v>10</v>
      </c>
      <c r="C12" s="350" t="s">
        <v>11</v>
      </c>
      <c r="D12" s="351" t="s">
        <v>12</v>
      </c>
      <c r="E12" s="371"/>
      <c r="F12" s="353"/>
      <c r="G12" s="437"/>
      <c r="H12" s="6"/>
      <c r="I12" s="328" t="s">
        <v>13</v>
      </c>
      <c r="J12" s="328" t="s">
        <v>27</v>
      </c>
      <c r="K12" s="65" t="s">
        <v>14</v>
      </c>
      <c r="L12" s="6" t="s">
        <v>25</v>
      </c>
      <c r="M12" s="6" t="s">
        <v>15</v>
      </c>
      <c r="N12" s="810"/>
      <c r="O12" s="812"/>
      <c r="Q12" s="475" t="s">
        <v>746</v>
      </c>
      <c r="R12" s="476" t="s">
        <v>747</v>
      </c>
      <c r="S12" s="477" t="s">
        <v>748</v>
      </c>
    </row>
    <row r="13" spans="1:19" ht="30.75" customHeight="1">
      <c r="A13" s="457">
        <v>1</v>
      </c>
      <c r="B13" s="813">
        <v>42643</v>
      </c>
      <c r="C13" s="814"/>
      <c r="D13" s="814"/>
      <c r="E13" s="313" t="s">
        <v>685</v>
      </c>
      <c r="F13" s="313" t="s">
        <v>686</v>
      </c>
      <c r="G13" s="451">
        <v>1</v>
      </c>
      <c r="H13" s="438" t="s">
        <v>687</v>
      </c>
      <c r="I13" s="17">
        <f>IF(J13="","",ROUNDDOWN(J13*(1+O13/100),0))</f>
        <v>2159136</v>
      </c>
      <c r="J13" s="447">
        <v>1999200</v>
      </c>
      <c r="K13" s="17">
        <f>IF(L13="","",ROUNDDOWN(L13*(1+O13/100),0))</f>
        <v>2159136</v>
      </c>
      <c r="L13" s="17">
        <f>IF(OR(J13="",G13=""),"",ROUNDDOWN(J13*G13,0))</f>
        <v>1999200</v>
      </c>
      <c r="M13" s="18">
        <f>L13</f>
        <v>1999200</v>
      </c>
      <c r="N13" s="378">
        <f>IF(A13="","",A13)</f>
        <v>1</v>
      </c>
      <c r="O13" s="372">
        <v>8</v>
      </c>
      <c r="P13" s="3"/>
      <c r="Q13" s="478">
        <f>IF(M13="","",ROUNDDOWN(M13/G13*2/3,0)*G13)</f>
        <v>1332800</v>
      </c>
      <c r="R13" s="479">
        <f>IF(M13="","",ROUNDDOWN((Q13/$Q$33*$Q$36),0))</f>
        <v>1332800</v>
      </c>
      <c r="S13" s="480">
        <f>R13+Q37</f>
        <v>1332800</v>
      </c>
    </row>
    <row r="14" spans="1:19" ht="30.75" customHeight="1">
      <c r="A14" s="458"/>
      <c r="B14" s="815"/>
      <c r="C14" s="816"/>
      <c r="D14" s="816"/>
      <c r="E14" s="587" t="s">
        <v>809</v>
      </c>
      <c r="F14" s="315"/>
      <c r="G14" s="452"/>
      <c r="H14" s="439"/>
      <c r="I14" s="17">
        <f aca="true" t="shared" si="0" ref="I14:I32">IF(J14="","",ROUNDDOWN(J14*(1+O14/100),0))</f>
      </c>
      <c r="J14" s="447"/>
      <c r="K14" s="17">
        <f aca="true" t="shared" si="1" ref="K14:K32">IF(L14="","",ROUNDDOWN(L14*(1+O14/100),0))</f>
      </c>
      <c r="L14" s="17">
        <f aca="true" t="shared" si="2" ref="L14:L32">IF(OR(J14="",G14=""),"",ROUNDDOWN(J14*G14,0))</f>
      </c>
      <c r="M14" s="18">
        <f aca="true" t="shared" si="3" ref="M14:M32">L14</f>
      </c>
      <c r="N14" s="378">
        <f aca="true" t="shared" si="4" ref="N14:N32">IF(A14="","",A14)</f>
      </c>
      <c r="O14" s="372">
        <v>8</v>
      </c>
      <c r="Q14" s="399">
        <f>IF(M14="","",ROUNDDOWN(M14/G14*2/3,0)*G14)</f>
      </c>
      <c r="R14" s="479">
        <f>IF(M14="","",ROUNDDOWN((Q14/$Q$33*$Q$36),0))</f>
      </c>
      <c r="S14" s="481">
        <f>R14</f>
      </c>
    </row>
    <row r="15" spans="1:19" ht="30.75" customHeight="1">
      <c r="A15" s="457"/>
      <c r="B15" s="805"/>
      <c r="C15" s="806"/>
      <c r="D15" s="806"/>
      <c r="E15" s="315"/>
      <c r="F15" s="315"/>
      <c r="G15" s="452"/>
      <c r="H15" s="441"/>
      <c r="I15" s="17">
        <f t="shared" si="0"/>
      </c>
      <c r="J15" s="321"/>
      <c r="K15" s="17">
        <f t="shared" si="1"/>
      </c>
      <c r="L15" s="17">
        <f t="shared" si="2"/>
      </c>
      <c r="M15" s="18">
        <f t="shared" si="3"/>
      </c>
      <c r="N15" s="378">
        <f t="shared" si="4"/>
      </c>
      <c r="O15" s="372">
        <v>8</v>
      </c>
      <c r="P15" s="344"/>
      <c r="Q15" s="399">
        <f>IF(M15="","",ROUNDDOWN(M15/G15*2/3,0)*G15)</f>
      </c>
      <c r="R15" s="479">
        <f aca="true" t="shared" si="5" ref="R15:R32">IF(M15="","",ROUNDDOWN((Q15/$Q$33*$Q$36),0))</f>
      </c>
      <c r="S15" s="481">
        <f aca="true" t="shared" si="6" ref="S15:S32">R15</f>
      </c>
    </row>
    <row r="16" spans="1:19" s="19" customFormat="1" ht="30.75" customHeight="1">
      <c r="A16" s="458"/>
      <c r="B16" s="805"/>
      <c r="C16" s="806"/>
      <c r="D16" s="806"/>
      <c r="E16" s="315"/>
      <c r="F16" s="315"/>
      <c r="G16" s="452"/>
      <c r="H16" s="441"/>
      <c r="I16" s="17">
        <f t="shared" si="0"/>
      </c>
      <c r="J16" s="321"/>
      <c r="K16" s="17">
        <f t="shared" si="1"/>
      </c>
      <c r="L16" s="17">
        <f t="shared" si="2"/>
      </c>
      <c r="M16" s="18">
        <f t="shared" si="3"/>
      </c>
      <c r="N16" s="378">
        <f t="shared" si="4"/>
      </c>
      <c r="O16" s="372">
        <v>8</v>
      </c>
      <c r="P16" s="344"/>
      <c r="Q16" s="399">
        <f>IF(M16="","",ROUNDDOWN(M16/G16*2/3,0)*G16)</f>
      </c>
      <c r="R16" s="479">
        <f t="shared" si="5"/>
      </c>
      <c r="S16" s="481">
        <f t="shared" si="6"/>
      </c>
    </row>
    <row r="17" spans="1:19" ht="30.75" customHeight="1">
      <c r="A17" s="457"/>
      <c r="B17" s="805"/>
      <c r="C17" s="806"/>
      <c r="D17" s="806"/>
      <c r="E17" s="315"/>
      <c r="F17" s="315"/>
      <c r="G17" s="452"/>
      <c r="H17" s="441"/>
      <c r="I17" s="17">
        <f t="shared" si="0"/>
      </c>
      <c r="J17" s="321"/>
      <c r="K17" s="17">
        <f t="shared" si="1"/>
      </c>
      <c r="L17" s="17">
        <f t="shared" si="2"/>
      </c>
      <c r="M17" s="18">
        <f t="shared" si="3"/>
      </c>
      <c r="N17" s="378">
        <f t="shared" si="4"/>
      </c>
      <c r="O17" s="372">
        <v>8</v>
      </c>
      <c r="P17" s="344"/>
      <c r="Q17" s="399">
        <f aca="true" t="shared" si="7" ref="Q17:Q32">IF(M17="","",ROUNDDOWN(M17/G17*2/3,0)*G17)</f>
      </c>
      <c r="R17" s="479">
        <f t="shared" si="5"/>
      </c>
      <c r="S17" s="481">
        <f t="shared" si="6"/>
      </c>
    </row>
    <row r="18" spans="1:19" ht="30.75" customHeight="1">
      <c r="A18" s="458"/>
      <c r="B18" s="805"/>
      <c r="C18" s="806"/>
      <c r="D18" s="806"/>
      <c r="E18" s="315"/>
      <c r="F18" s="315"/>
      <c r="G18" s="452"/>
      <c r="H18" s="441"/>
      <c r="I18" s="17">
        <f t="shared" si="0"/>
      </c>
      <c r="J18" s="321"/>
      <c r="K18" s="17">
        <f t="shared" si="1"/>
      </c>
      <c r="L18" s="17">
        <f t="shared" si="2"/>
      </c>
      <c r="M18" s="18">
        <f t="shared" si="3"/>
      </c>
      <c r="N18" s="378">
        <f t="shared" si="4"/>
      </c>
      <c r="O18" s="372">
        <v>8</v>
      </c>
      <c r="P18" s="344"/>
      <c r="Q18" s="399">
        <f t="shared" si="7"/>
      </c>
      <c r="R18" s="479">
        <f t="shared" si="5"/>
      </c>
      <c r="S18" s="481">
        <f t="shared" si="6"/>
      </c>
    </row>
    <row r="19" spans="1:19" ht="30.75" customHeight="1">
      <c r="A19" s="457"/>
      <c r="B19" s="805"/>
      <c r="C19" s="806"/>
      <c r="D19" s="806"/>
      <c r="E19" s="315"/>
      <c r="F19" s="356"/>
      <c r="G19" s="452"/>
      <c r="H19" s="441"/>
      <c r="I19" s="17">
        <f t="shared" si="0"/>
      </c>
      <c r="J19" s="321"/>
      <c r="K19" s="17">
        <f t="shared" si="1"/>
      </c>
      <c r="L19" s="17">
        <f t="shared" si="2"/>
      </c>
      <c r="M19" s="18">
        <f t="shared" si="3"/>
      </c>
      <c r="N19" s="378">
        <f t="shared" si="4"/>
      </c>
      <c r="O19" s="372">
        <v>8</v>
      </c>
      <c r="P19" s="344"/>
      <c r="Q19" s="399">
        <f t="shared" si="7"/>
      </c>
      <c r="R19" s="479">
        <f t="shared" si="5"/>
      </c>
      <c r="S19" s="481">
        <f t="shared" si="6"/>
      </c>
    </row>
    <row r="20" spans="1:19" s="19" customFormat="1" ht="30.75" customHeight="1">
      <c r="A20" s="458"/>
      <c r="B20" s="805"/>
      <c r="C20" s="806"/>
      <c r="D20" s="806"/>
      <c r="E20" s="315"/>
      <c r="F20" s="315"/>
      <c r="G20" s="452"/>
      <c r="H20" s="441"/>
      <c r="I20" s="17">
        <f t="shared" si="0"/>
      </c>
      <c r="J20" s="321"/>
      <c r="K20" s="17">
        <f t="shared" si="1"/>
      </c>
      <c r="L20" s="17">
        <f t="shared" si="2"/>
      </c>
      <c r="M20" s="18">
        <f t="shared" si="3"/>
      </c>
      <c r="N20" s="380">
        <f t="shared" si="4"/>
      </c>
      <c r="O20" s="372">
        <v>8</v>
      </c>
      <c r="P20" s="381"/>
      <c r="Q20" s="399">
        <f t="shared" si="7"/>
      </c>
      <c r="R20" s="479">
        <f t="shared" si="5"/>
      </c>
      <c r="S20" s="481">
        <f t="shared" si="6"/>
      </c>
    </row>
    <row r="21" spans="1:19" ht="30.75" customHeight="1">
      <c r="A21" s="457"/>
      <c r="B21" s="805"/>
      <c r="C21" s="806"/>
      <c r="D21" s="806"/>
      <c r="E21" s="315"/>
      <c r="F21" s="315"/>
      <c r="G21" s="452"/>
      <c r="H21" s="441"/>
      <c r="I21" s="17">
        <f t="shared" si="0"/>
      </c>
      <c r="J21" s="321"/>
      <c r="K21" s="17">
        <f t="shared" si="1"/>
      </c>
      <c r="L21" s="17">
        <f t="shared" si="2"/>
      </c>
      <c r="M21" s="18">
        <f t="shared" si="3"/>
      </c>
      <c r="N21" s="378">
        <f t="shared" si="4"/>
      </c>
      <c r="O21" s="372">
        <v>8</v>
      </c>
      <c r="Q21" s="399">
        <f t="shared" si="7"/>
      </c>
      <c r="R21" s="479">
        <f t="shared" si="5"/>
      </c>
      <c r="S21" s="481">
        <f t="shared" si="6"/>
      </c>
    </row>
    <row r="22" spans="1:19" ht="30.75" customHeight="1">
      <c r="A22" s="458"/>
      <c r="B22" s="805"/>
      <c r="C22" s="806"/>
      <c r="D22" s="806"/>
      <c r="E22" s="315"/>
      <c r="F22" s="315"/>
      <c r="G22" s="452"/>
      <c r="H22" s="441"/>
      <c r="I22" s="17">
        <f t="shared" si="0"/>
      </c>
      <c r="J22" s="321"/>
      <c r="K22" s="17">
        <f t="shared" si="1"/>
      </c>
      <c r="L22" s="17">
        <f t="shared" si="2"/>
      </c>
      <c r="M22" s="18">
        <f t="shared" si="3"/>
      </c>
      <c r="N22" s="378">
        <f t="shared" si="4"/>
      </c>
      <c r="O22" s="372">
        <v>8</v>
      </c>
      <c r="Q22" s="399">
        <f t="shared" si="7"/>
      </c>
      <c r="R22" s="479">
        <f t="shared" si="5"/>
      </c>
      <c r="S22" s="481">
        <f t="shared" si="6"/>
      </c>
    </row>
    <row r="23" spans="1:19" ht="30.75" customHeight="1">
      <c r="A23" s="457"/>
      <c r="B23" s="805"/>
      <c r="C23" s="806"/>
      <c r="D23" s="806"/>
      <c r="E23" s="315"/>
      <c r="F23" s="315"/>
      <c r="G23" s="452"/>
      <c r="H23" s="441"/>
      <c r="I23" s="17">
        <f t="shared" si="0"/>
      </c>
      <c r="J23" s="321"/>
      <c r="K23" s="17">
        <f t="shared" si="1"/>
      </c>
      <c r="L23" s="17">
        <f t="shared" si="2"/>
      </c>
      <c r="M23" s="18">
        <f t="shared" si="3"/>
      </c>
      <c r="N23" s="378">
        <f t="shared" si="4"/>
      </c>
      <c r="O23" s="372">
        <v>8</v>
      </c>
      <c r="Q23" s="399">
        <f t="shared" si="7"/>
      </c>
      <c r="R23" s="479">
        <f t="shared" si="5"/>
      </c>
      <c r="S23" s="481">
        <f t="shared" si="6"/>
      </c>
    </row>
    <row r="24" spans="1:19" ht="30.75" customHeight="1">
      <c r="A24" s="458"/>
      <c r="B24" s="805"/>
      <c r="C24" s="806"/>
      <c r="D24" s="806"/>
      <c r="E24" s="315"/>
      <c r="F24" s="315"/>
      <c r="G24" s="452"/>
      <c r="H24" s="441"/>
      <c r="I24" s="17">
        <f t="shared" si="0"/>
      </c>
      <c r="J24" s="321"/>
      <c r="K24" s="17">
        <f t="shared" si="1"/>
      </c>
      <c r="L24" s="17">
        <f t="shared" si="2"/>
      </c>
      <c r="M24" s="18">
        <f t="shared" si="3"/>
      </c>
      <c r="N24" s="378">
        <f t="shared" si="4"/>
      </c>
      <c r="O24" s="372">
        <v>8</v>
      </c>
      <c r="Q24" s="399">
        <f t="shared" si="7"/>
      </c>
      <c r="R24" s="479">
        <f t="shared" si="5"/>
      </c>
      <c r="S24" s="481">
        <f t="shared" si="6"/>
      </c>
    </row>
    <row r="25" spans="1:19" ht="30.75" customHeight="1">
      <c r="A25" s="457"/>
      <c r="B25" s="805"/>
      <c r="C25" s="806"/>
      <c r="D25" s="806"/>
      <c r="E25" s="315"/>
      <c r="F25" s="315"/>
      <c r="G25" s="452"/>
      <c r="H25" s="441"/>
      <c r="I25" s="17">
        <f t="shared" si="0"/>
      </c>
      <c r="J25" s="321"/>
      <c r="K25" s="17">
        <f t="shared" si="1"/>
      </c>
      <c r="L25" s="17">
        <f t="shared" si="2"/>
      </c>
      <c r="M25" s="18">
        <f t="shared" si="3"/>
      </c>
      <c r="N25" s="378">
        <f t="shared" si="4"/>
      </c>
      <c r="O25" s="372">
        <v>8</v>
      </c>
      <c r="Q25" s="399">
        <f t="shared" si="7"/>
      </c>
      <c r="R25" s="479">
        <f t="shared" si="5"/>
      </c>
      <c r="S25" s="481">
        <f t="shared" si="6"/>
      </c>
    </row>
    <row r="26" spans="1:19" ht="30.75" customHeight="1">
      <c r="A26" s="458"/>
      <c r="B26" s="805"/>
      <c r="C26" s="806"/>
      <c r="D26" s="806"/>
      <c r="E26" s="316"/>
      <c r="F26" s="315"/>
      <c r="G26" s="452"/>
      <c r="H26" s="441"/>
      <c r="I26" s="17">
        <f t="shared" si="0"/>
      </c>
      <c r="J26" s="321"/>
      <c r="K26" s="17">
        <f t="shared" si="1"/>
      </c>
      <c r="L26" s="17">
        <f t="shared" si="2"/>
      </c>
      <c r="M26" s="18">
        <f t="shared" si="3"/>
      </c>
      <c r="N26" s="378">
        <f t="shared" si="4"/>
      </c>
      <c r="O26" s="372">
        <v>8</v>
      </c>
      <c r="Q26" s="399">
        <f t="shared" si="7"/>
      </c>
      <c r="R26" s="479">
        <f t="shared" si="5"/>
      </c>
      <c r="S26" s="481">
        <f t="shared" si="6"/>
      </c>
    </row>
    <row r="27" spans="1:19" ht="30.75" customHeight="1">
      <c r="A27" s="457"/>
      <c r="B27" s="805"/>
      <c r="C27" s="806"/>
      <c r="D27" s="806"/>
      <c r="E27" s="316"/>
      <c r="F27" s="315"/>
      <c r="G27" s="452"/>
      <c r="H27" s="441"/>
      <c r="I27" s="17">
        <f t="shared" si="0"/>
      </c>
      <c r="J27" s="321"/>
      <c r="K27" s="17">
        <f t="shared" si="1"/>
      </c>
      <c r="L27" s="17">
        <f t="shared" si="2"/>
      </c>
      <c r="M27" s="18">
        <f t="shared" si="3"/>
      </c>
      <c r="N27" s="378">
        <f t="shared" si="4"/>
      </c>
      <c r="O27" s="372">
        <v>8</v>
      </c>
      <c r="Q27" s="399">
        <f t="shared" si="7"/>
      </c>
      <c r="R27" s="479">
        <f t="shared" si="5"/>
      </c>
      <c r="S27" s="481">
        <f t="shared" si="6"/>
      </c>
    </row>
    <row r="28" spans="1:19" ht="30.75" customHeight="1">
      <c r="A28" s="458"/>
      <c r="B28" s="805"/>
      <c r="C28" s="806"/>
      <c r="D28" s="806"/>
      <c r="E28" s="315"/>
      <c r="F28" s="315"/>
      <c r="G28" s="452"/>
      <c r="H28" s="441"/>
      <c r="I28" s="17">
        <f t="shared" si="0"/>
      </c>
      <c r="J28" s="321"/>
      <c r="K28" s="17">
        <f t="shared" si="1"/>
      </c>
      <c r="L28" s="17">
        <f t="shared" si="2"/>
      </c>
      <c r="M28" s="18">
        <f t="shared" si="3"/>
      </c>
      <c r="N28" s="378">
        <f t="shared" si="4"/>
      </c>
      <c r="O28" s="372">
        <v>8</v>
      </c>
      <c r="Q28" s="399">
        <f t="shared" si="7"/>
      </c>
      <c r="R28" s="479">
        <f t="shared" si="5"/>
      </c>
      <c r="S28" s="481">
        <f t="shared" si="6"/>
      </c>
    </row>
    <row r="29" spans="1:19" ht="30.75" customHeight="1">
      <c r="A29" s="457"/>
      <c r="B29" s="805"/>
      <c r="C29" s="806"/>
      <c r="D29" s="806"/>
      <c r="E29" s="315"/>
      <c r="F29" s="315"/>
      <c r="G29" s="452"/>
      <c r="H29" s="441"/>
      <c r="I29" s="17">
        <f t="shared" si="0"/>
      </c>
      <c r="J29" s="321"/>
      <c r="K29" s="17">
        <f t="shared" si="1"/>
      </c>
      <c r="L29" s="17">
        <f t="shared" si="2"/>
      </c>
      <c r="M29" s="18">
        <f t="shared" si="3"/>
      </c>
      <c r="N29" s="378">
        <f t="shared" si="4"/>
      </c>
      <c r="O29" s="372">
        <v>8</v>
      </c>
      <c r="Q29" s="399">
        <f t="shared" si="7"/>
      </c>
      <c r="R29" s="479">
        <f t="shared" si="5"/>
      </c>
      <c r="S29" s="481">
        <f t="shared" si="6"/>
      </c>
    </row>
    <row r="30" spans="1:19" ht="30.75" customHeight="1">
      <c r="A30" s="458"/>
      <c r="B30" s="805"/>
      <c r="C30" s="806"/>
      <c r="D30" s="806"/>
      <c r="E30" s="315"/>
      <c r="F30" s="315"/>
      <c r="G30" s="452"/>
      <c r="H30" s="441"/>
      <c r="I30" s="17">
        <f t="shared" si="0"/>
      </c>
      <c r="J30" s="321"/>
      <c r="K30" s="17">
        <f t="shared" si="1"/>
      </c>
      <c r="L30" s="17">
        <f t="shared" si="2"/>
      </c>
      <c r="M30" s="18">
        <f t="shared" si="3"/>
      </c>
      <c r="N30" s="378">
        <f t="shared" si="4"/>
      </c>
      <c r="O30" s="372">
        <v>8</v>
      </c>
      <c r="Q30" s="399">
        <f t="shared" si="7"/>
      </c>
      <c r="R30" s="479">
        <f t="shared" si="5"/>
      </c>
      <c r="S30" s="481">
        <f t="shared" si="6"/>
      </c>
    </row>
    <row r="31" spans="1:19" ht="30.75" customHeight="1">
      <c r="A31" s="457"/>
      <c r="B31" s="805"/>
      <c r="C31" s="806"/>
      <c r="D31" s="806"/>
      <c r="E31" s="316"/>
      <c r="F31" s="315"/>
      <c r="G31" s="452"/>
      <c r="H31" s="441"/>
      <c r="I31" s="17">
        <f t="shared" si="0"/>
      </c>
      <c r="J31" s="321"/>
      <c r="K31" s="17">
        <f t="shared" si="1"/>
      </c>
      <c r="L31" s="17">
        <f t="shared" si="2"/>
      </c>
      <c r="M31" s="18">
        <f t="shared" si="3"/>
      </c>
      <c r="N31" s="378">
        <f t="shared" si="4"/>
      </c>
      <c r="O31" s="372">
        <v>8</v>
      </c>
      <c r="Q31" s="399">
        <f t="shared" si="7"/>
      </c>
      <c r="R31" s="479">
        <f t="shared" si="5"/>
      </c>
      <c r="S31" s="481">
        <f t="shared" si="6"/>
      </c>
    </row>
    <row r="32" spans="1:19" ht="30.75" customHeight="1" thickBot="1">
      <c r="A32" s="459"/>
      <c r="B32" s="824"/>
      <c r="C32" s="825"/>
      <c r="D32" s="825"/>
      <c r="E32" s="323"/>
      <c r="F32" s="323"/>
      <c r="G32" s="452"/>
      <c r="H32" s="442"/>
      <c r="I32" s="43">
        <f t="shared" si="0"/>
      </c>
      <c r="J32" s="320"/>
      <c r="K32" s="42">
        <f t="shared" si="1"/>
      </c>
      <c r="L32" s="42">
        <f t="shared" si="2"/>
      </c>
      <c r="M32" s="43">
        <f t="shared" si="3"/>
      </c>
      <c r="N32" s="382">
        <f t="shared" si="4"/>
      </c>
      <c r="O32" s="373">
        <v>8</v>
      </c>
      <c r="Q32" s="473">
        <f t="shared" si="7"/>
      </c>
      <c r="R32" s="482">
        <f t="shared" si="5"/>
      </c>
      <c r="S32" s="483">
        <f t="shared" si="6"/>
      </c>
    </row>
    <row r="33" spans="1:19" ht="21" customHeight="1" thickBot="1">
      <c r="A33" s="822" t="s">
        <v>16</v>
      </c>
      <c r="B33" s="823"/>
      <c r="C33" s="823"/>
      <c r="D33" s="823"/>
      <c r="E33" s="823"/>
      <c r="F33" s="823"/>
      <c r="G33" s="823"/>
      <c r="H33" s="823"/>
      <c r="I33" s="823"/>
      <c r="J33" s="329"/>
      <c r="K33" s="64">
        <f>SUM(K13:K32)</f>
        <v>2159136</v>
      </c>
      <c r="L33" s="64">
        <f>SUM(L13:L32)</f>
        <v>1999200</v>
      </c>
      <c r="M33" s="66">
        <f>SUM(M13:M32)</f>
        <v>1999200</v>
      </c>
      <c r="N33" s="23"/>
      <c r="P33" s="4" t="s">
        <v>33</v>
      </c>
      <c r="Q33" s="472">
        <f>SUM(Q13:Q32)</f>
        <v>1332800</v>
      </c>
      <c r="R33" s="484">
        <f>SUM(R13:R32)</f>
        <v>1332800</v>
      </c>
      <c r="S33" s="485">
        <f>SUM(S13:S32)</f>
        <v>1332800</v>
      </c>
    </row>
    <row r="34" spans="1:19" ht="23.25" customHeight="1" thickBot="1">
      <c r="A34" s="20"/>
      <c r="N34" s="20"/>
      <c r="P34" s="4" t="s">
        <v>734</v>
      </c>
      <c r="Q34" s="803">
        <f>経費明細表!補助上限額</f>
        <v>5000000</v>
      </c>
      <c r="R34" s="804"/>
      <c r="S34" s="400"/>
    </row>
    <row r="35" spans="2:21" ht="23.25" customHeight="1" thickBot="1">
      <c r="B35" s="3" t="s">
        <v>838</v>
      </c>
      <c r="D35" s="348"/>
      <c r="E35" s="327"/>
      <c r="H35" s="3"/>
      <c r="M35" s="359"/>
      <c r="N35" s="20"/>
      <c r="P35" s="454" t="s">
        <v>738</v>
      </c>
      <c r="Q35" s="803">
        <f>'経費明細表'!I19</f>
        <v>1333333</v>
      </c>
      <c r="R35" s="804"/>
      <c r="S35" s="400"/>
      <c r="T35" s="327"/>
      <c r="U35" s="327"/>
    </row>
    <row r="36" spans="1:19" s="327" customFormat="1" ht="23.25" customHeight="1" thickBot="1">
      <c r="A36" s="8"/>
      <c r="B36" s="3" t="s">
        <v>839</v>
      </c>
      <c r="C36" s="3"/>
      <c r="D36" s="3"/>
      <c r="G36" s="74"/>
      <c r="H36" s="3"/>
      <c r="I36" s="3"/>
      <c r="J36" s="3"/>
      <c r="K36" s="3"/>
      <c r="L36" s="3"/>
      <c r="N36" s="24"/>
      <c r="O36" s="8"/>
      <c r="P36" s="454" t="s">
        <v>749</v>
      </c>
      <c r="Q36" s="820">
        <f>'経費明細表'!Z54</f>
        <v>1332800</v>
      </c>
      <c r="R36" s="821"/>
      <c r="S36" s="400"/>
    </row>
    <row r="37" spans="1:19" s="327" customFormat="1" ht="23.25" customHeight="1" thickBot="1">
      <c r="A37" s="8"/>
      <c r="B37" s="3" t="s">
        <v>840</v>
      </c>
      <c r="C37" s="3"/>
      <c r="D37" s="3"/>
      <c r="G37" s="74"/>
      <c r="H37" s="3"/>
      <c r="I37" s="3"/>
      <c r="J37" s="3"/>
      <c r="K37" s="3"/>
      <c r="L37" s="3"/>
      <c r="M37" s="359"/>
      <c r="N37" s="8"/>
      <c r="O37" s="8"/>
      <c r="P37" s="454" t="s">
        <v>743</v>
      </c>
      <c r="Q37" s="801">
        <f>Q36-R33</f>
        <v>0</v>
      </c>
      <c r="R37" s="802"/>
      <c r="S37" s="400"/>
    </row>
    <row r="38" spans="1:21" s="327" customFormat="1" ht="23.25" customHeight="1">
      <c r="A38" s="8"/>
      <c r="B38" s="3" t="s">
        <v>841</v>
      </c>
      <c r="C38" s="3"/>
      <c r="D38" s="3"/>
      <c r="G38" s="74"/>
      <c r="H38" s="3"/>
      <c r="I38" s="3"/>
      <c r="J38" s="3"/>
      <c r="K38" s="3"/>
      <c r="L38" s="3"/>
      <c r="M38" s="359"/>
      <c r="N38" s="8"/>
      <c r="O38" s="8"/>
      <c r="P38" s="8"/>
      <c r="Q38" s="16"/>
      <c r="R38" s="3"/>
      <c r="S38" s="3"/>
      <c r="T38" s="3"/>
      <c r="U38" s="3"/>
    </row>
    <row r="39" ht="13.5">
      <c r="M39" s="16"/>
    </row>
  </sheetData>
  <sheetProtection sheet="1" objects="1" scenarios="1"/>
  <mergeCells count="32">
    <mergeCell ref="Q36:R36"/>
    <mergeCell ref="Q35:R35"/>
    <mergeCell ref="A33:I33"/>
    <mergeCell ref="B29:D29"/>
    <mergeCell ref="B30:D30"/>
    <mergeCell ref="B20:D20"/>
    <mergeCell ref="B21:D21"/>
    <mergeCell ref="B27:D27"/>
    <mergeCell ref="B28:D28"/>
    <mergeCell ref="B32:D32"/>
    <mergeCell ref="B22:D22"/>
    <mergeCell ref="B23:D23"/>
    <mergeCell ref="B24:D24"/>
    <mergeCell ref="B25:D25"/>
    <mergeCell ref="B26:D26"/>
    <mergeCell ref="B19:D19"/>
    <mergeCell ref="A4:E4"/>
    <mergeCell ref="A11:A12"/>
    <mergeCell ref="B11:D11"/>
    <mergeCell ref="B15:D15"/>
    <mergeCell ref="B16:D16"/>
    <mergeCell ref="B17:D17"/>
    <mergeCell ref="R11:S11"/>
    <mergeCell ref="Q37:R37"/>
    <mergeCell ref="Q34:R34"/>
    <mergeCell ref="B31:D31"/>
    <mergeCell ref="K11:L11"/>
    <mergeCell ref="N11:N12"/>
    <mergeCell ref="O11:O12"/>
    <mergeCell ref="B13:D13"/>
    <mergeCell ref="B14:D14"/>
    <mergeCell ref="B18:D18"/>
  </mergeCells>
  <dataValidations count="4">
    <dataValidation allowBlank="1" showInputMessage="1" showErrorMessage="1" imeMode="halfAlpha" sqref="I13:M32 R13:S13 Q13:Q32 R14:R32"/>
    <dataValidation type="list" allowBlank="1" showInputMessage="1" showErrorMessage="1" sqref="P18:P19 P15:P16">
      <formula1>$Q$12:$Q$14</formula1>
    </dataValidation>
    <dataValidation type="list" allowBlank="1" showInputMessage="1" showErrorMessage="1" sqref="P20:P32">
      <formula1>$Q$12:$Q$13</formula1>
    </dataValidation>
    <dataValidation allowBlank="1" showInputMessage="1" showErrorMessage="1" imeMode="hiragana" sqref="L9"/>
  </dataValidations>
  <hyperlinks>
    <hyperlink ref="B2" location="経費明細表!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62" r:id="rId3"/>
  <legacyDrawing r:id="rId2"/>
</worksheet>
</file>

<file path=xl/worksheets/sheet7.xml><?xml version="1.0" encoding="utf-8"?>
<worksheet xmlns="http://schemas.openxmlformats.org/spreadsheetml/2006/main" xmlns:r="http://schemas.openxmlformats.org/officeDocument/2006/relationships">
  <sheetPr codeName="Sheet29">
    <tabColor rgb="FF92D050"/>
    <pageSetUpPr fitToPage="1"/>
  </sheetPr>
  <dimension ref="A2:S39"/>
  <sheetViews>
    <sheetView showGridLines="0" zoomScaleSheetLayoutView="80" zoomScalePageLayoutView="0" workbookViewId="0" topLeftCell="A1">
      <pane ySplit="3" topLeftCell="A4" activePane="bottomLeft" state="frozen"/>
      <selection pane="topLeft" activeCell="G13" sqref="G13:G32"/>
      <selection pane="bottomLeft" activeCell="A1" sqref="A1"/>
    </sheetView>
  </sheetViews>
  <sheetFormatPr defaultColWidth="9.140625" defaultRowHeight="15"/>
  <cols>
    <col min="1" max="1" width="3.7109375" style="8" customWidth="1"/>
    <col min="2" max="4" width="3.7109375" style="3" customWidth="1"/>
    <col min="5" max="5" width="16.421875" style="343" customWidth="1"/>
    <col min="6" max="6" width="16.140625" style="327" customWidth="1"/>
    <col min="7" max="7" width="9.140625" style="3" customWidth="1"/>
    <col min="8" max="8" width="6.421875" style="8" customWidth="1"/>
    <col min="9" max="10" width="11.57421875" style="3" customWidth="1"/>
    <col min="11" max="13" width="15.140625" style="3" customWidth="1"/>
    <col min="14" max="15" width="3.8515625" style="8" customWidth="1"/>
    <col min="16" max="16" width="9.00390625" style="8" customWidth="1"/>
    <col min="17" max="17" width="15.140625" style="3" customWidth="1"/>
    <col min="18" max="16384" width="9.00390625" style="3" customWidth="1"/>
  </cols>
  <sheetData>
    <row r="1" ht="13.5"/>
    <row r="2" ht="13.5">
      <c r="B2" s="404" t="s">
        <v>724</v>
      </c>
    </row>
    <row r="3" ht="13.5"/>
    <row r="4" spans="1:6" ht="13.5" customHeight="1">
      <c r="A4" s="817" t="s">
        <v>18</v>
      </c>
      <c r="B4" s="817"/>
      <c r="C4" s="817"/>
      <c r="D4" s="817"/>
      <c r="E4" s="817"/>
      <c r="F4" s="8"/>
    </row>
    <row r="5" spans="1:14" ht="13.5" customHeight="1">
      <c r="A5" s="20"/>
      <c r="B5" s="20"/>
      <c r="C5" s="20"/>
      <c r="D5" s="20"/>
      <c r="E5" s="369"/>
      <c r="F5" s="8"/>
      <c r="N5" s="20"/>
    </row>
    <row r="6" spans="1:14" ht="13.5" customHeight="1">
      <c r="A6" s="20"/>
      <c r="B6" s="20" t="s">
        <v>19</v>
      </c>
      <c r="C6" s="345" t="s">
        <v>21</v>
      </c>
      <c r="D6" s="20"/>
      <c r="E6" s="369"/>
      <c r="F6" s="346" t="s">
        <v>17</v>
      </c>
      <c r="N6" s="20"/>
    </row>
    <row r="7" spans="1:14" ht="13.5" customHeight="1">
      <c r="A7" s="20"/>
      <c r="B7" s="20"/>
      <c r="C7" s="20"/>
      <c r="D7" s="20"/>
      <c r="E7" s="369"/>
      <c r="F7" s="403" t="s">
        <v>740</v>
      </c>
      <c r="N7" s="20"/>
    </row>
    <row r="8" spans="1:15" ht="13.5" customHeight="1">
      <c r="A8" s="20"/>
      <c r="B8" s="20"/>
      <c r="C8" s="20"/>
      <c r="D8" s="20"/>
      <c r="E8" s="369"/>
      <c r="F8" s="8"/>
      <c r="M8" s="3" t="s">
        <v>22</v>
      </c>
      <c r="N8" s="20"/>
      <c r="O8" s="347"/>
    </row>
    <row r="9" spans="1:14" ht="13.5" customHeight="1">
      <c r="A9" s="20"/>
      <c r="F9" s="8"/>
      <c r="K9" s="4" t="s">
        <v>39</v>
      </c>
      <c r="L9" s="12" t="str">
        <f>IF(OR('基本情報入力（使い方）'!C11="",'基本情報入力（使い方）'!C11=0),"",'基本情報入力（使い方）'!C11)</f>
        <v>Ｂ金属株式会社</v>
      </c>
      <c r="N9" s="20"/>
    </row>
    <row r="10" spans="1:14" ht="13.5" customHeight="1" thickBot="1">
      <c r="A10" s="20"/>
      <c r="F10" s="8"/>
      <c r="N10" s="20"/>
    </row>
    <row r="11" spans="1:17" ht="27" customHeight="1">
      <c r="A11" s="818" t="s">
        <v>2</v>
      </c>
      <c r="B11" s="807" t="s">
        <v>3</v>
      </c>
      <c r="C11" s="807"/>
      <c r="D11" s="808"/>
      <c r="E11" s="370" t="s">
        <v>4</v>
      </c>
      <c r="F11" s="5" t="s">
        <v>5</v>
      </c>
      <c r="G11" s="5" t="s">
        <v>6</v>
      </c>
      <c r="H11" s="330" t="s">
        <v>7</v>
      </c>
      <c r="I11" s="5" t="s">
        <v>0</v>
      </c>
      <c r="J11" s="5" t="s">
        <v>0</v>
      </c>
      <c r="K11" s="807" t="s">
        <v>8</v>
      </c>
      <c r="L11" s="808"/>
      <c r="M11" s="330" t="s">
        <v>9</v>
      </c>
      <c r="N11" s="809" t="s">
        <v>2</v>
      </c>
      <c r="O11" s="811" t="s">
        <v>43</v>
      </c>
      <c r="Q11" s="431" t="s">
        <v>677</v>
      </c>
    </row>
    <row r="12" spans="1:17" ht="42" customHeight="1" thickBot="1">
      <c r="A12" s="819"/>
      <c r="B12" s="350" t="s">
        <v>10</v>
      </c>
      <c r="C12" s="350" t="s">
        <v>11</v>
      </c>
      <c r="D12" s="351" t="s">
        <v>12</v>
      </c>
      <c r="E12" s="371"/>
      <c r="F12" s="353"/>
      <c r="G12" s="328"/>
      <c r="H12" s="6"/>
      <c r="I12" s="328" t="s">
        <v>13</v>
      </c>
      <c r="J12" s="328" t="s">
        <v>27</v>
      </c>
      <c r="K12" s="65" t="s">
        <v>14</v>
      </c>
      <c r="L12" s="6" t="s">
        <v>25</v>
      </c>
      <c r="M12" s="6" t="s">
        <v>15</v>
      </c>
      <c r="N12" s="810"/>
      <c r="O12" s="812"/>
      <c r="Q12" s="398" t="s">
        <v>675</v>
      </c>
    </row>
    <row r="13" spans="1:17" ht="30.75" customHeight="1">
      <c r="A13" s="457">
        <v>2</v>
      </c>
      <c r="B13" s="805">
        <v>42658</v>
      </c>
      <c r="C13" s="806"/>
      <c r="D13" s="806"/>
      <c r="E13" s="313" t="s">
        <v>688</v>
      </c>
      <c r="F13" s="313" t="s">
        <v>689</v>
      </c>
      <c r="G13" s="451">
        <v>1</v>
      </c>
      <c r="H13" s="438" t="s">
        <v>687</v>
      </c>
      <c r="I13" s="17">
        <f aca="true" t="shared" si="0" ref="I13:I32">IF(J13="","",ROUNDDOWN(J13*(1+O13/100),0))</f>
        <v>432000</v>
      </c>
      <c r="J13" s="450">
        <v>400000</v>
      </c>
      <c r="K13" s="17">
        <f>IF(L13="","",ROUNDDOWN(L13*(1+O13/100),0))</f>
        <v>432000</v>
      </c>
      <c r="L13" s="17">
        <f>IF(OR(J13="",G13=""),"",ROUNDDOWN(J13*G13,0))</f>
        <v>400000</v>
      </c>
      <c r="M13" s="18">
        <f>L13</f>
        <v>400000</v>
      </c>
      <c r="N13" s="378">
        <f aca="true" t="shared" si="1" ref="N13:N32">IF(A13="","",A13)</f>
        <v>2</v>
      </c>
      <c r="O13" s="372">
        <v>8</v>
      </c>
      <c r="P13" s="3"/>
      <c r="Q13" s="399">
        <f>IF(M13="","",ROUNDDOWN(M13/G13*2/3,0)*G13)</f>
        <v>266666</v>
      </c>
    </row>
    <row r="14" spans="1:17" ht="30.75" customHeight="1">
      <c r="A14" s="458">
        <v>3</v>
      </c>
      <c r="B14" s="805">
        <v>42674</v>
      </c>
      <c r="C14" s="806"/>
      <c r="D14" s="806"/>
      <c r="E14" s="315" t="s">
        <v>690</v>
      </c>
      <c r="F14" s="315" t="s">
        <v>691</v>
      </c>
      <c r="G14" s="452">
        <v>1</v>
      </c>
      <c r="H14" s="439" t="s">
        <v>687</v>
      </c>
      <c r="I14" s="17">
        <f t="shared" si="0"/>
        <v>432000</v>
      </c>
      <c r="J14" s="450">
        <v>400000</v>
      </c>
      <c r="K14" s="17">
        <f aca="true" t="shared" si="2" ref="K14:K32">IF(L14="","",ROUNDDOWN(L14*(1+O14/100),0))</f>
        <v>432000</v>
      </c>
      <c r="L14" s="17">
        <f aca="true" t="shared" si="3" ref="L14:L32">IF(OR(J14="",G14=""),"",ROUNDDOWN(J14*G14,0))</f>
        <v>400000</v>
      </c>
      <c r="M14" s="18">
        <f aca="true" t="shared" si="4" ref="M14:M32">L14</f>
        <v>400000</v>
      </c>
      <c r="N14" s="378">
        <f t="shared" si="1"/>
        <v>3</v>
      </c>
      <c r="O14" s="372">
        <v>8</v>
      </c>
      <c r="Q14" s="399">
        <f>IF(M14="","",ROUNDDOWN(M14/G14*2/3,0)*G14)</f>
        <v>266666</v>
      </c>
    </row>
    <row r="15" spans="1:17" ht="30.75" customHeight="1">
      <c r="A15" s="457">
        <v>4</v>
      </c>
      <c r="B15" s="805">
        <v>42704</v>
      </c>
      <c r="C15" s="806"/>
      <c r="D15" s="806"/>
      <c r="E15" s="315" t="s">
        <v>690</v>
      </c>
      <c r="F15" s="315" t="s">
        <v>692</v>
      </c>
      <c r="G15" s="452">
        <v>1</v>
      </c>
      <c r="H15" s="439" t="s">
        <v>687</v>
      </c>
      <c r="I15" s="17">
        <f t="shared" si="0"/>
        <v>432000</v>
      </c>
      <c r="J15" s="450">
        <v>400000</v>
      </c>
      <c r="K15" s="17">
        <f t="shared" si="2"/>
        <v>432000</v>
      </c>
      <c r="L15" s="17">
        <f t="shared" si="3"/>
        <v>400000</v>
      </c>
      <c r="M15" s="18">
        <f t="shared" si="4"/>
        <v>400000</v>
      </c>
      <c r="N15" s="378">
        <f t="shared" si="1"/>
        <v>4</v>
      </c>
      <c r="O15" s="372">
        <v>8</v>
      </c>
      <c r="P15" s="344"/>
      <c r="Q15" s="399">
        <f>IF(M15="","",ROUNDDOWN(M15/G15*2/3,0)*G15)</f>
        <v>266666</v>
      </c>
    </row>
    <row r="16" spans="1:17" s="19" customFormat="1" ht="30.75" customHeight="1">
      <c r="A16" s="458">
        <v>5</v>
      </c>
      <c r="B16" s="805">
        <v>42643</v>
      </c>
      <c r="C16" s="806"/>
      <c r="D16" s="806"/>
      <c r="E16" s="315" t="s">
        <v>690</v>
      </c>
      <c r="F16" s="315" t="s">
        <v>693</v>
      </c>
      <c r="G16" s="452">
        <v>1</v>
      </c>
      <c r="H16" s="439" t="s">
        <v>687</v>
      </c>
      <c r="I16" s="17">
        <f t="shared" si="0"/>
        <v>432000</v>
      </c>
      <c r="J16" s="450">
        <v>400000</v>
      </c>
      <c r="K16" s="17">
        <f t="shared" si="2"/>
        <v>432000</v>
      </c>
      <c r="L16" s="17">
        <f t="shared" si="3"/>
        <v>400000</v>
      </c>
      <c r="M16" s="18">
        <f t="shared" si="4"/>
        <v>400000</v>
      </c>
      <c r="N16" s="378">
        <f t="shared" si="1"/>
        <v>5</v>
      </c>
      <c r="O16" s="372">
        <v>8</v>
      </c>
      <c r="P16" s="344"/>
      <c r="Q16" s="399">
        <f>IF(M16="","",ROUNDDOWN(M16/G16*2/3,0)*G16)</f>
        <v>266666</v>
      </c>
    </row>
    <row r="17" spans="1:17" ht="30.75" customHeight="1">
      <c r="A17" s="457">
        <v>6</v>
      </c>
      <c r="B17" s="805">
        <v>42658</v>
      </c>
      <c r="C17" s="806"/>
      <c r="D17" s="806"/>
      <c r="E17" s="315" t="s">
        <v>690</v>
      </c>
      <c r="F17" s="315" t="s">
        <v>694</v>
      </c>
      <c r="G17" s="452">
        <v>1</v>
      </c>
      <c r="H17" s="439" t="s">
        <v>687</v>
      </c>
      <c r="I17" s="17">
        <f t="shared" si="0"/>
        <v>432000</v>
      </c>
      <c r="J17" s="450">
        <v>400000</v>
      </c>
      <c r="K17" s="17">
        <f t="shared" si="2"/>
        <v>432000</v>
      </c>
      <c r="L17" s="17">
        <f t="shared" si="3"/>
        <v>400000</v>
      </c>
      <c r="M17" s="18">
        <f t="shared" si="4"/>
        <v>400000</v>
      </c>
      <c r="N17" s="378">
        <f t="shared" si="1"/>
        <v>6</v>
      </c>
      <c r="O17" s="372">
        <v>8</v>
      </c>
      <c r="P17" s="344"/>
      <c r="Q17" s="399">
        <f aca="true" t="shared" si="5" ref="Q17:Q32">IF(M17="","",ROUNDDOWN(M17/G17*2/3,0)*G17)</f>
        <v>266666</v>
      </c>
    </row>
    <row r="18" spans="1:17" ht="30.75" customHeight="1">
      <c r="A18" s="458">
        <v>7</v>
      </c>
      <c r="B18" s="805">
        <v>42643</v>
      </c>
      <c r="C18" s="806"/>
      <c r="D18" s="806"/>
      <c r="E18" s="315" t="s">
        <v>690</v>
      </c>
      <c r="F18" s="315" t="s">
        <v>695</v>
      </c>
      <c r="G18" s="452">
        <v>1</v>
      </c>
      <c r="H18" s="439" t="s">
        <v>687</v>
      </c>
      <c r="I18" s="17">
        <f t="shared" si="0"/>
        <v>432000</v>
      </c>
      <c r="J18" s="450">
        <v>400000</v>
      </c>
      <c r="K18" s="17">
        <f t="shared" si="2"/>
        <v>432000</v>
      </c>
      <c r="L18" s="17">
        <f t="shared" si="3"/>
        <v>400000</v>
      </c>
      <c r="M18" s="18">
        <f t="shared" si="4"/>
        <v>400000</v>
      </c>
      <c r="N18" s="378">
        <f t="shared" si="1"/>
        <v>7</v>
      </c>
      <c r="O18" s="372">
        <v>8</v>
      </c>
      <c r="P18" s="344"/>
      <c r="Q18" s="399">
        <f t="shared" si="5"/>
        <v>266666</v>
      </c>
    </row>
    <row r="19" spans="1:17" ht="30.75" customHeight="1">
      <c r="A19" s="457">
        <v>8</v>
      </c>
      <c r="B19" s="805">
        <v>42674</v>
      </c>
      <c r="C19" s="806"/>
      <c r="D19" s="806"/>
      <c r="E19" s="315" t="s">
        <v>690</v>
      </c>
      <c r="F19" s="315" t="s">
        <v>696</v>
      </c>
      <c r="G19" s="452">
        <v>1</v>
      </c>
      <c r="H19" s="439" t="s">
        <v>687</v>
      </c>
      <c r="I19" s="17">
        <f t="shared" si="0"/>
        <v>432000</v>
      </c>
      <c r="J19" s="450">
        <v>400000</v>
      </c>
      <c r="K19" s="17">
        <f t="shared" si="2"/>
        <v>432000</v>
      </c>
      <c r="L19" s="17">
        <f t="shared" si="3"/>
        <v>400000</v>
      </c>
      <c r="M19" s="18">
        <f t="shared" si="4"/>
        <v>400000</v>
      </c>
      <c r="N19" s="378">
        <f t="shared" si="1"/>
        <v>8</v>
      </c>
      <c r="O19" s="372">
        <v>8</v>
      </c>
      <c r="P19" s="344"/>
      <c r="Q19" s="399">
        <f t="shared" si="5"/>
        <v>266666</v>
      </c>
    </row>
    <row r="20" spans="1:17" s="19" customFormat="1" ht="30.75" customHeight="1">
      <c r="A20" s="458">
        <v>9</v>
      </c>
      <c r="B20" s="805">
        <v>42689</v>
      </c>
      <c r="C20" s="806"/>
      <c r="D20" s="806"/>
      <c r="E20" s="315" t="s">
        <v>690</v>
      </c>
      <c r="F20" s="315" t="s">
        <v>697</v>
      </c>
      <c r="G20" s="452">
        <v>1</v>
      </c>
      <c r="H20" s="439" t="s">
        <v>687</v>
      </c>
      <c r="I20" s="17">
        <f t="shared" si="0"/>
        <v>432000</v>
      </c>
      <c r="J20" s="450">
        <v>400000</v>
      </c>
      <c r="K20" s="17">
        <f t="shared" si="2"/>
        <v>432000</v>
      </c>
      <c r="L20" s="17">
        <f t="shared" si="3"/>
        <v>400000</v>
      </c>
      <c r="M20" s="18">
        <f t="shared" si="4"/>
        <v>400000</v>
      </c>
      <c r="N20" s="378">
        <f t="shared" si="1"/>
        <v>9</v>
      </c>
      <c r="O20" s="372">
        <v>8</v>
      </c>
      <c r="P20" s="381"/>
      <c r="Q20" s="399">
        <f t="shared" si="5"/>
        <v>266666</v>
      </c>
    </row>
    <row r="21" spans="1:17" ht="30.75" customHeight="1">
      <c r="A21" s="457"/>
      <c r="B21" s="805"/>
      <c r="C21" s="806"/>
      <c r="D21" s="806"/>
      <c r="E21" s="315"/>
      <c r="F21" s="315"/>
      <c r="G21" s="452"/>
      <c r="H21" s="441"/>
      <c r="I21" s="17">
        <f t="shared" si="0"/>
      </c>
      <c r="J21" s="321"/>
      <c r="K21" s="17">
        <f t="shared" si="2"/>
      </c>
      <c r="L21" s="17">
        <f t="shared" si="3"/>
      </c>
      <c r="M21" s="18">
        <f t="shared" si="4"/>
      </c>
      <c r="N21" s="378">
        <f t="shared" si="1"/>
      </c>
      <c r="O21" s="372">
        <v>8</v>
      </c>
      <c r="Q21" s="399">
        <f t="shared" si="5"/>
      </c>
    </row>
    <row r="22" spans="1:17" ht="30.75" customHeight="1">
      <c r="A22" s="458"/>
      <c r="B22" s="805"/>
      <c r="C22" s="806"/>
      <c r="D22" s="806"/>
      <c r="E22" s="315"/>
      <c r="F22" s="315"/>
      <c r="G22" s="452"/>
      <c r="H22" s="441"/>
      <c r="I22" s="17">
        <f t="shared" si="0"/>
      </c>
      <c r="J22" s="321"/>
      <c r="K22" s="17">
        <f t="shared" si="2"/>
      </c>
      <c r="L22" s="17">
        <f t="shared" si="3"/>
      </c>
      <c r="M22" s="18">
        <f t="shared" si="4"/>
      </c>
      <c r="N22" s="378">
        <f t="shared" si="1"/>
      </c>
      <c r="O22" s="372">
        <v>8</v>
      </c>
      <c r="Q22" s="399">
        <f t="shared" si="5"/>
      </c>
    </row>
    <row r="23" spans="1:17" ht="30.75" customHeight="1">
      <c r="A23" s="457"/>
      <c r="B23" s="805"/>
      <c r="C23" s="806"/>
      <c r="D23" s="806"/>
      <c r="E23" s="315"/>
      <c r="F23" s="315"/>
      <c r="G23" s="452"/>
      <c r="H23" s="441"/>
      <c r="I23" s="17">
        <f t="shared" si="0"/>
      </c>
      <c r="J23" s="321"/>
      <c r="K23" s="17">
        <f t="shared" si="2"/>
      </c>
      <c r="L23" s="17">
        <f t="shared" si="3"/>
      </c>
      <c r="M23" s="18">
        <f t="shared" si="4"/>
      </c>
      <c r="N23" s="378">
        <f t="shared" si="1"/>
      </c>
      <c r="O23" s="372">
        <v>8</v>
      </c>
      <c r="Q23" s="399">
        <f t="shared" si="5"/>
      </c>
    </row>
    <row r="24" spans="1:17" ht="30.75" customHeight="1">
      <c r="A24" s="458"/>
      <c r="B24" s="805"/>
      <c r="C24" s="806"/>
      <c r="D24" s="806"/>
      <c r="E24" s="315"/>
      <c r="F24" s="315"/>
      <c r="G24" s="452"/>
      <c r="H24" s="441"/>
      <c r="I24" s="17">
        <f t="shared" si="0"/>
      </c>
      <c r="J24" s="321"/>
      <c r="K24" s="17">
        <f t="shared" si="2"/>
      </c>
      <c r="L24" s="17">
        <f t="shared" si="3"/>
      </c>
      <c r="M24" s="18">
        <f t="shared" si="4"/>
      </c>
      <c r="N24" s="378">
        <f t="shared" si="1"/>
      </c>
      <c r="O24" s="372">
        <v>8</v>
      </c>
      <c r="Q24" s="399">
        <f t="shared" si="5"/>
      </c>
    </row>
    <row r="25" spans="1:17" ht="30.75" customHeight="1">
      <c r="A25" s="457"/>
      <c r="B25" s="805"/>
      <c r="C25" s="806"/>
      <c r="D25" s="806"/>
      <c r="E25" s="315"/>
      <c r="F25" s="315"/>
      <c r="G25" s="452"/>
      <c r="H25" s="441"/>
      <c r="I25" s="17">
        <f t="shared" si="0"/>
      </c>
      <c r="J25" s="321"/>
      <c r="K25" s="17">
        <f t="shared" si="2"/>
      </c>
      <c r="L25" s="17">
        <f t="shared" si="3"/>
      </c>
      <c r="M25" s="18">
        <f t="shared" si="4"/>
      </c>
      <c r="N25" s="378">
        <f t="shared" si="1"/>
      </c>
      <c r="O25" s="372">
        <v>8</v>
      </c>
      <c r="Q25" s="399">
        <f t="shared" si="5"/>
      </c>
    </row>
    <row r="26" spans="1:17" ht="30.75" customHeight="1">
      <c r="A26" s="458"/>
      <c r="B26" s="805"/>
      <c r="C26" s="806"/>
      <c r="D26" s="806"/>
      <c r="E26" s="316"/>
      <c r="F26" s="315"/>
      <c r="G26" s="452"/>
      <c r="H26" s="441"/>
      <c r="I26" s="17">
        <f t="shared" si="0"/>
      </c>
      <c r="J26" s="321"/>
      <c r="K26" s="17">
        <f t="shared" si="2"/>
      </c>
      <c r="L26" s="17">
        <f t="shared" si="3"/>
      </c>
      <c r="M26" s="18">
        <f t="shared" si="4"/>
      </c>
      <c r="N26" s="378">
        <f t="shared" si="1"/>
      </c>
      <c r="O26" s="372">
        <v>8</v>
      </c>
      <c r="Q26" s="399">
        <f t="shared" si="5"/>
      </c>
    </row>
    <row r="27" spans="1:17" ht="30.75" customHeight="1">
      <c r="A27" s="457"/>
      <c r="B27" s="805"/>
      <c r="C27" s="806"/>
      <c r="D27" s="806"/>
      <c r="E27" s="316"/>
      <c r="F27" s="315"/>
      <c r="G27" s="452"/>
      <c r="H27" s="441"/>
      <c r="I27" s="17">
        <f t="shared" si="0"/>
      </c>
      <c r="J27" s="321"/>
      <c r="K27" s="17">
        <f t="shared" si="2"/>
      </c>
      <c r="L27" s="17">
        <f t="shared" si="3"/>
      </c>
      <c r="M27" s="18">
        <f t="shared" si="4"/>
      </c>
      <c r="N27" s="378">
        <f t="shared" si="1"/>
      </c>
      <c r="O27" s="372">
        <v>8</v>
      </c>
      <c r="Q27" s="399">
        <f t="shared" si="5"/>
      </c>
    </row>
    <row r="28" spans="1:17" ht="30.75" customHeight="1">
      <c r="A28" s="458"/>
      <c r="B28" s="805"/>
      <c r="C28" s="806"/>
      <c r="D28" s="806"/>
      <c r="E28" s="315"/>
      <c r="F28" s="315"/>
      <c r="G28" s="452"/>
      <c r="H28" s="441"/>
      <c r="I28" s="17">
        <f t="shared" si="0"/>
      </c>
      <c r="J28" s="321"/>
      <c r="K28" s="17">
        <f t="shared" si="2"/>
      </c>
      <c r="L28" s="17">
        <f t="shared" si="3"/>
      </c>
      <c r="M28" s="18">
        <f t="shared" si="4"/>
      </c>
      <c r="N28" s="378">
        <f t="shared" si="1"/>
      </c>
      <c r="O28" s="372">
        <v>8</v>
      </c>
      <c r="Q28" s="399">
        <f t="shared" si="5"/>
      </c>
    </row>
    <row r="29" spans="1:17" ht="30.75" customHeight="1">
      <c r="A29" s="457"/>
      <c r="B29" s="805"/>
      <c r="C29" s="806"/>
      <c r="D29" s="806"/>
      <c r="E29" s="315"/>
      <c r="F29" s="315"/>
      <c r="G29" s="452"/>
      <c r="H29" s="441"/>
      <c r="I29" s="17">
        <f t="shared" si="0"/>
      </c>
      <c r="J29" s="321"/>
      <c r="K29" s="17">
        <f t="shared" si="2"/>
      </c>
      <c r="L29" s="17">
        <f t="shared" si="3"/>
      </c>
      <c r="M29" s="18">
        <f t="shared" si="4"/>
      </c>
      <c r="N29" s="378">
        <f t="shared" si="1"/>
      </c>
      <c r="O29" s="372">
        <v>8</v>
      </c>
      <c r="Q29" s="399">
        <f t="shared" si="5"/>
      </c>
    </row>
    <row r="30" spans="1:17" ht="30.75" customHeight="1">
      <c r="A30" s="458"/>
      <c r="B30" s="805"/>
      <c r="C30" s="806"/>
      <c r="D30" s="806"/>
      <c r="E30" s="315"/>
      <c r="F30" s="315"/>
      <c r="G30" s="452"/>
      <c r="H30" s="441"/>
      <c r="I30" s="17">
        <f t="shared" si="0"/>
      </c>
      <c r="J30" s="321"/>
      <c r="K30" s="17">
        <f t="shared" si="2"/>
      </c>
      <c r="L30" s="17">
        <f t="shared" si="3"/>
      </c>
      <c r="M30" s="18">
        <f t="shared" si="4"/>
      </c>
      <c r="N30" s="378">
        <f t="shared" si="1"/>
      </c>
      <c r="O30" s="372">
        <v>8</v>
      </c>
      <c r="Q30" s="399">
        <f t="shared" si="5"/>
      </c>
    </row>
    <row r="31" spans="1:17" ht="30.75" customHeight="1">
      <c r="A31" s="457"/>
      <c r="B31" s="805"/>
      <c r="C31" s="806"/>
      <c r="D31" s="806"/>
      <c r="E31" s="316"/>
      <c r="F31" s="315"/>
      <c r="G31" s="452"/>
      <c r="H31" s="441"/>
      <c r="I31" s="17">
        <f t="shared" si="0"/>
      </c>
      <c r="J31" s="321"/>
      <c r="K31" s="17">
        <f t="shared" si="2"/>
      </c>
      <c r="L31" s="17">
        <f t="shared" si="3"/>
      </c>
      <c r="M31" s="18">
        <f t="shared" si="4"/>
      </c>
      <c r="N31" s="378">
        <f t="shared" si="1"/>
      </c>
      <c r="O31" s="372">
        <v>8</v>
      </c>
      <c r="Q31" s="399">
        <f t="shared" si="5"/>
      </c>
    </row>
    <row r="32" spans="1:17" ht="30.75" customHeight="1" thickBot="1">
      <c r="A32" s="459"/>
      <c r="B32" s="824"/>
      <c r="C32" s="825"/>
      <c r="D32" s="825"/>
      <c r="E32" s="323"/>
      <c r="F32" s="323"/>
      <c r="G32" s="452"/>
      <c r="H32" s="442"/>
      <c r="I32" s="43">
        <f t="shared" si="0"/>
      </c>
      <c r="J32" s="320"/>
      <c r="K32" s="42">
        <f t="shared" si="2"/>
      </c>
      <c r="L32" s="42">
        <f t="shared" si="3"/>
      </c>
      <c r="M32" s="43">
        <f t="shared" si="4"/>
      </c>
      <c r="N32" s="382">
        <f t="shared" si="1"/>
      </c>
      <c r="O32" s="373">
        <v>8</v>
      </c>
      <c r="Q32" s="399">
        <f t="shared" si="5"/>
      </c>
    </row>
    <row r="33" spans="1:17" ht="21" customHeight="1" thickBot="1">
      <c r="A33" s="822" t="s">
        <v>16</v>
      </c>
      <c r="B33" s="823"/>
      <c r="C33" s="823"/>
      <c r="D33" s="823"/>
      <c r="E33" s="823"/>
      <c r="F33" s="823"/>
      <c r="G33" s="823"/>
      <c r="H33" s="823"/>
      <c r="I33" s="823"/>
      <c r="J33" s="432"/>
      <c r="K33" s="64">
        <f>SUM(K13:K32)</f>
        <v>3456000</v>
      </c>
      <c r="L33" s="64">
        <f>SUM(L13:L32)</f>
        <v>3200000</v>
      </c>
      <c r="M33" s="66">
        <f>SUM(M13:M32)</f>
        <v>3200000</v>
      </c>
      <c r="N33" s="23"/>
      <c r="P33" s="4"/>
      <c r="Q33" s="430">
        <f>SUM(Q13:Q32)</f>
        <v>2133328</v>
      </c>
    </row>
    <row r="34" spans="1:16" ht="23.25" customHeight="1">
      <c r="A34" s="20"/>
      <c r="F34" s="342"/>
      <c r="N34" s="20"/>
      <c r="P34" s="3"/>
    </row>
    <row r="35" spans="2:19" ht="23.25" customHeight="1">
      <c r="B35" s="3" t="s">
        <v>838</v>
      </c>
      <c r="D35" s="348"/>
      <c r="E35" s="342"/>
      <c r="F35" s="342"/>
      <c r="H35" s="3"/>
      <c r="M35" s="359"/>
      <c r="N35" s="20"/>
      <c r="Q35" s="342"/>
      <c r="R35" s="342"/>
      <c r="S35" s="342"/>
    </row>
    <row r="36" spans="1:17" s="342" customFormat="1" ht="23.25" customHeight="1">
      <c r="A36" s="8"/>
      <c r="B36" s="3" t="s">
        <v>839</v>
      </c>
      <c r="C36" s="3"/>
      <c r="D36" s="3"/>
      <c r="G36" s="3"/>
      <c r="H36" s="3"/>
      <c r="I36" s="3"/>
      <c r="J36" s="3"/>
      <c r="K36" s="3"/>
      <c r="L36" s="3"/>
      <c r="N36" s="24"/>
      <c r="O36" s="8"/>
      <c r="P36" s="8"/>
      <c r="Q36" s="359"/>
    </row>
    <row r="37" spans="1:17" s="342" customFormat="1" ht="23.25" customHeight="1">
      <c r="A37" s="8"/>
      <c r="B37" s="3" t="s">
        <v>840</v>
      </c>
      <c r="C37" s="3"/>
      <c r="D37" s="3"/>
      <c r="G37" s="3"/>
      <c r="H37" s="3"/>
      <c r="I37" s="3"/>
      <c r="J37" s="3"/>
      <c r="K37" s="3"/>
      <c r="L37" s="3"/>
      <c r="M37" s="359"/>
      <c r="N37" s="8"/>
      <c r="O37" s="8"/>
      <c r="P37" s="8"/>
      <c r="Q37" s="359"/>
    </row>
    <row r="38" spans="1:19" s="342" customFormat="1" ht="23.25" customHeight="1">
      <c r="A38" s="8"/>
      <c r="B38" s="3" t="s">
        <v>841</v>
      </c>
      <c r="C38" s="3"/>
      <c r="D38" s="3"/>
      <c r="G38" s="3"/>
      <c r="H38" s="3"/>
      <c r="I38" s="3"/>
      <c r="J38" s="3"/>
      <c r="K38" s="3"/>
      <c r="L38" s="3"/>
      <c r="M38" s="359"/>
      <c r="N38" s="8"/>
      <c r="O38" s="8"/>
      <c r="P38" s="8"/>
      <c r="Q38" s="16"/>
      <c r="R38" s="3"/>
      <c r="S38" s="3"/>
    </row>
    <row r="39" ht="13.5">
      <c r="M39" s="16"/>
    </row>
  </sheetData>
  <sheetProtection sheet="1" objects="1" scenarios="1"/>
  <mergeCells count="27">
    <mergeCell ref="B31:D31"/>
    <mergeCell ref="B32:D32"/>
    <mergeCell ref="A33:I33"/>
    <mergeCell ref="B25:D25"/>
    <mergeCell ref="B26:D26"/>
    <mergeCell ref="B27:D27"/>
    <mergeCell ref="B28:D28"/>
    <mergeCell ref="B29:D29"/>
    <mergeCell ref="B30:D30"/>
    <mergeCell ref="B19:D19"/>
    <mergeCell ref="B20:D20"/>
    <mergeCell ref="B21:D21"/>
    <mergeCell ref="B22:D22"/>
    <mergeCell ref="B23:D23"/>
    <mergeCell ref="B24:D24"/>
    <mergeCell ref="B13:D13"/>
    <mergeCell ref="B14:D14"/>
    <mergeCell ref="B15:D15"/>
    <mergeCell ref="B16:D16"/>
    <mergeCell ref="B17:D17"/>
    <mergeCell ref="B18:D18"/>
    <mergeCell ref="A4:E4"/>
    <mergeCell ref="A11:A12"/>
    <mergeCell ref="B11:D11"/>
    <mergeCell ref="K11:L11"/>
    <mergeCell ref="N11:N12"/>
    <mergeCell ref="O11:O12"/>
  </mergeCells>
  <dataValidations count="4">
    <dataValidation allowBlank="1" showInputMessage="1" showErrorMessage="1" imeMode="hiragana" sqref="L9"/>
    <dataValidation type="list" allowBlank="1" showInputMessage="1" showErrorMessage="1" sqref="P20:P32">
      <formula1>$Q$12:$Q$13</formula1>
    </dataValidation>
    <dataValidation type="list" allowBlank="1" showInputMessage="1" showErrorMessage="1" sqref="P18:P19 P15:P16">
      <formula1>$Q$12:$Q$14</formula1>
    </dataValidation>
    <dataValidation allowBlank="1" showInputMessage="1" showErrorMessage="1" imeMode="halfAlpha" sqref="I13:M32 Q13:Q32"/>
  </dataValidations>
  <hyperlinks>
    <hyperlink ref="B2" location="経費明細表!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62" r:id="rId3"/>
  <legacyDrawing r:id="rId2"/>
</worksheet>
</file>

<file path=xl/worksheets/sheet8.xml><?xml version="1.0" encoding="utf-8"?>
<worksheet xmlns="http://schemas.openxmlformats.org/spreadsheetml/2006/main" xmlns:r="http://schemas.openxmlformats.org/officeDocument/2006/relationships">
  <sheetPr codeName="Sheet3">
    <tabColor rgb="FF92D050"/>
    <pageSetUpPr fitToPage="1"/>
  </sheetPr>
  <dimension ref="A1:R41"/>
  <sheetViews>
    <sheetView showGridLines="0" zoomScaleSheetLayoutView="80" workbookViewId="0" topLeftCell="A1">
      <pane ySplit="3" topLeftCell="A4" activePane="bottomLeft" state="frozen"/>
      <selection pane="topLeft" activeCell="G15" sqref="G15:G32"/>
      <selection pane="bottomLeft" activeCell="A1" sqref="A1"/>
    </sheetView>
  </sheetViews>
  <sheetFormatPr defaultColWidth="9.140625" defaultRowHeight="15"/>
  <cols>
    <col min="1" max="1" width="3.7109375" style="8" customWidth="1"/>
    <col min="2" max="4" width="3.7109375" style="3" customWidth="1"/>
    <col min="5" max="5" width="16.421875" style="343" customWidth="1"/>
    <col min="6" max="6" width="16.140625" style="327" customWidth="1"/>
    <col min="7" max="7" width="9.140625" style="3" customWidth="1"/>
    <col min="8" max="8" width="6.421875" style="3" customWidth="1"/>
    <col min="9" max="10" width="11.57421875" style="3" customWidth="1"/>
    <col min="11" max="13" width="15.140625" style="3" customWidth="1"/>
    <col min="14" max="15" width="3.8515625" style="8" customWidth="1"/>
    <col min="16" max="16" width="10.421875" style="3" bestFit="1" customWidth="1"/>
    <col min="17" max="17" width="15.140625" style="3" customWidth="1"/>
    <col min="18" max="18" width="10.421875" style="3" bestFit="1" customWidth="1"/>
    <col min="19" max="16384" width="9.00390625" style="3" customWidth="1"/>
  </cols>
  <sheetData>
    <row r="1" spans="8:18" ht="13.5">
      <c r="H1" s="8"/>
      <c r="P1" s="8"/>
      <c r="Q1" s="344"/>
      <c r="R1" s="344"/>
    </row>
    <row r="2" spans="2:18" ht="13.5">
      <c r="B2" s="404" t="s">
        <v>724</v>
      </c>
      <c r="H2" s="8"/>
      <c r="P2" s="8"/>
      <c r="Q2" s="344"/>
      <c r="R2" s="344"/>
    </row>
    <row r="3" spans="8:18" ht="13.5">
      <c r="H3" s="8"/>
      <c r="P3" s="8"/>
      <c r="Q3" s="344"/>
      <c r="R3" s="344"/>
    </row>
    <row r="4" spans="1:6" ht="13.5" customHeight="1">
      <c r="A4" s="817" t="s">
        <v>18</v>
      </c>
      <c r="B4" s="817"/>
      <c r="C4" s="817"/>
      <c r="D4" s="817"/>
      <c r="E4" s="817"/>
      <c r="F4" s="8"/>
    </row>
    <row r="5" spans="1:14" ht="13.5" customHeight="1">
      <c r="A5" s="20"/>
      <c r="B5" s="20"/>
      <c r="C5" s="20"/>
      <c r="D5" s="20"/>
      <c r="E5" s="369"/>
      <c r="F5" s="8"/>
      <c r="N5" s="20"/>
    </row>
    <row r="6" spans="1:14" ht="13.5" customHeight="1">
      <c r="A6" s="20"/>
      <c r="B6" s="20" t="s">
        <v>44</v>
      </c>
      <c r="C6" s="345" t="s">
        <v>21</v>
      </c>
      <c r="D6" s="20"/>
      <c r="E6" s="369"/>
      <c r="F6" s="346" t="s">
        <v>17</v>
      </c>
      <c r="N6" s="20"/>
    </row>
    <row r="7" spans="1:14" ht="13.5" customHeight="1">
      <c r="A7" s="20"/>
      <c r="B7" s="20"/>
      <c r="C7" s="20"/>
      <c r="D7" s="20"/>
      <c r="E7" s="369"/>
      <c r="F7" s="403" t="s">
        <v>26</v>
      </c>
      <c r="N7" s="20"/>
    </row>
    <row r="8" spans="1:15" ht="13.5" customHeight="1">
      <c r="A8" s="20"/>
      <c r="B8" s="20"/>
      <c r="C8" s="20"/>
      <c r="D8" s="20"/>
      <c r="E8" s="369"/>
      <c r="F8" s="8"/>
      <c r="M8" s="3" t="s">
        <v>22</v>
      </c>
      <c r="N8" s="20"/>
      <c r="O8" s="347"/>
    </row>
    <row r="9" spans="1:14" ht="13.5" customHeight="1">
      <c r="A9" s="20"/>
      <c r="F9" s="8"/>
      <c r="K9" s="4" t="s">
        <v>39</v>
      </c>
      <c r="L9" s="12" t="str">
        <f>IF(OR('基本情報入力（使い方）'!C11="",'基本情報入力（使い方）'!C11=0),"",'基本情報入力（使い方）'!C11)</f>
        <v>Ｂ金属株式会社</v>
      </c>
      <c r="M9" s="4"/>
      <c r="N9" s="20"/>
    </row>
    <row r="10" spans="1:14" ht="13.5" customHeight="1" thickBot="1">
      <c r="A10" s="20"/>
      <c r="F10" s="8"/>
      <c r="N10" s="20"/>
    </row>
    <row r="11" spans="1:15" ht="27" customHeight="1">
      <c r="A11" s="818" t="s">
        <v>2</v>
      </c>
      <c r="B11" s="807" t="s">
        <v>3</v>
      </c>
      <c r="C11" s="807"/>
      <c r="D11" s="808"/>
      <c r="E11" s="370" t="s">
        <v>4</v>
      </c>
      <c r="F11" s="5" t="s">
        <v>5</v>
      </c>
      <c r="G11" s="5" t="s">
        <v>6</v>
      </c>
      <c r="H11" s="5" t="s">
        <v>7</v>
      </c>
      <c r="I11" s="5" t="s">
        <v>0</v>
      </c>
      <c r="J11" s="5" t="s">
        <v>0</v>
      </c>
      <c r="K11" s="826" t="s">
        <v>8</v>
      </c>
      <c r="L11" s="808"/>
      <c r="M11" s="330" t="s">
        <v>9</v>
      </c>
      <c r="N11" s="809" t="s">
        <v>2</v>
      </c>
      <c r="O11" s="811" t="s">
        <v>43</v>
      </c>
    </row>
    <row r="12" spans="1:15" ht="42" customHeight="1" thickBot="1">
      <c r="A12" s="819"/>
      <c r="B12" s="350" t="s">
        <v>10</v>
      </c>
      <c r="C12" s="350" t="s">
        <v>11</v>
      </c>
      <c r="D12" s="351" t="s">
        <v>12</v>
      </c>
      <c r="E12" s="371"/>
      <c r="F12" s="353"/>
      <c r="G12" s="328"/>
      <c r="H12" s="328"/>
      <c r="I12" s="328" t="s">
        <v>13</v>
      </c>
      <c r="J12" s="328" t="s">
        <v>27</v>
      </c>
      <c r="K12" s="328" t="s">
        <v>14</v>
      </c>
      <c r="L12" s="6" t="s">
        <v>25</v>
      </c>
      <c r="M12" s="6" t="s">
        <v>15</v>
      </c>
      <c r="N12" s="810"/>
      <c r="O12" s="812"/>
    </row>
    <row r="13" spans="1:15" ht="30.75" customHeight="1">
      <c r="A13" s="25">
        <v>1</v>
      </c>
      <c r="B13" s="805">
        <v>42674</v>
      </c>
      <c r="C13" s="806"/>
      <c r="D13" s="806"/>
      <c r="E13" s="313" t="s">
        <v>698</v>
      </c>
      <c r="F13" s="314" t="s">
        <v>699</v>
      </c>
      <c r="G13" s="453">
        <v>20</v>
      </c>
      <c r="H13" s="440" t="s">
        <v>804</v>
      </c>
      <c r="I13" s="17">
        <f>IF(J13="","",ROUNDDOWN(J13*(1+O13/100),0))</f>
        <v>5140</v>
      </c>
      <c r="J13" s="321">
        <v>4760</v>
      </c>
      <c r="K13" s="17">
        <f>IF(L13="","",ROUNDDOWN(L13*(1+O13/100),0))</f>
        <v>102816</v>
      </c>
      <c r="L13" s="17">
        <f>IF(OR(J13="",G13=""),"",ROUNDDOWN(J13*G13,0))</f>
        <v>95200</v>
      </c>
      <c r="M13" s="17">
        <f aca="true" t="shared" si="0" ref="M13:M32">L13</f>
        <v>95200</v>
      </c>
      <c r="N13" s="21">
        <v>1</v>
      </c>
      <c r="O13" s="372">
        <v>8</v>
      </c>
    </row>
    <row r="14" spans="1:16" ht="30.75" customHeight="1">
      <c r="A14" s="26">
        <v>2</v>
      </c>
      <c r="B14" s="805">
        <v>42674</v>
      </c>
      <c r="C14" s="806"/>
      <c r="D14" s="806"/>
      <c r="E14" s="314" t="s">
        <v>698</v>
      </c>
      <c r="F14" s="314" t="s">
        <v>700</v>
      </c>
      <c r="G14" s="452">
        <v>10</v>
      </c>
      <c r="H14" s="440" t="s">
        <v>805</v>
      </c>
      <c r="I14" s="17">
        <f aca="true" t="shared" si="1" ref="I14:I32">IF(J14="","",ROUNDDOWN(J14*(1+O14/100),0))</f>
        <v>3807</v>
      </c>
      <c r="J14" s="318">
        <v>3525</v>
      </c>
      <c r="K14" s="17">
        <f aca="true" t="shared" si="2" ref="K14:K32">IF(L14="","",ROUNDDOWN(L14*(1+O14/100),0))</f>
        <v>38070</v>
      </c>
      <c r="L14" s="18">
        <f aca="true" t="shared" si="3" ref="L14:L32">IF(OR(J14="",G14=""),"",ROUNDDOWN(J14*G14,0))</f>
        <v>35250</v>
      </c>
      <c r="M14" s="18">
        <f t="shared" si="0"/>
        <v>35250</v>
      </c>
      <c r="N14" s="22">
        <v>2</v>
      </c>
      <c r="O14" s="372">
        <v>8</v>
      </c>
      <c r="P14" s="347"/>
    </row>
    <row r="15" spans="1:16" ht="30.75" customHeight="1">
      <c r="A15" s="25">
        <v>3</v>
      </c>
      <c r="B15" s="805">
        <v>42704</v>
      </c>
      <c r="C15" s="806"/>
      <c r="D15" s="806"/>
      <c r="E15" s="315" t="s">
        <v>698</v>
      </c>
      <c r="F15" s="315" t="s">
        <v>701</v>
      </c>
      <c r="G15" s="452">
        <v>10</v>
      </c>
      <c r="H15" s="440" t="s">
        <v>805</v>
      </c>
      <c r="I15" s="17">
        <f t="shared" si="1"/>
        <v>16200</v>
      </c>
      <c r="J15" s="318">
        <v>15000</v>
      </c>
      <c r="K15" s="17">
        <f t="shared" si="2"/>
        <v>162000</v>
      </c>
      <c r="L15" s="18">
        <f t="shared" si="3"/>
        <v>150000</v>
      </c>
      <c r="M15" s="18">
        <f t="shared" si="0"/>
        <v>150000</v>
      </c>
      <c r="N15" s="21">
        <v>3</v>
      </c>
      <c r="O15" s="372">
        <v>8</v>
      </c>
      <c r="P15" s="347"/>
    </row>
    <row r="16" spans="1:18" s="19" customFormat="1" ht="30.75" customHeight="1">
      <c r="A16" s="26">
        <v>4</v>
      </c>
      <c r="B16" s="805">
        <v>42643</v>
      </c>
      <c r="C16" s="806"/>
      <c r="D16" s="806"/>
      <c r="E16" s="315" t="s">
        <v>698</v>
      </c>
      <c r="F16" s="315" t="s">
        <v>702</v>
      </c>
      <c r="G16" s="452">
        <v>10</v>
      </c>
      <c r="H16" s="440" t="s">
        <v>805</v>
      </c>
      <c r="I16" s="17">
        <f t="shared" si="1"/>
        <v>1620</v>
      </c>
      <c r="J16" s="318">
        <v>1500</v>
      </c>
      <c r="K16" s="17">
        <f t="shared" si="2"/>
        <v>16200</v>
      </c>
      <c r="L16" s="18">
        <f t="shared" si="3"/>
        <v>15000</v>
      </c>
      <c r="M16" s="18">
        <f t="shared" si="0"/>
        <v>15000</v>
      </c>
      <c r="N16" s="22">
        <v>4</v>
      </c>
      <c r="O16" s="372">
        <v>8</v>
      </c>
      <c r="P16" s="347"/>
      <c r="Q16" s="3"/>
      <c r="R16" s="3"/>
    </row>
    <row r="17" spans="1:18" s="19" customFormat="1" ht="30.75" customHeight="1">
      <c r="A17" s="25">
        <v>5</v>
      </c>
      <c r="B17" s="805">
        <v>42674</v>
      </c>
      <c r="C17" s="806"/>
      <c r="D17" s="806"/>
      <c r="E17" s="315" t="s">
        <v>698</v>
      </c>
      <c r="F17" s="315" t="s">
        <v>702</v>
      </c>
      <c r="G17" s="452">
        <v>1</v>
      </c>
      <c r="H17" s="440" t="s">
        <v>805</v>
      </c>
      <c r="I17" s="17">
        <f t="shared" si="1"/>
        <v>129600</v>
      </c>
      <c r="J17" s="318">
        <v>120000</v>
      </c>
      <c r="K17" s="17">
        <f t="shared" si="2"/>
        <v>129600</v>
      </c>
      <c r="L17" s="18">
        <f t="shared" si="3"/>
        <v>120000</v>
      </c>
      <c r="M17" s="18">
        <f t="shared" si="0"/>
        <v>120000</v>
      </c>
      <c r="N17" s="21">
        <v>5</v>
      </c>
      <c r="O17" s="372">
        <v>8</v>
      </c>
      <c r="P17" s="3"/>
      <c r="Q17" s="3"/>
      <c r="R17" s="3"/>
    </row>
    <row r="18" spans="1:15" ht="30.75" customHeight="1">
      <c r="A18" s="26">
        <v>6</v>
      </c>
      <c r="B18" s="805">
        <v>42704</v>
      </c>
      <c r="C18" s="806"/>
      <c r="D18" s="806"/>
      <c r="E18" s="316" t="s">
        <v>698</v>
      </c>
      <c r="F18" s="315" t="s">
        <v>702</v>
      </c>
      <c r="G18" s="452">
        <v>1</v>
      </c>
      <c r="H18" s="440" t="s">
        <v>805</v>
      </c>
      <c r="I18" s="17">
        <f t="shared" si="1"/>
        <v>105840</v>
      </c>
      <c r="J18" s="318">
        <v>98000</v>
      </c>
      <c r="K18" s="17">
        <f t="shared" si="2"/>
        <v>105840</v>
      </c>
      <c r="L18" s="18">
        <f t="shared" si="3"/>
        <v>98000</v>
      </c>
      <c r="M18" s="18">
        <f t="shared" si="0"/>
        <v>98000</v>
      </c>
      <c r="N18" s="22">
        <v>6</v>
      </c>
      <c r="O18" s="372">
        <v>8</v>
      </c>
    </row>
    <row r="19" spans="1:15" ht="30.75" customHeight="1">
      <c r="A19" s="25">
        <v>7</v>
      </c>
      <c r="B19" s="805"/>
      <c r="C19" s="806"/>
      <c r="D19" s="806"/>
      <c r="E19" s="316"/>
      <c r="F19" s="315"/>
      <c r="G19" s="452"/>
      <c r="H19" s="444"/>
      <c r="I19" s="17">
        <f t="shared" si="1"/>
      </c>
      <c r="J19" s="318"/>
      <c r="K19" s="17">
        <f t="shared" si="2"/>
      </c>
      <c r="L19" s="18">
        <f t="shared" si="3"/>
      </c>
      <c r="M19" s="18">
        <f t="shared" si="0"/>
      </c>
      <c r="N19" s="21">
        <v>7</v>
      </c>
      <c r="O19" s="372">
        <v>8</v>
      </c>
    </row>
    <row r="20" spans="1:15" ht="30.75" customHeight="1">
      <c r="A20" s="26">
        <v>8</v>
      </c>
      <c r="B20" s="805"/>
      <c r="C20" s="806"/>
      <c r="D20" s="806"/>
      <c r="E20" s="316"/>
      <c r="F20" s="315"/>
      <c r="G20" s="452"/>
      <c r="H20" s="444"/>
      <c r="I20" s="17">
        <f t="shared" si="1"/>
      </c>
      <c r="J20" s="318"/>
      <c r="K20" s="17">
        <f t="shared" si="2"/>
      </c>
      <c r="L20" s="18">
        <f t="shared" si="3"/>
      </c>
      <c r="M20" s="18">
        <f t="shared" si="0"/>
      </c>
      <c r="N20" s="22">
        <v>8</v>
      </c>
      <c r="O20" s="372">
        <v>8</v>
      </c>
    </row>
    <row r="21" spans="1:15" ht="30.75" customHeight="1">
      <c r="A21" s="25">
        <v>9</v>
      </c>
      <c r="B21" s="805"/>
      <c r="C21" s="806"/>
      <c r="D21" s="806"/>
      <c r="E21" s="316"/>
      <c r="F21" s="315"/>
      <c r="G21" s="452"/>
      <c r="H21" s="444"/>
      <c r="I21" s="17">
        <f t="shared" si="1"/>
      </c>
      <c r="J21" s="318"/>
      <c r="K21" s="17">
        <f t="shared" si="2"/>
      </c>
      <c r="L21" s="18">
        <f t="shared" si="3"/>
      </c>
      <c r="M21" s="18">
        <f t="shared" si="0"/>
      </c>
      <c r="N21" s="21">
        <v>9</v>
      </c>
      <c r="O21" s="372">
        <v>8</v>
      </c>
    </row>
    <row r="22" spans="1:15" ht="30.75" customHeight="1">
      <c r="A22" s="26">
        <v>10</v>
      </c>
      <c r="B22" s="805"/>
      <c r="C22" s="806"/>
      <c r="D22" s="806"/>
      <c r="E22" s="316"/>
      <c r="F22" s="315"/>
      <c r="G22" s="452"/>
      <c r="H22" s="444"/>
      <c r="I22" s="17">
        <f t="shared" si="1"/>
      </c>
      <c r="J22" s="318"/>
      <c r="K22" s="17">
        <f t="shared" si="2"/>
      </c>
      <c r="L22" s="18">
        <f t="shared" si="3"/>
      </c>
      <c r="M22" s="18">
        <f t="shared" si="0"/>
      </c>
      <c r="N22" s="22">
        <v>10</v>
      </c>
      <c r="O22" s="372">
        <v>8</v>
      </c>
    </row>
    <row r="23" spans="1:15" ht="30.75" customHeight="1">
      <c r="A23" s="25">
        <v>11</v>
      </c>
      <c r="B23" s="805"/>
      <c r="C23" s="806"/>
      <c r="D23" s="806"/>
      <c r="E23" s="316"/>
      <c r="F23" s="315"/>
      <c r="G23" s="452"/>
      <c r="H23" s="444"/>
      <c r="I23" s="17">
        <f t="shared" si="1"/>
      </c>
      <c r="J23" s="318"/>
      <c r="K23" s="17">
        <f t="shared" si="2"/>
      </c>
      <c r="L23" s="18">
        <f t="shared" si="3"/>
      </c>
      <c r="M23" s="18">
        <f t="shared" si="0"/>
      </c>
      <c r="N23" s="21">
        <v>11</v>
      </c>
      <c r="O23" s="372">
        <v>8</v>
      </c>
    </row>
    <row r="24" spans="1:15" ht="30.75" customHeight="1">
      <c r="A24" s="26">
        <v>12</v>
      </c>
      <c r="B24" s="805"/>
      <c r="C24" s="806"/>
      <c r="D24" s="806"/>
      <c r="E24" s="316"/>
      <c r="F24" s="315"/>
      <c r="G24" s="452"/>
      <c r="H24" s="444"/>
      <c r="I24" s="17">
        <f t="shared" si="1"/>
      </c>
      <c r="J24" s="318"/>
      <c r="K24" s="17">
        <f t="shared" si="2"/>
      </c>
      <c r="L24" s="18">
        <f t="shared" si="3"/>
      </c>
      <c r="M24" s="18">
        <f t="shared" si="0"/>
      </c>
      <c r="N24" s="22">
        <v>12</v>
      </c>
      <c r="O24" s="372">
        <v>8</v>
      </c>
    </row>
    <row r="25" spans="1:15" ht="30.75" customHeight="1">
      <c r="A25" s="25">
        <v>13</v>
      </c>
      <c r="B25" s="805"/>
      <c r="C25" s="806"/>
      <c r="D25" s="806"/>
      <c r="E25" s="316"/>
      <c r="F25" s="315"/>
      <c r="G25" s="452"/>
      <c r="H25" s="444"/>
      <c r="I25" s="17">
        <f t="shared" si="1"/>
      </c>
      <c r="J25" s="318"/>
      <c r="K25" s="17">
        <f t="shared" si="2"/>
      </c>
      <c r="L25" s="18">
        <f t="shared" si="3"/>
      </c>
      <c r="M25" s="18">
        <f t="shared" si="0"/>
      </c>
      <c r="N25" s="21">
        <v>13</v>
      </c>
      <c r="O25" s="372">
        <v>8</v>
      </c>
    </row>
    <row r="26" spans="1:15" ht="30.75" customHeight="1">
      <c r="A26" s="26">
        <v>14</v>
      </c>
      <c r="B26" s="805"/>
      <c r="C26" s="806"/>
      <c r="D26" s="806"/>
      <c r="E26" s="316"/>
      <c r="F26" s="315"/>
      <c r="G26" s="452"/>
      <c r="H26" s="444"/>
      <c r="I26" s="17">
        <f t="shared" si="1"/>
      </c>
      <c r="J26" s="318"/>
      <c r="K26" s="17">
        <f t="shared" si="2"/>
      </c>
      <c r="L26" s="18">
        <f t="shared" si="3"/>
      </c>
      <c r="M26" s="18">
        <f t="shared" si="0"/>
      </c>
      <c r="N26" s="22">
        <v>14</v>
      </c>
      <c r="O26" s="372">
        <v>8</v>
      </c>
    </row>
    <row r="27" spans="1:15" ht="30.75" customHeight="1">
      <c r="A27" s="25">
        <v>15</v>
      </c>
      <c r="B27" s="805"/>
      <c r="C27" s="806"/>
      <c r="D27" s="806"/>
      <c r="E27" s="316"/>
      <c r="F27" s="315"/>
      <c r="G27" s="452"/>
      <c r="H27" s="444"/>
      <c r="I27" s="17">
        <f t="shared" si="1"/>
      </c>
      <c r="J27" s="318"/>
      <c r="K27" s="17">
        <f t="shared" si="2"/>
      </c>
      <c r="L27" s="18">
        <f t="shared" si="3"/>
      </c>
      <c r="M27" s="18">
        <f t="shared" si="0"/>
      </c>
      <c r="N27" s="21">
        <v>15</v>
      </c>
      <c r="O27" s="372">
        <v>8</v>
      </c>
    </row>
    <row r="28" spans="1:15" ht="30.75" customHeight="1">
      <c r="A28" s="26">
        <v>16</v>
      </c>
      <c r="B28" s="805"/>
      <c r="C28" s="806"/>
      <c r="D28" s="806"/>
      <c r="E28" s="316"/>
      <c r="F28" s="315"/>
      <c r="G28" s="452"/>
      <c r="H28" s="444"/>
      <c r="I28" s="17">
        <f t="shared" si="1"/>
      </c>
      <c r="J28" s="318"/>
      <c r="K28" s="17">
        <f t="shared" si="2"/>
      </c>
      <c r="L28" s="18">
        <f t="shared" si="3"/>
      </c>
      <c r="M28" s="18">
        <f t="shared" si="0"/>
      </c>
      <c r="N28" s="22">
        <v>16</v>
      </c>
      <c r="O28" s="372">
        <v>8</v>
      </c>
    </row>
    <row r="29" spans="1:15" ht="30.75" customHeight="1">
      <c r="A29" s="25">
        <v>17</v>
      </c>
      <c r="B29" s="805"/>
      <c r="C29" s="806"/>
      <c r="D29" s="806"/>
      <c r="E29" s="316"/>
      <c r="F29" s="315"/>
      <c r="G29" s="452"/>
      <c r="H29" s="444"/>
      <c r="I29" s="17">
        <f t="shared" si="1"/>
      </c>
      <c r="J29" s="318"/>
      <c r="K29" s="17">
        <f t="shared" si="2"/>
      </c>
      <c r="L29" s="18">
        <f t="shared" si="3"/>
      </c>
      <c r="M29" s="18">
        <f t="shared" si="0"/>
      </c>
      <c r="N29" s="21">
        <v>17</v>
      </c>
      <c r="O29" s="372">
        <v>8</v>
      </c>
    </row>
    <row r="30" spans="1:15" ht="30.75" customHeight="1">
      <c r="A30" s="26">
        <v>18</v>
      </c>
      <c r="B30" s="805"/>
      <c r="C30" s="806"/>
      <c r="D30" s="806"/>
      <c r="E30" s="317"/>
      <c r="F30" s="317"/>
      <c r="G30" s="452"/>
      <c r="H30" s="445"/>
      <c r="I30" s="17">
        <f t="shared" si="1"/>
      </c>
      <c r="J30" s="318"/>
      <c r="K30" s="17">
        <f t="shared" si="2"/>
      </c>
      <c r="L30" s="18">
        <f t="shared" si="3"/>
      </c>
      <c r="M30" s="18">
        <f t="shared" si="0"/>
      </c>
      <c r="N30" s="22">
        <v>18</v>
      </c>
      <c r="O30" s="372">
        <v>8</v>
      </c>
    </row>
    <row r="31" spans="1:15" ht="30.75" customHeight="1">
      <c r="A31" s="25">
        <v>19</v>
      </c>
      <c r="B31" s="805"/>
      <c r="C31" s="806"/>
      <c r="D31" s="806"/>
      <c r="E31" s="317"/>
      <c r="F31" s="317"/>
      <c r="G31" s="452"/>
      <c r="H31" s="445"/>
      <c r="I31" s="17">
        <f t="shared" si="1"/>
      </c>
      <c r="J31" s="318"/>
      <c r="K31" s="17">
        <f t="shared" si="2"/>
      </c>
      <c r="L31" s="18">
        <f t="shared" si="3"/>
      </c>
      <c r="M31" s="18">
        <f t="shared" si="0"/>
      </c>
      <c r="N31" s="21">
        <v>19</v>
      </c>
      <c r="O31" s="372">
        <v>8</v>
      </c>
    </row>
    <row r="32" spans="1:15" ht="30.75" customHeight="1" thickBot="1">
      <c r="A32" s="41">
        <v>20</v>
      </c>
      <c r="B32" s="824"/>
      <c r="C32" s="825"/>
      <c r="D32" s="825"/>
      <c r="E32" s="319"/>
      <c r="F32" s="319"/>
      <c r="G32" s="452"/>
      <c r="H32" s="446"/>
      <c r="I32" s="42">
        <f t="shared" si="1"/>
      </c>
      <c r="J32" s="320"/>
      <c r="K32" s="42">
        <f t="shared" si="2"/>
      </c>
      <c r="L32" s="43">
        <f t="shared" si="3"/>
      </c>
      <c r="M32" s="43">
        <f t="shared" si="0"/>
      </c>
      <c r="N32" s="44">
        <v>20</v>
      </c>
      <c r="O32" s="373">
        <v>8</v>
      </c>
    </row>
    <row r="33" spans="1:14" ht="21" customHeight="1" thickBot="1">
      <c r="A33" s="822" t="s">
        <v>16</v>
      </c>
      <c r="B33" s="823"/>
      <c r="C33" s="823"/>
      <c r="D33" s="823"/>
      <c r="E33" s="823"/>
      <c r="F33" s="823"/>
      <c r="G33" s="823"/>
      <c r="H33" s="823"/>
      <c r="I33" s="823"/>
      <c r="J33" s="329"/>
      <c r="K33" s="64">
        <f>SUM(K13:K32)</f>
        <v>554526</v>
      </c>
      <c r="L33" s="63">
        <f>SUM(L13:L32)</f>
        <v>513450</v>
      </c>
      <c r="M33" s="62">
        <f>SUM(M13:M32)</f>
        <v>513450</v>
      </c>
      <c r="N33" s="23"/>
    </row>
    <row r="34" spans="1:14" ht="23.25" customHeight="1">
      <c r="A34" s="20"/>
      <c r="N34" s="20"/>
    </row>
    <row r="35" spans="2:14" ht="23.25" customHeight="1">
      <c r="B35" s="3" t="s">
        <v>838</v>
      </c>
      <c r="D35" s="348"/>
      <c r="E35" s="342"/>
      <c r="N35" s="20"/>
    </row>
    <row r="36" spans="2:16" ht="23.25" customHeight="1">
      <c r="B36" s="3" t="s">
        <v>839</v>
      </c>
      <c r="E36" s="342"/>
      <c r="N36" s="24"/>
      <c r="P36" s="327"/>
    </row>
    <row r="37" spans="2:16" ht="23.25" customHeight="1">
      <c r="B37" s="3" t="s">
        <v>840</v>
      </c>
      <c r="E37" s="342"/>
      <c r="P37" s="327"/>
    </row>
    <row r="38" spans="2:16" ht="23.25" customHeight="1">
      <c r="B38" s="3" t="s">
        <v>841</v>
      </c>
      <c r="E38" s="342"/>
      <c r="P38" s="327"/>
    </row>
    <row r="39" spans="1:16" s="327" customFormat="1" ht="13.5">
      <c r="A39" s="8"/>
      <c r="B39" s="3"/>
      <c r="C39" s="3"/>
      <c r="D39" s="3"/>
      <c r="E39" s="343"/>
      <c r="G39" s="3"/>
      <c r="H39" s="3"/>
      <c r="I39" s="3"/>
      <c r="J39" s="3"/>
      <c r="K39" s="3"/>
      <c r="L39" s="3"/>
      <c r="M39" s="3"/>
      <c r="N39" s="8"/>
      <c r="O39" s="8"/>
      <c r="P39" s="3"/>
    </row>
    <row r="40" spans="1:16" s="327" customFormat="1" ht="13.5">
      <c r="A40" s="8"/>
      <c r="B40" s="3"/>
      <c r="C40" s="3"/>
      <c r="D40" s="3"/>
      <c r="E40" s="343"/>
      <c r="G40" s="3"/>
      <c r="H40" s="3"/>
      <c r="I40" s="3"/>
      <c r="J40" s="3"/>
      <c r="K40" s="3"/>
      <c r="L40" s="3"/>
      <c r="M40" s="3"/>
      <c r="N40" s="8"/>
      <c r="O40" s="8"/>
      <c r="P40" s="3"/>
    </row>
    <row r="41" spans="1:16" s="327" customFormat="1" ht="13.5">
      <c r="A41" s="8"/>
      <c r="B41" s="3"/>
      <c r="C41" s="3"/>
      <c r="D41" s="3"/>
      <c r="E41" s="343"/>
      <c r="G41" s="3"/>
      <c r="H41" s="3"/>
      <c r="I41" s="3"/>
      <c r="J41" s="3"/>
      <c r="K41" s="3"/>
      <c r="L41" s="3"/>
      <c r="M41" s="3"/>
      <c r="N41" s="8"/>
      <c r="O41" s="8"/>
      <c r="P41" s="3"/>
    </row>
  </sheetData>
  <sheetProtection sheet="1" objects="1" scenarios="1"/>
  <mergeCells count="27">
    <mergeCell ref="A4:E4"/>
    <mergeCell ref="A11:A12"/>
    <mergeCell ref="B11:D11"/>
    <mergeCell ref="K11:L11"/>
    <mergeCell ref="N11:N12"/>
    <mergeCell ref="O11:O12"/>
    <mergeCell ref="B13:D13"/>
    <mergeCell ref="B14:D14"/>
    <mergeCell ref="B15:D15"/>
    <mergeCell ref="B16:D16"/>
    <mergeCell ref="B17:D17"/>
    <mergeCell ref="B18:D18"/>
    <mergeCell ref="B19:D19"/>
    <mergeCell ref="B20:D20"/>
    <mergeCell ref="B21:D21"/>
    <mergeCell ref="B22:D22"/>
    <mergeCell ref="B23:D23"/>
    <mergeCell ref="B24:D24"/>
    <mergeCell ref="B31:D31"/>
    <mergeCell ref="B32:D32"/>
    <mergeCell ref="A33:I33"/>
    <mergeCell ref="B25:D25"/>
    <mergeCell ref="B26:D26"/>
    <mergeCell ref="B27:D27"/>
    <mergeCell ref="B28:D28"/>
    <mergeCell ref="B29:D29"/>
    <mergeCell ref="B30:D30"/>
  </mergeCells>
  <dataValidations count="2">
    <dataValidation allowBlank="1" showInputMessage="1" showErrorMessage="1" imeMode="halfAlpha" sqref="I13:M32"/>
    <dataValidation allowBlank="1" showInputMessage="1" showErrorMessage="1" imeMode="hiragana" sqref="L9"/>
  </dataValidations>
  <hyperlinks>
    <hyperlink ref="B2" location="経費明細表!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67" r:id="rId1"/>
</worksheet>
</file>

<file path=xl/worksheets/sheet9.xml><?xml version="1.0" encoding="utf-8"?>
<worksheet xmlns="http://schemas.openxmlformats.org/spreadsheetml/2006/main" xmlns:r="http://schemas.openxmlformats.org/officeDocument/2006/relationships">
  <sheetPr codeName="Sheet5">
    <tabColor rgb="FF92D050"/>
    <pageSetUpPr fitToPage="1"/>
  </sheetPr>
  <dimension ref="A1:R38"/>
  <sheetViews>
    <sheetView showGridLines="0" zoomScaleSheetLayoutView="80" zoomScalePageLayoutView="0" workbookViewId="0" topLeftCell="A1">
      <pane ySplit="3" topLeftCell="A4" activePane="bottomLeft" state="frozen"/>
      <selection pane="topLeft" activeCell="G15" sqref="G15:G32"/>
      <selection pane="bottomLeft" activeCell="A1" sqref="A1"/>
    </sheetView>
  </sheetViews>
  <sheetFormatPr defaultColWidth="9.140625" defaultRowHeight="15"/>
  <cols>
    <col min="1" max="4" width="3.7109375" style="3" customWidth="1"/>
    <col min="5" max="5" width="16.421875" style="343" customWidth="1"/>
    <col min="6" max="6" width="16.140625" style="327" customWidth="1"/>
    <col min="7" max="7" width="9.140625" style="3" customWidth="1"/>
    <col min="8" max="8" width="6.421875" style="3" customWidth="1"/>
    <col min="9" max="10" width="11.57421875" style="3" customWidth="1"/>
    <col min="11" max="13" width="15.140625" style="3" customWidth="1"/>
    <col min="14" max="15" width="3.8515625" style="8" customWidth="1"/>
    <col min="16" max="16" width="3.57421875" style="8" customWidth="1"/>
    <col min="17" max="17" width="15.140625" style="3" customWidth="1"/>
    <col min="18" max="16384" width="9.00390625" style="3" customWidth="1"/>
  </cols>
  <sheetData>
    <row r="1" spans="1:18" ht="13.5">
      <c r="A1" s="8"/>
      <c r="H1" s="8"/>
      <c r="Q1" s="344"/>
      <c r="R1" s="344"/>
    </row>
    <row r="2" spans="1:18" ht="13.5">
      <c r="A2" s="8"/>
      <c r="B2" s="404" t="s">
        <v>724</v>
      </c>
      <c r="H2" s="8"/>
      <c r="Q2" s="344"/>
      <c r="R2" s="344"/>
    </row>
    <row r="3" spans="1:18" ht="13.5">
      <c r="A3" s="8"/>
      <c r="H3" s="8"/>
      <c r="Q3" s="344"/>
      <c r="R3" s="344"/>
    </row>
    <row r="4" spans="1:6" ht="13.5" customHeight="1">
      <c r="A4" s="817" t="s">
        <v>18</v>
      </c>
      <c r="B4" s="817"/>
      <c r="C4" s="817"/>
      <c r="D4" s="817"/>
      <c r="E4" s="817"/>
      <c r="F4" s="8"/>
    </row>
    <row r="5" spans="1:16" ht="13.5" customHeight="1">
      <c r="A5" s="20"/>
      <c r="B5" s="20"/>
      <c r="C5" s="20"/>
      <c r="D5" s="20"/>
      <c r="E5" s="369"/>
      <c r="F5" s="8"/>
      <c r="N5" s="20"/>
      <c r="P5" s="20"/>
    </row>
    <row r="6" spans="1:16" ht="13.5" customHeight="1">
      <c r="A6" s="20"/>
      <c r="B6" s="20" t="s">
        <v>19</v>
      </c>
      <c r="C6" s="345" t="s">
        <v>21</v>
      </c>
      <c r="D6" s="20"/>
      <c r="E6" s="369"/>
      <c r="F6" s="346" t="s">
        <v>17</v>
      </c>
      <c r="N6" s="20"/>
      <c r="P6" s="20"/>
    </row>
    <row r="7" spans="1:16" ht="13.5" customHeight="1">
      <c r="A7" s="20"/>
      <c r="B7" s="20"/>
      <c r="C7" s="20"/>
      <c r="D7" s="20"/>
      <c r="E7" s="369"/>
      <c r="F7" s="403" t="s">
        <v>34</v>
      </c>
      <c r="N7" s="20"/>
      <c r="P7" s="20"/>
    </row>
    <row r="8" spans="1:16" ht="13.5" customHeight="1">
      <c r="A8" s="20"/>
      <c r="B8" s="20"/>
      <c r="C8" s="20"/>
      <c r="D8" s="20"/>
      <c r="E8" s="369"/>
      <c r="F8" s="8"/>
      <c r="M8" s="3" t="s">
        <v>22</v>
      </c>
      <c r="N8" s="20"/>
      <c r="O8" s="347"/>
      <c r="P8" s="20"/>
    </row>
    <row r="9" spans="1:16" ht="13.5" customHeight="1">
      <c r="A9" s="348"/>
      <c r="F9" s="8"/>
      <c r="K9" s="4" t="s">
        <v>39</v>
      </c>
      <c r="L9" s="12" t="str">
        <f>IF(OR('基本情報入力（使い方）'!C11="",'基本情報入力（使い方）'!C11=0),"",'基本情報入力（使い方）'!C11)</f>
        <v>Ｂ金属株式会社</v>
      </c>
      <c r="N9" s="20"/>
      <c r="P9" s="20"/>
    </row>
    <row r="10" spans="1:16" ht="13.5" customHeight="1" thickBot="1">
      <c r="A10" s="348"/>
      <c r="F10" s="8"/>
      <c r="N10" s="20"/>
      <c r="P10" s="20"/>
    </row>
    <row r="11" spans="1:16" ht="27" customHeight="1">
      <c r="A11" s="818" t="s">
        <v>2</v>
      </c>
      <c r="B11" s="807" t="s">
        <v>3</v>
      </c>
      <c r="C11" s="807"/>
      <c r="D11" s="808"/>
      <c r="E11" s="370" t="s">
        <v>4</v>
      </c>
      <c r="F11" s="5" t="s">
        <v>5</v>
      </c>
      <c r="G11" s="5" t="s">
        <v>6</v>
      </c>
      <c r="H11" s="5" t="s">
        <v>7</v>
      </c>
      <c r="I11" s="5" t="s">
        <v>0</v>
      </c>
      <c r="J11" s="5" t="s">
        <v>0</v>
      </c>
      <c r="K11" s="826" t="s">
        <v>8</v>
      </c>
      <c r="L11" s="808"/>
      <c r="M11" s="330" t="s">
        <v>9</v>
      </c>
      <c r="N11" s="809" t="s">
        <v>2</v>
      </c>
      <c r="O11" s="811" t="s">
        <v>43</v>
      </c>
      <c r="P11" s="362"/>
    </row>
    <row r="12" spans="1:16" ht="42" customHeight="1" thickBot="1">
      <c r="A12" s="819"/>
      <c r="B12" s="350" t="s">
        <v>10</v>
      </c>
      <c r="C12" s="350" t="s">
        <v>11</v>
      </c>
      <c r="D12" s="351" t="s">
        <v>12</v>
      </c>
      <c r="E12" s="371"/>
      <c r="F12" s="353"/>
      <c r="G12" s="328"/>
      <c r="H12" s="328"/>
      <c r="I12" s="328" t="s">
        <v>13</v>
      </c>
      <c r="J12" s="328" t="s">
        <v>27</v>
      </c>
      <c r="K12" s="328" t="s">
        <v>14</v>
      </c>
      <c r="L12" s="6" t="s">
        <v>25</v>
      </c>
      <c r="M12" s="6" t="s">
        <v>15</v>
      </c>
      <c r="N12" s="810"/>
      <c r="O12" s="812"/>
      <c r="P12" s="362"/>
    </row>
    <row r="13" spans="1:16" ht="30.75" customHeight="1">
      <c r="A13" s="25">
        <v>1</v>
      </c>
      <c r="B13" s="813">
        <v>42689</v>
      </c>
      <c r="C13" s="814"/>
      <c r="D13" s="814"/>
      <c r="E13" s="313" t="s">
        <v>703</v>
      </c>
      <c r="F13" s="314" t="s">
        <v>704</v>
      </c>
      <c r="G13" s="453">
        <v>100</v>
      </c>
      <c r="H13" s="440" t="s">
        <v>705</v>
      </c>
      <c r="I13" s="17">
        <f>IF(J13="","",ROUNDDOWN(J13*(1+O13/100),0))</f>
        <v>58320</v>
      </c>
      <c r="J13" s="447">
        <v>54000</v>
      </c>
      <c r="K13" s="17">
        <f>IF(L13="","",ROUNDDOWN(L13*(1+O13/100),0))</f>
        <v>5832000</v>
      </c>
      <c r="L13" s="17">
        <f>IF(OR(J13="",G13=""),"",ROUNDDOWN(J13*G13,0))</f>
        <v>5400000</v>
      </c>
      <c r="M13" s="67">
        <f aca="true" t="shared" si="0" ref="M13:M32">L13</f>
        <v>5400000</v>
      </c>
      <c r="N13" s="364">
        <v>1</v>
      </c>
      <c r="O13" s="365">
        <v>8</v>
      </c>
      <c r="P13" s="3"/>
    </row>
    <row r="14" spans="1:16" ht="30.75" customHeight="1">
      <c r="A14" s="26">
        <v>2</v>
      </c>
      <c r="B14" s="805"/>
      <c r="C14" s="806"/>
      <c r="D14" s="806"/>
      <c r="E14" s="355"/>
      <c r="F14" s="315"/>
      <c r="G14" s="402"/>
      <c r="H14" s="441"/>
      <c r="I14" s="17">
        <f aca="true" t="shared" si="1" ref="I14:I32">IF(J14="","",ROUNDDOWN(J14*(1+O14/100),0))</f>
      </c>
      <c r="J14" s="321"/>
      <c r="K14" s="17">
        <f aca="true" t="shared" si="2" ref="K14:K32">IF(L14="","",ROUNDDOWN(L14*(1+O14/100),0))</f>
      </c>
      <c r="L14" s="17">
        <f aca="true" t="shared" si="3" ref="L14:L32">IF(OR(J14="",G14=""),"",ROUNDDOWN(J14*G14,0))</f>
      </c>
      <c r="M14" s="67">
        <f t="shared" si="0"/>
      </c>
      <c r="N14" s="366">
        <v>2</v>
      </c>
      <c r="O14" s="365">
        <v>8</v>
      </c>
      <c r="P14" s="362"/>
    </row>
    <row r="15" spans="1:16" ht="30.75" customHeight="1">
      <c r="A15" s="25">
        <v>3</v>
      </c>
      <c r="B15" s="805"/>
      <c r="C15" s="806"/>
      <c r="D15" s="806"/>
      <c r="E15" s="355"/>
      <c r="F15" s="315"/>
      <c r="G15" s="402"/>
      <c r="H15" s="441"/>
      <c r="I15" s="17">
        <f t="shared" si="1"/>
      </c>
      <c r="J15" s="321"/>
      <c r="K15" s="17">
        <f t="shared" si="2"/>
      </c>
      <c r="L15" s="17">
        <f t="shared" si="3"/>
      </c>
      <c r="M15" s="67">
        <f t="shared" si="0"/>
      </c>
      <c r="N15" s="364">
        <v>3</v>
      </c>
      <c r="O15" s="365">
        <v>8</v>
      </c>
      <c r="P15" s="362"/>
    </row>
    <row r="16" spans="1:16" s="19" customFormat="1" ht="30.75" customHeight="1">
      <c r="A16" s="379">
        <v>4</v>
      </c>
      <c r="B16" s="805"/>
      <c r="C16" s="806"/>
      <c r="D16" s="806"/>
      <c r="E16" s="355"/>
      <c r="F16" s="315"/>
      <c r="G16" s="402"/>
      <c r="H16" s="441"/>
      <c r="I16" s="17">
        <f t="shared" si="1"/>
      </c>
      <c r="J16" s="321"/>
      <c r="K16" s="17">
        <f t="shared" si="2"/>
      </c>
      <c r="L16" s="17">
        <f t="shared" si="3"/>
      </c>
      <c r="M16" s="67">
        <f t="shared" si="0"/>
      </c>
      <c r="N16" s="374">
        <v>4</v>
      </c>
      <c r="O16" s="365">
        <v>8</v>
      </c>
      <c r="P16" s="375"/>
    </row>
    <row r="17" spans="1:16" s="19" customFormat="1" ht="30.75" customHeight="1">
      <c r="A17" s="383">
        <v>5</v>
      </c>
      <c r="B17" s="805"/>
      <c r="C17" s="806"/>
      <c r="D17" s="806"/>
      <c r="E17" s="355"/>
      <c r="F17" s="315"/>
      <c r="G17" s="402"/>
      <c r="H17" s="441"/>
      <c r="I17" s="17">
        <f t="shared" si="1"/>
      </c>
      <c r="J17" s="321"/>
      <c r="K17" s="17">
        <f t="shared" si="2"/>
      </c>
      <c r="L17" s="17">
        <f t="shared" si="3"/>
      </c>
      <c r="M17" s="67">
        <f t="shared" si="0"/>
      </c>
      <c r="N17" s="376">
        <v>5</v>
      </c>
      <c r="O17" s="365">
        <v>8</v>
      </c>
      <c r="P17" s="375"/>
    </row>
    <row r="18" spans="1:16" ht="30.75" customHeight="1">
      <c r="A18" s="26">
        <v>6</v>
      </c>
      <c r="B18" s="805"/>
      <c r="C18" s="806"/>
      <c r="D18" s="806"/>
      <c r="E18" s="355"/>
      <c r="F18" s="315"/>
      <c r="G18" s="402"/>
      <c r="H18" s="441"/>
      <c r="I18" s="17">
        <f t="shared" si="1"/>
      </c>
      <c r="J18" s="321"/>
      <c r="K18" s="17">
        <f t="shared" si="2"/>
      </c>
      <c r="L18" s="17">
        <f t="shared" si="3"/>
      </c>
      <c r="M18" s="67">
        <f t="shared" si="0"/>
      </c>
      <c r="N18" s="366">
        <v>6</v>
      </c>
      <c r="O18" s="365">
        <v>8</v>
      </c>
      <c r="P18" s="362"/>
    </row>
    <row r="19" spans="1:16" ht="30.75" customHeight="1">
      <c r="A19" s="25">
        <v>7</v>
      </c>
      <c r="B19" s="805"/>
      <c r="C19" s="806"/>
      <c r="D19" s="806"/>
      <c r="E19" s="355"/>
      <c r="F19" s="356"/>
      <c r="G19" s="402"/>
      <c r="H19" s="441"/>
      <c r="I19" s="17">
        <f t="shared" si="1"/>
      </c>
      <c r="J19" s="321"/>
      <c r="K19" s="17">
        <f t="shared" si="2"/>
      </c>
      <c r="L19" s="17">
        <f t="shared" si="3"/>
      </c>
      <c r="M19" s="67">
        <f t="shared" si="0"/>
      </c>
      <c r="N19" s="364">
        <v>7</v>
      </c>
      <c r="O19" s="365">
        <v>8</v>
      </c>
      <c r="P19" s="362"/>
    </row>
    <row r="20" spans="1:16" ht="30.75" customHeight="1">
      <c r="A20" s="26">
        <v>8</v>
      </c>
      <c r="B20" s="805"/>
      <c r="C20" s="806"/>
      <c r="D20" s="806"/>
      <c r="E20" s="355"/>
      <c r="F20" s="315"/>
      <c r="G20" s="402"/>
      <c r="H20" s="441"/>
      <c r="I20" s="17">
        <f t="shared" si="1"/>
      </c>
      <c r="J20" s="321"/>
      <c r="K20" s="17">
        <f t="shared" si="2"/>
      </c>
      <c r="L20" s="17">
        <f t="shared" si="3"/>
      </c>
      <c r="M20" s="67">
        <f t="shared" si="0"/>
      </c>
      <c r="N20" s="366">
        <v>8</v>
      </c>
      <c r="O20" s="365">
        <v>8</v>
      </c>
      <c r="P20" s="362"/>
    </row>
    <row r="21" spans="1:16" ht="30.75" customHeight="1">
      <c r="A21" s="25">
        <v>9</v>
      </c>
      <c r="B21" s="805"/>
      <c r="C21" s="806"/>
      <c r="D21" s="806"/>
      <c r="E21" s="355"/>
      <c r="F21" s="315"/>
      <c r="G21" s="402"/>
      <c r="H21" s="441"/>
      <c r="I21" s="17">
        <f t="shared" si="1"/>
      </c>
      <c r="J21" s="321"/>
      <c r="K21" s="17">
        <f t="shared" si="2"/>
      </c>
      <c r="L21" s="17">
        <f t="shared" si="3"/>
      </c>
      <c r="M21" s="67">
        <f t="shared" si="0"/>
      </c>
      <c r="N21" s="364">
        <v>9</v>
      </c>
      <c r="O21" s="365">
        <v>8</v>
      </c>
      <c r="P21" s="362"/>
    </row>
    <row r="22" spans="1:16" ht="30.75" customHeight="1">
      <c r="A22" s="26">
        <v>10</v>
      </c>
      <c r="B22" s="805"/>
      <c r="C22" s="806"/>
      <c r="D22" s="806"/>
      <c r="E22" s="355"/>
      <c r="F22" s="315"/>
      <c r="G22" s="402"/>
      <c r="H22" s="441"/>
      <c r="I22" s="17">
        <f t="shared" si="1"/>
      </c>
      <c r="J22" s="321"/>
      <c r="K22" s="17">
        <f t="shared" si="2"/>
      </c>
      <c r="L22" s="17">
        <f t="shared" si="3"/>
      </c>
      <c r="M22" s="67">
        <f t="shared" si="0"/>
      </c>
      <c r="N22" s="366">
        <v>10</v>
      </c>
      <c r="O22" s="365">
        <v>8</v>
      </c>
      <c r="P22" s="362"/>
    </row>
    <row r="23" spans="1:16" ht="30.75" customHeight="1">
      <c r="A23" s="25">
        <v>11</v>
      </c>
      <c r="B23" s="805"/>
      <c r="C23" s="806"/>
      <c r="D23" s="806"/>
      <c r="E23" s="355"/>
      <c r="F23" s="315"/>
      <c r="G23" s="402"/>
      <c r="H23" s="441"/>
      <c r="I23" s="17">
        <f t="shared" si="1"/>
      </c>
      <c r="J23" s="321"/>
      <c r="K23" s="17">
        <f t="shared" si="2"/>
      </c>
      <c r="L23" s="17">
        <f t="shared" si="3"/>
      </c>
      <c r="M23" s="67">
        <f t="shared" si="0"/>
      </c>
      <c r="N23" s="364">
        <v>11</v>
      </c>
      <c r="O23" s="365">
        <v>8</v>
      </c>
      <c r="P23" s="362"/>
    </row>
    <row r="24" spans="1:16" ht="30.75" customHeight="1">
      <c r="A24" s="26">
        <v>12</v>
      </c>
      <c r="B24" s="805"/>
      <c r="C24" s="806"/>
      <c r="D24" s="806"/>
      <c r="E24" s="355"/>
      <c r="F24" s="315"/>
      <c r="G24" s="402"/>
      <c r="H24" s="441"/>
      <c r="I24" s="17">
        <f t="shared" si="1"/>
      </c>
      <c r="J24" s="321"/>
      <c r="K24" s="17">
        <f t="shared" si="2"/>
      </c>
      <c r="L24" s="17">
        <f t="shared" si="3"/>
      </c>
      <c r="M24" s="67">
        <f t="shared" si="0"/>
      </c>
      <c r="N24" s="366">
        <v>12</v>
      </c>
      <c r="O24" s="365">
        <v>8</v>
      </c>
      <c r="P24" s="362"/>
    </row>
    <row r="25" spans="1:16" ht="30.75" customHeight="1">
      <c r="A25" s="25">
        <v>13</v>
      </c>
      <c r="B25" s="805"/>
      <c r="C25" s="806"/>
      <c r="D25" s="806"/>
      <c r="E25" s="355"/>
      <c r="F25" s="315"/>
      <c r="G25" s="402"/>
      <c r="H25" s="441"/>
      <c r="I25" s="17">
        <f t="shared" si="1"/>
      </c>
      <c r="J25" s="321"/>
      <c r="K25" s="17">
        <f t="shared" si="2"/>
      </c>
      <c r="L25" s="17">
        <f t="shared" si="3"/>
      </c>
      <c r="M25" s="67">
        <f t="shared" si="0"/>
      </c>
      <c r="N25" s="364">
        <v>13</v>
      </c>
      <c r="O25" s="365">
        <v>8</v>
      </c>
      <c r="P25" s="362"/>
    </row>
    <row r="26" spans="1:16" ht="30.75" customHeight="1">
      <c r="A26" s="26">
        <v>14</v>
      </c>
      <c r="B26" s="805"/>
      <c r="C26" s="806"/>
      <c r="D26" s="806"/>
      <c r="E26" s="377"/>
      <c r="F26" s="315"/>
      <c r="G26" s="402"/>
      <c r="H26" s="441"/>
      <c r="I26" s="17">
        <f t="shared" si="1"/>
      </c>
      <c r="J26" s="321"/>
      <c r="K26" s="17">
        <f t="shared" si="2"/>
      </c>
      <c r="L26" s="17">
        <f t="shared" si="3"/>
      </c>
      <c r="M26" s="67">
        <f t="shared" si="0"/>
      </c>
      <c r="N26" s="366">
        <v>14</v>
      </c>
      <c r="O26" s="365">
        <v>8</v>
      </c>
      <c r="P26" s="362"/>
    </row>
    <row r="27" spans="1:16" ht="30.75" customHeight="1">
      <c r="A27" s="25">
        <v>15</v>
      </c>
      <c r="B27" s="805"/>
      <c r="C27" s="806"/>
      <c r="D27" s="806"/>
      <c r="E27" s="377"/>
      <c r="F27" s="315"/>
      <c r="G27" s="402"/>
      <c r="H27" s="441"/>
      <c r="I27" s="17">
        <f t="shared" si="1"/>
      </c>
      <c r="J27" s="321"/>
      <c r="K27" s="17">
        <f t="shared" si="2"/>
      </c>
      <c r="L27" s="17">
        <f t="shared" si="3"/>
      </c>
      <c r="M27" s="67">
        <f t="shared" si="0"/>
      </c>
      <c r="N27" s="364">
        <v>15</v>
      </c>
      <c r="O27" s="365">
        <v>8</v>
      </c>
      <c r="P27" s="362"/>
    </row>
    <row r="28" spans="1:16" ht="30.75" customHeight="1">
      <c r="A28" s="26">
        <v>16</v>
      </c>
      <c r="B28" s="805"/>
      <c r="C28" s="806"/>
      <c r="D28" s="806"/>
      <c r="E28" s="355"/>
      <c r="F28" s="315"/>
      <c r="G28" s="402"/>
      <c r="H28" s="441"/>
      <c r="I28" s="17">
        <f t="shared" si="1"/>
      </c>
      <c r="J28" s="321"/>
      <c r="K28" s="17">
        <f t="shared" si="2"/>
      </c>
      <c r="L28" s="17">
        <f t="shared" si="3"/>
      </c>
      <c r="M28" s="67">
        <f t="shared" si="0"/>
      </c>
      <c r="N28" s="366">
        <v>16</v>
      </c>
      <c r="O28" s="365">
        <v>8</v>
      </c>
      <c r="P28" s="362"/>
    </row>
    <row r="29" spans="1:16" ht="30.75" customHeight="1">
      <c r="A29" s="25">
        <v>17</v>
      </c>
      <c r="B29" s="805"/>
      <c r="C29" s="806"/>
      <c r="D29" s="806"/>
      <c r="E29" s="355"/>
      <c r="F29" s="315"/>
      <c r="G29" s="402"/>
      <c r="H29" s="441"/>
      <c r="I29" s="17">
        <f t="shared" si="1"/>
      </c>
      <c r="J29" s="321"/>
      <c r="K29" s="17">
        <f t="shared" si="2"/>
      </c>
      <c r="L29" s="17">
        <f t="shared" si="3"/>
      </c>
      <c r="M29" s="67">
        <f t="shared" si="0"/>
      </c>
      <c r="N29" s="364">
        <v>17</v>
      </c>
      <c r="O29" s="365">
        <v>8</v>
      </c>
      <c r="P29" s="362"/>
    </row>
    <row r="30" spans="1:16" ht="30.75" customHeight="1">
      <c r="A30" s="26">
        <v>18</v>
      </c>
      <c r="B30" s="805"/>
      <c r="C30" s="806"/>
      <c r="D30" s="806"/>
      <c r="E30" s="355"/>
      <c r="F30" s="315"/>
      <c r="G30" s="402"/>
      <c r="H30" s="441"/>
      <c r="I30" s="17">
        <f t="shared" si="1"/>
      </c>
      <c r="J30" s="321"/>
      <c r="K30" s="17">
        <f t="shared" si="2"/>
      </c>
      <c r="L30" s="17">
        <f t="shared" si="3"/>
      </c>
      <c r="M30" s="67">
        <f t="shared" si="0"/>
      </c>
      <c r="N30" s="366">
        <v>18</v>
      </c>
      <c r="O30" s="365">
        <v>8</v>
      </c>
      <c r="P30" s="362"/>
    </row>
    <row r="31" spans="1:16" ht="30.75" customHeight="1">
      <c r="A31" s="25">
        <v>19</v>
      </c>
      <c r="B31" s="805"/>
      <c r="C31" s="806"/>
      <c r="D31" s="806"/>
      <c r="E31" s="377"/>
      <c r="F31" s="315"/>
      <c r="G31" s="402"/>
      <c r="H31" s="441"/>
      <c r="I31" s="17">
        <f t="shared" si="1"/>
      </c>
      <c r="J31" s="321"/>
      <c r="K31" s="17">
        <f t="shared" si="2"/>
      </c>
      <c r="L31" s="17">
        <f t="shared" si="3"/>
      </c>
      <c r="M31" s="67">
        <f t="shared" si="0"/>
      </c>
      <c r="N31" s="364">
        <v>19</v>
      </c>
      <c r="O31" s="365">
        <v>8</v>
      </c>
      <c r="P31" s="362"/>
    </row>
    <row r="32" spans="1:16" ht="30.75" customHeight="1" thickBot="1">
      <c r="A32" s="41">
        <v>20</v>
      </c>
      <c r="B32" s="824"/>
      <c r="C32" s="825"/>
      <c r="D32" s="825"/>
      <c r="E32" s="358"/>
      <c r="F32" s="323"/>
      <c r="G32" s="402"/>
      <c r="H32" s="443"/>
      <c r="I32" s="42">
        <f t="shared" si="1"/>
      </c>
      <c r="J32" s="322"/>
      <c r="K32" s="42">
        <f t="shared" si="2"/>
      </c>
      <c r="L32" s="42">
        <f t="shared" si="3"/>
      </c>
      <c r="M32" s="68">
        <f t="shared" si="0"/>
      </c>
      <c r="N32" s="367">
        <v>20</v>
      </c>
      <c r="O32" s="368">
        <v>8</v>
      </c>
      <c r="P32" s="362"/>
    </row>
    <row r="33" spans="1:16" ht="21" customHeight="1" thickBot="1">
      <c r="A33" s="822" t="s">
        <v>16</v>
      </c>
      <c r="B33" s="823"/>
      <c r="C33" s="823"/>
      <c r="D33" s="823"/>
      <c r="E33" s="823"/>
      <c r="F33" s="823"/>
      <c r="G33" s="823"/>
      <c r="H33" s="823"/>
      <c r="I33" s="823"/>
      <c r="J33" s="329"/>
      <c r="K33" s="45">
        <f>SUM(K13:K32)</f>
        <v>5832000</v>
      </c>
      <c r="L33" s="64">
        <f>SUM(L13:L32)</f>
        <v>5400000</v>
      </c>
      <c r="M33" s="66">
        <f>SUM(M13:M32)</f>
        <v>5400000</v>
      </c>
      <c r="N33" s="23"/>
      <c r="P33" s="23"/>
    </row>
    <row r="34" spans="1:16" ht="23.25" customHeight="1">
      <c r="A34" s="348"/>
      <c r="N34" s="20"/>
      <c r="P34" s="20"/>
    </row>
    <row r="35" spans="2:16" ht="23.25" customHeight="1">
      <c r="B35" s="3" t="s">
        <v>838</v>
      </c>
      <c r="D35" s="348"/>
      <c r="E35" s="342"/>
      <c r="N35" s="20"/>
      <c r="P35" s="20"/>
    </row>
    <row r="36" spans="1:16" s="327" customFormat="1" ht="23.25" customHeight="1">
      <c r="A36" s="3"/>
      <c r="B36" s="3" t="s">
        <v>839</v>
      </c>
      <c r="C36" s="3"/>
      <c r="D36" s="3"/>
      <c r="E36" s="342"/>
      <c r="G36" s="3"/>
      <c r="H36" s="3"/>
      <c r="I36" s="3"/>
      <c r="J36" s="3"/>
      <c r="K36" s="3"/>
      <c r="L36" s="3"/>
      <c r="M36" s="3"/>
      <c r="N36" s="24"/>
      <c r="O36" s="8"/>
      <c r="P36" s="24"/>
    </row>
    <row r="37" spans="1:16" s="327" customFormat="1" ht="23.25" customHeight="1">
      <c r="A37" s="3"/>
      <c r="B37" s="3" t="s">
        <v>840</v>
      </c>
      <c r="C37" s="3"/>
      <c r="D37" s="3"/>
      <c r="E37" s="342"/>
      <c r="G37" s="3"/>
      <c r="H37" s="3"/>
      <c r="I37" s="3"/>
      <c r="J37" s="3"/>
      <c r="K37" s="3"/>
      <c r="L37" s="3"/>
      <c r="M37" s="3"/>
      <c r="N37" s="8"/>
      <c r="O37" s="8"/>
      <c r="P37" s="8"/>
    </row>
    <row r="38" spans="1:16" s="327" customFormat="1" ht="23.25" customHeight="1">
      <c r="A38" s="3"/>
      <c r="B38" s="3" t="s">
        <v>841</v>
      </c>
      <c r="C38" s="3"/>
      <c r="D38" s="3"/>
      <c r="E38" s="342"/>
      <c r="G38" s="3"/>
      <c r="H38" s="3"/>
      <c r="I38" s="3"/>
      <c r="J38" s="3"/>
      <c r="K38" s="3"/>
      <c r="L38" s="3"/>
      <c r="M38" s="3"/>
      <c r="N38" s="8"/>
      <c r="O38" s="8"/>
      <c r="P38" s="8"/>
    </row>
  </sheetData>
  <sheetProtection sheet="1" objects="1" scenarios="1"/>
  <mergeCells count="27">
    <mergeCell ref="A4:E4"/>
    <mergeCell ref="A11:A12"/>
    <mergeCell ref="B11:D11"/>
    <mergeCell ref="K11:L11"/>
    <mergeCell ref="N11:N12"/>
    <mergeCell ref="O11:O12"/>
    <mergeCell ref="B13:D13"/>
    <mergeCell ref="B14:D14"/>
    <mergeCell ref="B15:D15"/>
    <mergeCell ref="B16:D16"/>
    <mergeCell ref="B17:D17"/>
    <mergeCell ref="B18:D18"/>
    <mergeCell ref="B19:D19"/>
    <mergeCell ref="B20:D20"/>
    <mergeCell ref="B21:D21"/>
    <mergeCell ref="B22:D22"/>
    <mergeCell ref="B23:D23"/>
    <mergeCell ref="B24:D24"/>
    <mergeCell ref="B31:D31"/>
    <mergeCell ref="B32:D32"/>
    <mergeCell ref="A33:I33"/>
    <mergeCell ref="B25:D25"/>
    <mergeCell ref="B26:D26"/>
    <mergeCell ref="B27:D27"/>
    <mergeCell ref="B28:D28"/>
    <mergeCell ref="B29:D29"/>
    <mergeCell ref="B30:D30"/>
  </mergeCells>
  <dataValidations count="2">
    <dataValidation allowBlank="1" showInputMessage="1" showErrorMessage="1" imeMode="halfAlpha" sqref="I13:M32"/>
    <dataValidation allowBlank="1" showInputMessage="1" showErrorMessage="1" imeMode="hiragana" sqref="L9"/>
  </dataValidations>
  <hyperlinks>
    <hyperlink ref="B2" location="経費明細表!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bara</dc:creator>
  <cp:keywords/>
  <dc:description/>
  <cp:lastModifiedBy>高村 育子</cp:lastModifiedBy>
  <cp:lastPrinted>2016-08-09T05:26:39Z</cp:lastPrinted>
  <dcterms:created xsi:type="dcterms:W3CDTF">2013-05-03T10:01:41Z</dcterms:created>
  <dcterms:modified xsi:type="dcterms:W3CDTF">2016-08-12T00:53:40Z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