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40" tabRatio="659" activeTab="0"/>
  </bookViews>
  <sheets>
    <sheet name="目次" sheetId="1" r:id="rId1"/>
    <sheet name="基本情報入力（使い方）" sheetId="2" r:id="rId2"/>
    <sheet name="経費明細表チェックリスト" sheetId="3" r:id="rId3"/>
    <sheet name="様式第５の別紙　経費明細表　印刷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雑役務費" sheetId="15" r:id="rId15"/>
    <sheet name="クラウド利用費" sheetId="16" r:id="rId16"/>
    <sheet name="対象者一覧表" sheetId="17" state="hidden" r:id="rId17"/>
    <sheet name="総労働時間算定表(1)" sheetId="18" state="hidden" r:id="rId18"/>
    <sheet name="総労働時間算定表(2)" sheetId="19" state="hidden" r:id="rId19"/>
    <sheet name="直接人件費明細書(1)" sheetId="20" r:id="rId20"/>
    <sheet name="直接人件費明細書(2)" sheetId="21" r:id="rId21"/>
    <sheet name="賃金台帳(1)" sheetId="22" state="hidden" r:id="rId22"/>
    <sheet name="賃金台帳(2)" sheetId="23" state="hidden" r:id="rId23"/>
    <sheet name="賃金台帳(3)" sheetId="24" state="hidden" r:id="rId24"/>
    <sheet name="賃金台帳(4)" sheetId="25" state="hidden" r:id="rId25"/>
    <sheet name="賃金台帳(5)" sheetId="26" state="hidden" r:id="rId26"/>
    <sheet name="賃金台帳(6)" sheetId="27" state="hidden" r:id="rId27"/>
    <sheet name="賃金台帳(7)" sheetId="28" state="hidden" r:id="rId28"/>
    <sheet name="賃金台帳(8)" sheetId="29" state="hidden" r:id="rId29"/>
    <sheet name="賃金台帳(9)" sheetId="30" state="hidden" r:id="rId30"/>
    <sheet name="賃金台帳(10)" sheetId="31" state="hidden" r:id="rId31"/>
    <sheet name="賃金台帳(11)" sheetId="32" state="hidden" r:id="rId32"/>
    <sheet name="賃金台帳(12)" sheetId="33" state="hidden" r:id="rId33"/>
  </sheets>
  <definedNames>
    <definedName name="_xlfn.IFERROR" hidden="1">#NAME?</definedName>
    <definedName name="_xlfn.SHEETS" hidden="1">#NAME?</definedName>
    <definedName name="_xlfn.SUMIFS" hidden="1">#NAME?</definedName>
    <definedName name="_xlnm.Print_Area" localSheetId="15">'クラウド利用費'!$A$4:$O$38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2">'経費明細表チェックリスト'!$A$4:$O$57</definedName>
    <definedName name="_xlnm.Print_Area" localSheetId="7">'原材料費'!$A$4:$O$38</definedName>
    <definedName name="_xlnm.Print_Area" localSheetId="14">'雑役務費'!$A$4:$N$38</definedName>
    <definedName name="_xlnm.Print_Area" localSheetId="13">'専門家経費'!$A$4:$O$38</definedName>
    <definedName name="_xlnm.Print_Area" localSheetId="16">'対象者一覧表'!$B$4:$H$42</definedName>
    <definedName name="_xlnm.Print_Area" localSheetId="11">'知的財産権等関連経費'!$A$4:$O$38</definedName>
    <definedName name="_xlnm.Print_Area" localSheetId="19">'直接人件費明細書(1)'!$A$4:$U$51</definedName>
    <definedName name="_xlnm.Print_Area" localSheetId="20">'直接人件費明細書(2)'!$A$4:$T$52</definedName>
    <definedName name="_xlnm.Print_Area" localSheetId="21">'賃金台帳(1)'!$A$4:$U$59</definedName>
    <definedName name="_xlnm.Print_Area" localSheetId="30">'賃金台帳(10)'!$A$4:$U$59</definedName>
    <definedName name="_xlnm.Print_Area" localSheetId="31">'賃金台帳(11)'!$A$4:$U$59</definedName>
    <definedName name="_xlnm.Print_Area" localSheetId="32">'賃金台帳(12)'!$A$4:$U$59</definedName>
    <definedName name="_xlnm.Print_Area" localSheetId="22">'賃金台帳(2)'!$A$4:$U$59</definedName>
    <definedName name="_xlnm.Print_Area" localSheetId="23">'賃金台帳(3)'!$A$4:$U$59</definedName>
    <definedName name="_xlnm.Print_Area" localSheetId="24">'賃金台帳(4)'!$A$4:$U$59</definedName>
    <definedName name="_xlnm.Print_Area" localSheetId="25">'賃金台帳(5)'!$A$4:$U$59</definedName>
    <definedName name="_xlnm.Print_Area" localSheetId="26">'賃金台帳(6)'!$A$4:$U$59</definedName>
    <definedName name="_xlnm.Print_Area" localSheetId="27">'賃金台帳(7)'!$A$4:$U$59</definedName>
    <definedName name="_xlnm.Print_Area" localSheetId="28">'賃金台帳(8)'!$A$4:$U$59</definedName>
    <definedName name="_xlnm.Print_Area" localSheetId="29">'賃金台帳(9)'!$A$4:$U$59</definedName>
    <definedName name="_xlnm.Print_Area" localSheetId="3">'様式第５の別紙　経費明細表　印刷用'!$A$4:$K$34</definedName>
    <definedName name="事業類型" localSheetId="2">'経費明細表チェックリスト'!$Q$49</definedName>
    <definedName name="事業類型" localSheetId="3">'様式第５の別紙　経費明細表　印刷用'!#REF!</definedName>
    <definedName name="消費税率" localSheetId="2">'経費明細表チェックリスト'!$Q$48</definedName>
    <definedName name="消費税率" localSheetId="3">'様式第５の別紙　経費明細表　印刷用'!#REF!</definedName>
    <definedName name="補助上限額" localSheetId="2">'経費明細表チェックリスト'!$Q$51</definedName>
    <definedName name="補助上限額" localSheetId="3">'様式第５の別紙　経費明細表　印刷用'!#REF!</definedName>
  </definedNames>
  <calcPr fullCalcOnLoad="1"/>
</workbook>
</file>

<file path=xl/comments3.xml><?xml version="1.0" encoding="utf-8"?>
<comments xmlns="http://schemas.openxmlformats.org/spreadsheetml/2006/main">
  <authors>
    <author>PCUser</author>
    <author>bara</author>
    <author>EH</author>
    <author>4516　土岐　満春</author>
  </authors>
  <commentList>
    <comment ref="V23" authorId="0">
      <text>
        <r>
          <rPr>
            <sz val="11"/>
            <rFont val="ＭＳ Ｐゴシック"/>
            <family val="3"/>
          </rPr>
          <t xml:space="preserve">各経費区分ごとに判定。
判定１～判定３に「×」が１つでもあると、「×」と判定。
</t>
        </r>
      </text>
    </comment>
    <comment ref="W23"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3"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Z23" authorId="0">
      <text>
        <r>
          <rPr>
            <sz val="11"/>
            <rFont val="ＭＳ Ｐゴシック"/>
            <family val="3"/>
          </rPr>
          <t>判定１～７、「実績額の総額についての判定」がすべて「○」のとき、総合判定は「○」</t>
        </r>
      </text>
    </comment>
    <comment ref="W31"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2"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25" authorId="1">
      <text>
        <r>
          <rPr>
            <b/>
            <sz val="9"/>
            <rFont val="ＭＳ Ｐゴシック"/>
            <family val="3"/>
          </rPr>
          <t>bara:</t>
        </r>
        <r>
          <rPr>
            <sz val="9"/>
            <rFont val="ＭＳ Ｐゴシック"/>
            <family val="3"/>
          </rPr>
          <t xml:space="preserve">
積み上げで一円は違う時があります。
</t>
        </r>
      </text>
    </comment>
    <comment ref="E48" authorId="3">
      <text>
        <r>
          <rPr>
            <b/>
            <sz val="9"/>
            <rFont val="ＭＳ Ｐゴシック"/>
            <family val="3"/>
          </rPr>
          <t>自動算出されますが、事業者の計画に合わせ変更してください。</t>
        </r>
      </text>
    </comment>
  </commentList>
</comments>
</file>

<file path=xl/comments6.xml><?xml version="1.0" encoding="utf-8"?>
<comments xmlns="http://schemas.openxmlformats.org/spreadsheetml/2006/main">
  <authors>
    <author>高村 育子</author>
  </authors>
  <commentList>
    <comment ref="F11" authorId="0">
      <text>
        <r>
          <rPr>
            <sz val="9"/>
            <rFont val="ＭＳ Ｐゴシック"/>
            <family val="3"/>
          </rPr>
          <t>型式等を納品書通りに略さず記載してください。</t>
        </r>
      </text>
    </comment>
    <comment ref="B11" authorId="0">
      <text>
        <r>
          <rPr>
            <sz val="9"/>
            <rFont val="ＭＳ Ｐゴシック"/>
            <family val="3"/>
          </rPr>
          <t>支払年月日のの記載もれにご注意ください。</t>
        </r>
      </text>
    </comment>
  </commentList>
</comments>
</file>

<file path=xl/comments7.xml><?xml version="1.0" encoding="utf-8"?>
<comments xmlns="http://schemas.openxmlformats.org/spreadsheetml/2006/main">
  <authors>
    <author>4516　土岐　満春</author>
    <author>高村 育子</author>
  </authors>
  <commentList>
    <comment ref="A11" authorId="0">
      <text>
        <r>
          <rPr>
            <sz val="9"/>
            <rFont val="ＭＳ Ｐゴシック"/>
            <family val="3"/>
          </rPr>
          <t>機械装置費（50万円未満）の管理№は、機械装置費（50万円以上）の管理№からの通番としてください。</t>
        </r>
      </text>
    </comment>
    <comment ref="B11" authorId="1">
      <text>
        <r>
          <rPr>
            <sz val="9"/>
            <rFont val="ＭＳ Ｐゴシック"/>
            <family val="3"/>
          </rPr>
          <t>支払年月日のの記載もれにご注意ください。</t>
        </r>
      </text>
    </comment>
    <comment ref="F11" authorId="1">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<sst xmlns="http://schemas.openxmlformats.org/spreadsheetml/2006/main" count="3977" uniqueCount="1008">
  <si>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</si>
  <si>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</si>
  <si>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</si>
  <si>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</si>
  <si>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</si>
  <si>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</si>
  <si>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</si>
  <si>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</si>
  <si>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</si>
  <si>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</si>
  <si>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</si>
  <si>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</si>
  <si>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</si>
  <si>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</si>
  <si>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</si>
  <si>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</si>
  <si>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</si>
  <si>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</si>
  <si>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</si>
  <si>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</si>
  <si>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</si>
  <si>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</si>
  <si>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</si>
  <si>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</si>
  <si>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</si>
  <si>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</si>
  <si>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</si>
  <si>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</si>
  <si>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</si>
  <si>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</si>
  <si>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</si>
  <si>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</si>
  <si>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</si>
  <si>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</si>
  <si>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</si>
  <si>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</si>
  <si>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</si>
  <si>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</si>
  <si>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</si>
  <si>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（税抜き）</t>
  </si>
  <si>
    <t>原材料費</t>
  </si>
  <si>
    <t>(税抜き)</t>
  </si>
  <si>
    <t>＜事業全体に要する経費調達一覧＞</t>
  </si>
  <si>
    <t>区　　　　　分</t>
  </si>
  <si>
    <t>事業に要する経費(円)</t>
  </si>
  <si>
    <t>資金の調達先</t>
  </si>
  <si>
    <t>自　己　資　金</t>
  </si>
  <si>
    <t>そ　　の　　他</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</si>
  <si>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</si>
  <si>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</si>
  <si>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</si>
  <si>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</si>
  <si>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</si>
  <si>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</si>
  <si>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</si>
  <si>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</si>
  <si>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</si>
  <si>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</si>
  <si>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</si>
  <si>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</si>
  <si>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</si>
  <si>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</si>
  <si>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</si>
  <si>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</si>
  <si>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</si>
  <si>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</si>
  <si>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</si>
  <si>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</si>
  <si>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</si>
  <si>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</si>
  <si>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補助事業計画書の別紙５　直接人件費支出対象者一覧表</t>
  </si>
  <si>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</si>
  <si>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</si>
  <si>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</si>
  <si>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</si>
  <si>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</si>
  <si>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</si>
  <si>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</si>
  <si>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</si>
  <si>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</si>
  <si>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</si>
  <si>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</si>
  <si>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</si>
  <si>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</si>
  <si>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</si>
  <si>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</si>
  <si>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</si>
  <si>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</si>
  <si>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</si>
  <si>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</si>
  <si>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</si>
  <si>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</si>
  <si>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</si>
  <si>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</si>
  <si>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</si>
  <si>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</si>
  <si>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</si>
  <si>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</si>
  <si>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</si>
  <si>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</si>
  <si>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</si>
  <si>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</si>
  <si>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</si>
  <si>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</si>
  <si>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</si>
  <si>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</si>
  <si>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</si>
  <si>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</si>
  <si>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</si>
  <si>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</si>
  <si>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</si>
  <si>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</si>
  <si>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</si>
  <si>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</si>
  <si>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</si>
  <si>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</si>
  <si>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</si>
  <si>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</si>
  <si>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</si>
  <si>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</si>
  <si>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</si>
  <si>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</si>
  <si>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</si>
  <si>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</si>
  <si>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標準報酬月額</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</si>
  <si>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</si>
  <si>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</si>
  <si>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</si>
  <si>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</si>
  <si>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</si>
  <si>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</si>
  <si>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</si>
  <si>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</si>
  <si>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</si>
  <si>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</si>
  <si>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</si>
  <si>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</si>
  <si>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</si>
  <si>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</si>
  <si>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</si>
  <si>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</si>
  <si>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</si>
  <si>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</si>
  <si>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</si>
  <si>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</si>
  <si>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</si>
  <si>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</si>
  <si>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</si>
  <si>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</si>
  <si>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</si>
  <si>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</si>
  <si>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</si>
  <si>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</si>
  <si>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</si>
  <si>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</si>
  <si>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</si>
  <si>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</si>
  <si>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</si>
  <si>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</si>
  <si>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</si>
  <si>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</si>
  <si>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</si>
  <si>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</si>
  <si>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</si>
  <si>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</si>
  <si>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</si>
  <si>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</si>
  <si>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</si>
  <si>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</si>
  <si>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</si>
  <si>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</si>
  <si>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</si>
  <si>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</si>
  <si>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</si>
  <si>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</si>
  <si>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</si>
  <si>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</si>
  <si>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</si>
  <si>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</si>
  <si>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</si>
  <si>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</si>
  <si>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</si>
  <si>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</si>
  <si>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</si>
  <si>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</si>
  <si>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</si>
  <si>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</si>
  <si>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</si>
  <si>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</si>
  <si>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</si>
  <si>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</si>
  <si>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</si>
  <si>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</si>
  <si>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</si>
  <si>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</si>
  <si>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</si>
  <si>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</si>
  <si>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</si>
  <si>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</si>
  <si>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</si>
  <si>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</si>
  <si>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</si>
  <si>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</si>
  <si>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</si>
  <si>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</si>
  <si>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</si>
  <si>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</si>
  <si>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</si>
  <si>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</si>
  <si>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</si>
  <si>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</si>
  <si>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</si>
  <si>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</si>
  <si>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</si>
  <si>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</si>
  <si>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</si>
  <si>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</si>
  <si>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</si>
  <si>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</si>
  <si>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</si>
  <si>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</si>
  <si>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</si>
  <si>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</si>
  <si>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</si>
  <si>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</si>
  <si>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</si>
  <si>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</si>
  <si>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</si>
  <si>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</si>
  <si>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</si>
  <si>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</si>
  <si>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</si>
  <si>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</si>
  <si>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</si>
  <si>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</si>
  <si>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</si>
  <si>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</si>
  <si>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</si>
  <si>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</si>
  <si>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</si>
  <si>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</si>
  <si>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</si>
  <si>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</si>
  <si>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</si>
  <si>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</si>
  <si>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</si>
  <si>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</si>
  <si>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</si>
  <si>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</si>
  <si>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</si>
  <si>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</si>
  <si>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</si>
  <si>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</si>
  <si>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</si>
  <si>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</si>
  <si>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</si>
  <si>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</si>
  <si>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</si>
  <si>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</si>
  <si>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</si>
  <si>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</si>
  <si>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</si>
  <si>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</si>
  <si>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</si>
  <si>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</si>
  <si>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</si>
  <si>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</si>
  <si>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</si>
  <si>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</si>
  <si>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</si>
  <si>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</si>
  <si>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</si>
  <si>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</si>
  <si>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</si>
  <si>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</si>
  <si>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</si>
  <si>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</si>
  <si>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</si>
  <si>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</si>
  <si>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</si>
  <si>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</si>
  <si>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</si>
  <si>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</si>
  <si>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</si>
  <si>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</si>
  <si>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</si>
  <si>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</si>
  <si>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</si>
  <si>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</si>
  <si>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</si>
  <si>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</si>
  <si>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</si>
  <si>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</si>
  <si>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</si>
  <si>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</si>
  <si>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</si>
  <si>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</si>
  <si>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</si>
  <si>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</si>
  <si>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</si>
  <si>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</si>
  <si>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</si>
  <si>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</si>
  <si>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</si>
  <si>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</si>
  <si>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</si>
  <si>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</si>
  <si>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</si>
  <si>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</si>
  <si>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</si>
  <si>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</si>
  <si>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</si>
  <si>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</si>
  <si>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</si>
  <si>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</si>
  <si>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</si>
  <si>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</si>
  <si>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</si>
  <si>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</si>
  <si>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</si>
  <si>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</si>
  <si>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</si>
  <si>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</si>
  <si>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</si>
  <si>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</si>
  <si>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</si>
  <si>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</si>
  <si>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</si>
  <si>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</si>
  <si>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</si>
  <si>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</si>
  <si>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</si>
  <si>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</si>
  <si>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</si>
  <si>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</si>
  <si>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</si>
  <si>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</si>
  <si>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</si>
  <si>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</si>
  <si>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</si>
  <si>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</si>
  <si>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</si>
  <si>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</si>
  <si>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</si>
  <si>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</si>
  <si>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</si>
  <si>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</si>
  <si>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</si>
  <si>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</si>
  <si>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</si>
  <si>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</si>
  <si>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</si>
  <si>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</si>
  <si>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</si>
  <si>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</si>
  <si>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</si>
  <si>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</si>
  <si>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</si>
  <si>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</si>
  <si>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</si>
  <si>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</si>
  <si>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</si>
  <si>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</si>
  <si>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</si>
  <si>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</si>
  <si>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</si>
  <si>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</si>
  <si>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</si>
  <si>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</si>
  <si>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</si>
  <si>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</si>
  <si>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</si>
  <si>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</si>
  <si>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</si>
  <si>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</si>
  <si>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</si>
  <si>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</si>
  <si>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</si>
  <si>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</si>
  <si>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</si>
  <si>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</si>
  <si>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</si>
  <si>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</si>
  <si>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</si>
  <si>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</si>
  <si>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</si>
  <si>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</si>
  <si>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</si>
  <si>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</si>
  <si>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</si>
  <si>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</si>
  <si>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</si>
  <si>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</si>
  <si>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</si>
  <si>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</si>
  <si>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</si>
  <si>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</si>
  <si>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</si>
  <si>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</si>
  <si>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</si>
  <si>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</si>
  <si>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</si>
  <si>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</si>
  <si>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</si>
  <si>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</si>
  <si>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</si>
  <si>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</si>
  <si>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</si>
  <si>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</si>
  <si>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</si>
  <si>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</si>
  <si>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</si>
  <si>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</si>
  <si>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</si>
  <si>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</si>
  <si>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</si>
  <si>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</si>
  <si>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</si>
  <si>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</si>
  <si>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</si>
  <si>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</si>
  <si>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</si>
  <si>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</si>
  <si>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</si>
  <si>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</si>
  <si>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</si>
  <si>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</si>
  <si>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</si>
  <si>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</si>
  <si>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</si>
  <si>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</si>
  <si>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</si>
  <si>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</si>
  <si>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</si>
  <si>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</si>
  <si>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</si>
  <si>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</si>
  <si>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</si>
  <si>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</si>
  <si>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</si>
  <si>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</si>
  <si>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</si>
  <si>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</si>
  <si>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</si>
  <si>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</si>
  <si>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</si>
  <si>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</si>
  <si>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</si>
  <si>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</si>
  <si>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</si>
  <si>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</si>
  <si>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</si>
  <si>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</si>
  <si>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</si>
  <si>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</si>
  <si>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</si>
  <si>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</si>
  <si>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</si>
  <si>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</si>
  <si>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</si>
  <si>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</si>
  <si>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</si>
  <si>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</si>
  <si>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</si>
  <si>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</si>
  <si>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</si>
  <si>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</si>
  <si>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</si>
  <si>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</si>
  <si>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</si>
  <si>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</si>
  <si>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</si>
  <si>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</si>
  <si>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</si>
  <si>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</si>
  <si>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</si>
  <si>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</si>
  <si>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</si>
  <si>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</si>
  <si>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</si>
  <si>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</si>
  <si>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</si>
  <si>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</si>
  <si>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</si>
  <si>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</si>
  <si>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</si>
  <si>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</si>
  <si>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</si>
  <si>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</si>
  <si>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</si>
  <si>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</si>
  <si>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</si>
  <si>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</si>
  <si>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</si>
  <si>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</si>
  <si>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</si>
  <si>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</si>
  <si>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</si>
  <si>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</si>
  <si>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</si>
  <si>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</si>
  <si>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</si>
  <si>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</si>
  <si>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</si>
  <si>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</si>
  <si>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</si>
  <si>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</si>
  <si>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</si>
  <si>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</si>
  <si>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</si>
  <si>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</si>
  <si>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</si>
  <si>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</si>
  <si>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</si>
  <si>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</si>
  <si>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</si>
  <si>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</si>
  <si>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</si>
  <si>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</si>
  <si>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</si>
  <si>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</si>
  <si>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</si>
  <si>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</si>
  <si>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</si>
  <si>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</si>
  <si>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</si>
  <si>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</si>
  <si>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</si>
  <si>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</si>
  <si>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</si>
  <si>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</si>
  <si>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</si>
  <si>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</si>
  <si>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</si>
  <si>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</si>
  <si>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</si>
  <si>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</si>
  <si>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</si>
  <si>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</si>
  <si>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</si>
  <si>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</si>
  <si>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</si>
  <si>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</si>
  <si>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</si>
  <si>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</si>
  <si>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</si>
  <si>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</si>
  <si>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</si>
  <si>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</si>
  <si>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</si>
  <si>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</si>
  <si>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</si>
  <si>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</si>
  <si>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</si>
  <si>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</si>
  <si>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</si>
  <si>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</si>
  <si>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</si>
  <si>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</si>
  <si>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</si>
  <si>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</si>
  <si>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</si>
  <si>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</si>
  <si>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</si>
  <si>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</si>
  <si>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</si>
  <si>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</si>
  <si>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</si>
  <si>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</si>
  <si>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</si>
  <si>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</si>
  <si>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</si>
  <si>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</si>
  <si>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</si>
  <si>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</si>
  <si>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</si>
  <si>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</si>
  <si>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</si>
  <si>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</si>
  <si>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</si>
  <si>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</si>
  <si>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</si>
  <si>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</si>
  <si>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</si>
  <si>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</si>
  <si>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</si>
  <si>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</si>
  <si>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</si>
  <si>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</si>
  <si>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</si>
  <si>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</si>
  <si>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</si>
  <si>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</si>
  <si>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</si>
  <si>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</si>
  <si>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</si>
  <si>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</si>
  <si>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</si>
  <si>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</si>
  <si>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</si>
  <si>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</si>
  <si>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</si>
  <si>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</si>
  <si>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</si>
  <si>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</si>
  <si>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</si>
  <si>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</si>
  <si>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</si>
  <si>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</si>
  <si>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</si>
  <si>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</si>
  <si>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</si>
  <si>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</si>
  <si>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</si>
  <si>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</si>
  <si>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</si>
  <si>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</si>
  <si>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</si>
  <si>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</si>
  <si>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</si>
  <si>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</si>
  <si>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</si>
  <si>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</si>
  <si>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</si>
  <si>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</si>
  <si>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</si>
  <si>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</si>
  <si>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</si>
  <si>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</si>
  <si>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</si>
  <si>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</si>
  <si>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</si>
  <si>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</si>
  <si>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</si>
  <si>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</si>
  <si>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</si>
  <si>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</si>
  <si>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</si>
  <si>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</si>
  <si>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</si>
  <si>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</si>
  <si>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</si>
  <si>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</si>
  <si>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</si>
  <si>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</si>
  <si>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</si>
  <si>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</si>
  <si>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</si>
  <si>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</si>
  <si>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</si>
  <si>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</si>
  <si>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</si>
  <si>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</si>
  <si>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</si>
  <si>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</si>
  <si>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</si>
  <si>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</si>
  <si>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</si>
  <si>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</si>
  <si>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</si>
  <si>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</si>
  <si>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</si>
  <si>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</si>
  <si>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</si>
  <si>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</si>
  <si>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</si>
  <si>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</si>
  <si>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</si>
  <si>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</si>
  <si>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</si>
  <si>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</si>
  <si>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</si>
  <si>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</si>
  <si>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</si>
  <si>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</si>
  <si>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</si>
  <si>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厚生年金保険料</t>
  </si>
  <si>
    <t>健康保険料</t>
  </si>
  <si>
    <t>■　年間総支給額</t>
  </si>
  <si>
    <t>以下の判定結果をもとに数値を見直してください。</t>
  </si>
  <si>
    <t>差額</t>
  </si>
  <si>
    <t>交付申請時用</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</si>
  <si>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</si>
  <si>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</si>
  <si>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</si>
  <si>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</si>
  <si>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</si>
  <si>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</si>
  <si>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</si>
  <si>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</si>
  <si>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</si>
  <si>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</si>
  <si>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</si>
  <si>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</si>
  <si>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</si>
  <si>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</si>
  <si>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</si>
  <si>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</si>
  <si>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</si>
  <si>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</si>
  <si>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</si>
  <si>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</si>
  <si>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</si>
  <si>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本事業の経理担当者の役職名・氏名</t>
  </si>
  <si>
    <t>合　計</t>
  </si>
  <si>
    <t>(２）資金調達内訳</t>
  </si>
  <si>
    <t>※補助金の支払は、原則として事業終了後の精算払となりますので、事業実施期間中、補助金相当分の</t>
  </si>
  <si>
    <t>資金を確保する必要があります。</t>
  </si>
  <si>
    <t>↑</t>
  </si>
  <si>
    <t>※実際の勤務にあわせて記入願います。就業規則等と不一致の場合、就業規則等の改定が必要な場合があります。</t>
  </si>
  <si>
    <t>給与支払月</t>
  </si>
  <si>
    <t>なし</t>
  </si>
  <si>
    <t>－</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</si>
  <si>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</si>
  <si>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</si>
  <si>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</si>
  <si>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</si>
  <si>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</si>
  <si>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</si>
  <si>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</si>
  <si>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</si>
  <si>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</si>
  <si>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</si>
  <si>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</si>
  <si>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10月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</si>
  <si>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</si>
  <si>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</si>
  <si>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</si>
  <si>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</si>
  <si>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</si>
  <si>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</si>
  <si>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</si>
  <si>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</si>
  <si>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</si>
  <si>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</si>
  <si>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</si>
  <si>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</si>
  <si>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</si>
  <si>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</si>
  <si>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</si>
  <si>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</si>
  <si>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</si>
  <si>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</si>
  <si>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</si>
  <si>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</si>
  <si>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</si>
  <si>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</si>
  <si>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</si>
  <si>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</si>
  <si>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</si>
  <si>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</si>
  <si>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</si>
  <si>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</si>
  <si>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</si>
  <si>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</si>
  <si>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</si>
  <si>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</si>
  <si>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</si>
  <si>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</si>
  <si>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</si>
  <si>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</si>
  <si>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</si>
  <si>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</si>
  <si>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</si>
  <si>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</si>
  <si>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</si>
  <si>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</si>
  <si>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</si>
  <si>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</si>
  <si>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</si>
  <si>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</si>
  <si>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</si>
  <si>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</si>
  <si>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</si>
  <si>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</si>
  <si>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</si>
  <si>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</si>
  <si>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</si>
  <si>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</si>
  <si>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</si>
  <si>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</si>
  <si>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</si>
  <si>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</si>
  <si>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</si>
  <si>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</si>
  <si>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</si>
  <si>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</si>
  <si>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</si>
  <si>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</si>
  <si>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</si>
  <si>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</si>
  <si>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機械装置費は補助対象経費の総額５０万円未満にすること</t>
  </si>
  <si>
    <t>ＳＴＥＰ　4　</t>
  </si>
  <si>
    <t>人件費の計算の準備</t>
  </si>
  <si>
    <t>（切捨て）</t>
  </si>
  <si>
    <t>補助対象経費</t>
  </si>
  <si>
    <t>補助対象経費の（2/3）</t>
  </si>
  <si>
    <t>●年間総支給額</t>
  </si>
  <si>
    <t>●年間法定福利費</t>
  </si>
  <si>
    <t>■操作手順</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</si>
  <si>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</si>
  <si>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</si>
  <si>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</si>
  <si>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</si>
  <si>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</si>
  <si>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</si>
  <si>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</si>
  <si>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</si>
  <si>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</si>
  <si>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</si>
  <si>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</si>
  <si>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</si>
  <si>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</si>
  <si>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</si>
  <si>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</si>
  <si>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</si>
  <si>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</si>
  <si>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</si>
  <si>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</si>
  <si>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</si>
  <si>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</si>
  <si>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</si>
  <si>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</si>
  <si>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</si>
  <si>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注．事業に要する経費(A.税込みの額)</t>
  </si>
  <si>
    <t>要対応は　　× 並びに</t>
  </si>
  <si>
    <t>色の変わったセル(総額違反)</t>
  </si>
  <si>
    <t>11月</t>
  </si>
  <si>
    <t>別紙　費目別経費支出明細書のとおり</t>
  </si>
  <si>
    <t>Ｂ</t>
  </si>
  <si>
    <t>Ｂ×２／３以内</t>
  </si>
  <si>
    <t>（税抜き）</t>
  </si>
  <si>
    <t>Ａ</t>
  </si>
  <si>
    <t>積算基礎　(Ａ.税込み)</t>
  </si>
  <si>
    <t>事業形態</t>
  </si>
  <si>
    <t>機械装置費（50万円以上）</t>
  </si>
  <si>
    <t>機械装置費（50万円未満）</t>
  </si>
  <si>
    <t>2014年7月</t>
  </si>
  <si>
    <t>2015年1月</t>
  </si>
  <si>
    <t>8月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</si>
  <si>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</si>
  <si>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</si>
  <si>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</si>
  <si>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</si>
  <si>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</si>
  <si>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</si>
  <si>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</si>
  <si>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</si>
  <si>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</si>
  <si>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</si>
  <si>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</si>
  <si>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</si>
  <si>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</si>
  <si>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</si>
  <si>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</si>
  <si>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</si>
  <si>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</si>
  <si>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</si>
  <si>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</si>
  <si>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</si>
  <si>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</si>
  <si>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</si>
  <si>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</si>
  <si>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</si>
  <si>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</si>
  <si>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</si>
  <si>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</si>
  <si>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</si>
  <si>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</si>
  <si>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</si>
  <si>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</si>
  <si>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t>-</t>
  </si>
  <si>
    <r>
      <t>～8</t>
    </r>
    <r>
      <rPr>
        <sz val="11"/>
        <color indexed="8"/>
        <rFont val="ＭＳ Ｐゴシック"/>
        <family val="3"/>
      </rPr>
      <t>月</t>
    </r>
  </si>
  <si>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</si>
  <si>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</si>
  <si>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</si>
  <si>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</si>
  <si>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</si>
  <si>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</si>
  <si>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平成　　年　　月　　日</t>
  </si>
  <si>
    <t>㊞</t>
  </si>
  <si>
    <t>■　年間総支給額</t>
  </si>
  <si>
    <t>↓</t>
  </si>
  <si>
    <t>↓</t>
  </si>
  <si>
    <t>11月</t>
  </si>
  <si>
    <t>-</t>
  </si>
  <si>
    <t>+</t>
  </si>
  <si>
    <t>÷</t>
  </si>
  <si>
    <t>＝</t>
  </si>
  <si>
    <t>　</t>
  </si>
  <si>
    <t>19月</t>
  </si>
  <si>
    <t>1900分の</t>
  </si>
  <si>
    <t>この値を使用する場合、【賃金台帳】ｾﾙQ50と【対象者一覧表】下段の年間理論総労働時間を修正してください。</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</si>
  <si>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</si>
  <si>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</si>
  <si>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</si>
  <si>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</si>
  <si>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</si>
  <si>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</si>
  <si>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</si>
  <si>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</si>
  <si>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</si>
  <si>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</si>
  <si>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</si>
  <si>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</si>
  <si>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</si>
  <si>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●提出用・ファイリング用として印刷してください。</t>
  </si>
  <si>
    <t>←該当費目の額</t>
  </si>
  <si>
    <t>直接人件費明細書</t>
  </si>
  <si>
    <t>ＡＡ株式会社</t>
  </si>
  <si>
    <t>○○装置　(型番１２３型番TK)</t>
  </si>
  <si>
    <t>台</t>
  </si>
  <si>
    <t>ＢＢ株式会社</t>
  </si>
  <si>
    <t>○○装置　(型番１型番TK)</t>
  </si>
  <si>
    <t>ＢＢ株式会社</t>
  </si>
  <si>
    <t>○○装置　(型番２型番TK)</t>
  </si>
  <si>
    <t>○○装置　(型番３型番TK)</t>
  </si>
  <si>
    <t>ＣＣ株式会社</t>
  </si>
  <si>
    <t>金属Ａ</t>
  </si>
  <si>
    <t>ｋｇ</t>
  </si>
  <si>
    <t>金属Ｂ</t>
  </si>
  <si>
    <t>ｇ</t>
  </si>
  <si>
    <t>合金Ａ</t>
  </si>
  <si>
    <t>ｇ</t>
  </si>
  <si>
    <t>Ｄ株式会社</t>
  </si>
  <si>
    <t>○○指導</t>
  </si>
  <si>
    <t>件</t>
  </si>
  <si>
    <t>○○市工業研究所</t>
  </si>
  <si>
    <t>○○の委託研究開発</t>
  </si>
  <si>
    <t>○○運輸</t>
  </si>
  <si>
    <t>○○機材</t>
  </si>
  <si>
    <t>個</t>
  </si>
  <si>
    <t>○○弁理士</t>
  </si>
  <si>
    <t>○○派遣組合</t>
  </si>
  <si>
    <t>Ｈ</t>
  </si>
  <si>
    <t>○○株式会社</t>
  </si>
  <si>
    <t>機械設計</t>
  </si>
  <si>
    <t>山田　美子</t>
  </si>
  <si>
    <t>設計部</t>
  </si>
  <si>
    <t>チーフ</t>
  </si>
  <si>
    <t>田中　丑男</t>
  </si>
  <si>
    <t>加藤　寅乃介</t>
  </si>
  <si>
    <t>部長</t>
  </si>
  <si>
    <t>山本　卯助</t>
  </si>
  <si>
    <t>佐藤　辰一郎</t>
  </si>
  <si>
    <t>課長</t>
  </si>
  <si>
    <t>製造</t>
  </si>
  <si>
    <t>渡辺　克巳</t>
  </si>
  <si>
    <t>製造部</t>
  </si>
  <si>
    <t>後藤　午太郎</t>
  </si>
  <si>
    <t>太田　未来</t>
  </si>
  <si>
    <t>原田　申也</t>
  </si>
  <si>
    <t>西村　酉汰</t>
  </si>
  <si>
    <t>斎藤　戌</t>
  </si>
  <si>
    <t>酒井　亥</t>
  </si>
  <si>
    <t>○○作業
（1日7H×20日）</t>
  </si>
  <si>
    <t>○○作業
（20日）</t>
  </si>
  <si>
    <t>日</t>
  </si>
  <si>
    <t>初期費用</t>
  </si>
  <si>
    <t>直接人件費明細書（2）</t>
  </si>
  <si>
    <t>直接人件費明細書（1）</t>
  </si>
  <si>
    <t>)</t>
  </si>
  <si>
    <t>)</t>
  </si>
  <si>
    <t>件</t>
  </si>
  <si>
    <t>調整される補助金の額</t>
  </si>
  <si>
    <t>調整する件数</t>
  </si>
  <si>
    <t>様式第５の別紙　経費明細表　印刷用</t>
  </si>
  <si>
    <t>様式第５の別紙　経費明細表　印刷用</t>
  </si>
  <si>
    <t>経費明細表チェックリスト</t>
  </si>
  <si>
    <t>基本情報入力（使い方）</t>
  </si>
  <si>
    <t>経費明細表チェックリスト</t>
  </si>
  <si>
    <t>様式第５の別紙　経費明細表を作成して下さい。</t>
  </si>
  <si>
    <t>様式第５の別紙</t>
  </si>
  <si>
    <t>様式第５の別紙</t>
  </si>
  <si>
    <t>様式第５の別紙</t>
  </si>
  <si>
    <t>様式第５の別紙</t>
  </si>
  <si>
    <t>様式第５の別紙</t>
  </si>
  <si>
    <t>様式第５の別紙</t>
  </si>
  <si>
    <t>様式第５の別紙　経費明細表</t>
  </si>
  <si>
    <t>補助事業に要した経費</t>
  </si>
  <si>
    <t>補助金
交付決定額</t>
  </si>
  <si>
    <t>様式第５の別紙　経費明細表</t>
  </si>
  <si>
    <t>補助金の額</t>
  </si>
  <si>
    <t>遂行状況支出額　計算シート　※各費目の按分率（補助金の額）は毎月の遂行過程で増減することがあります。</t>
  </si>
  <si>
    <t>按分計算
補助金の額</t>
  </si>
  <si>
    <t>仮計算
補助金の額</t>
  </si>
  <si>
    <t>Ｂ金属株式会社</t>
  </si>
  <si>
    <t>○○信用金庫　○○支店</t>
  </si>
  <si>
    <t>総務部長　経済計子</t>
  </si>
  <si>
    <t>TEL　052-123-4567</t>
  </si>
  <si>
    <t>資金（借入金）の調達先を入力してください。</t>
  </si>
  <si>
    <t>を作成するために用意したものです。</t>
  </si>
  <si>
    <t>このエクセルは事務処理の手引きの遂行状況報告書　様式第５の別紙　経費明細表</t>
  </si>
  <si>
    <t>「機械装置費（50万円以上）」から「クラウド利用費費」まで該当の「費目別経費支出明細書」へ請求書等の証拠書類から支払実績をもとに入力してください。</t>
  </si>
  <si>
    <t>【様式第５の別紙】①費目別経費支出明細書</t>
  </si>
  <si>
    <t>請求書等の証拠書類をもとに、各経費のそれぞれの単価・数量・内容を入力すると、経費明細へ自動的に反映されます。</t>
  </si>
  <si>
    <t>交付申請の「対象者一覧表」に記載されている従事者名と時間単価を入力してください。</t>
  </si>
  <si>
    <t>次に、従事期間の各給与支払月と、その月（事業者の締日翌日から締日までの期間）に従事した週報の合計時間数（60進法→10進法）を入力します。</t>
  </si>
  <si>
    <t>例）　　　27年12月　　　　75.00時間</t>
  </si>
  <si>
    <t>遂行状況報告では、最終従事月まで従事時間を毎月加算していきます。従事していない月は「0」を入力してください。</t>
  </si>
  <si>
    <t>毎月の給与支払総額は給与明細の支払総額（控除前）を入力します。</t>
  </si>
  <si>
    <r>
      <t>これで人件費の従事時間の計上</t>
    </r>
    <r>
      <rPr>
        <sz val="12"/>
        <color indexed="8"/>
        <rFont val="ＭＳ ゴシック"/>
        <family val="3"/>
      </rPr>
      <t>は確定します。</t>
    </r>
  </si>
  <si>
    <t>本事業従事時間が確定後、実績報告書の様式をダウンロードして入力し、補助金額を算出します。</t>
  </si>
  <si>
    <t>●交付決定された各費目の補助金交付決定額を入力します。</t>
  </si>
  <si>
    <t>注：遂行報告段階での「補助金額」は「費目別経費支出明細書」の2/3から算出しているため交付決定額等の上限制限等が調整されていません。</t>
  </si>
  <si>
    <t>　　実績報告の段階で上限制限等が調整され、補助金額が確定されます。</t>
  </si>
  <si>
    <t>　　　25日〆翌月10日払の場合　　12/10給与支払　　10/26～11/25従事時間数</t>
  </si>
  <si>
    <t>　　　20日〆当月末日払の場合　　12/31給与支払　　11/21～12/20従事時間数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</si>
</sst>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 numFmtId="228" formatCode="0.00_);[Red]\(0.00\)"/>
  </numFmts>
  <fonts count="203">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4"/>
      <name val="ＭＳ Ｐゴシック"/>
      <family val="3"/>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14"/>
      <color indexed="56"/>
      <name val="ＭＳ Ｐゴシック"/>
      <family val="3"/>
    </font>
    <font>
      <sz val="14"/>
      <color indexed="56"/>
      <name val="ＭＳ Ｐゴシック"/>
      <family val="3"/>
    </font>
    <font>
      <b/>
      <sz val="36"/>
      <color indexed="9"/>
      <name val="ＭＳ Ｐゴシック"/>
      <family val="3"/>
    </font>
    <font>
      <b/>
      <sz val="20"/>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sz val="12"/>
      <color rgb="FFFF0000"/>
      <name val="ＭＳ ゴシック"/>
      <family val="3"/>
    </font>
    <font>
      <b/>
      <sz val="20"/>
      <name val="Calibri"/>
      <family val="3"/>
    </font>
    <font>
      <b/>
      <sz val="14"/>
      <color theme="1"/>
      <name val="ＭＳ Ｐゴシック"/>
      <family val="3"/>
    </font>
    <font>
      <b/>
      <sz val="36"/>
      <color theme="0"/>
      <name val="Calibri"/>
      <family val="3"/>
    </font>
    <font>
      <b/>
      <sz val="14"/>
      <color rgb="FF002060"/>
      <name val="Calibri"/>
      <family val="3"/>
    </font>
    <font>
      <sz val="14"/>
      <color rgb="FF002060"/>
      <name val="Calibri"/>
      <family val="3"/>
    </font>
    <font>
      <b/>
      <sz val="11"/>
      <color rgb="FF002060"/>
      <name val="Calibri"/>
      <family val="3"/>
    </font>
    <font>
      <b/>
      <sz val="14"/>
      <color indexed="8"/>
      <name val="Calibri"/>
      <family val="3"/>
    </font>
    <font>
      <sz val="12"/>
      <color rgb="FF0070C0"/>
      <name val="Calibri"/>
      <family val="3"/>
    </font>
    <font>
      <sz val="11"/>
      <color theme="0" tint="-0.4999699890613556"/>
      <name val="Calibri"/>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24993999302387238"/>
        <bgColor indexed="64"/>
      </patternFill>
    </fill>
    <fill>
      <patternFill patternType="solid">
        <fgColor rgb="FFFF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color indexed="63"/>
      </left>
      <right style="medium"/>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style="medium">
        <color rgb="FF000000"/>
      </left>
      <right style="medium">
        <color rgb="FF000000"/>
      </right>
      <top style="medium">
        <color rgb="FF000000"/>
      </top>
      <bottom style="medium"/>
    </border>
    <border>
      <left/>
      <right style="thin"/>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thin"/>
      <right/>
      <top style="thin"/>
      <bottom style="medium"/>
    </border>
    <border>
      <left style="medium"/>
      <right/>
      <top style="thin"/>
      <bottom style="medium"/>
    </border>
    <border>
      <left/>
      <right/>
      <top style="thin"/>
      <bottom/>
    </border>
    <border>
      <left/>
      <right style="thin"/>
      <top style="thin"/>
      <bottom/>
    </border>
    <border>
      <left/>
      <right style="thin"/>
      <top/>
      <bottom/>
    </border>
    <border>
      <left>
        <color indexed="63"/>
      </left>
      <right style="thin"/>
      <top style="thin"/>
      <bottom style="hair"/>
    </border>
    <border>
      <left/>
      <right style="thin"/>
      <top style="hair"/>
      <bottom style="hair"/>
    </border>
    <border>
      <left>
        <color indexed="63"/>
      </left>
      <right style="thin"/>
      <top style="hair"/>
      <bottom style="thin"/>
    </border>
    <border>
      <left style="thin"/>
      <right/>
      <top/>
      <bottom/>
    </border>
    <border>
      <left style="thin"/>
      <right/>
      <top style="thin"/>
      <bottom/>
    </border>
    <border>
      <left style="thin"/>
      <right style="thin"/>
      <top/>
      <bottom/>
    </border>
    <border>
      <left style="medium">
        <color rgb="FF000000"/>
      </left>
      <right style="medium">
        <color rgb="FF000000"/>
      </right>
      <top/>
      <bottom style="medium"/>
    </border>
    <border>
      <left style="thin"/>
      <right style="thin"/>
      <top>
        <color indexed="63"/>
      </top>
      <bottom style="hair"/>
    </border>
    <border>
      <left style="medium"/>
      <right/>
      <top>
        <color indexed="63"/>
      </top>
      <bottom style="thin"/>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right style="medium">
        <color rgb="FF000000"/>
      </right>
      <top style="thin"/>
      <bottom style="thin"/>
    </border>
    <border>
      <left/>
      <right style="medium">
        <color rgb="FF000000"/>
      </right>
      <top style="thin"/>
      <bottom style="medium"/>
    </border>
    <border>
      <left style="medium"/>
      <right/>
      <top style="hair"/>
      <bottom style="hair"/>
    </border>
    <border>
      <left/>
      <right style="medium"/>
      <top style="hair"/>
      <bottom style="hair"/>
    </border>
    <border>
      <left style="medium"/>
      <right>
        <color indexed="63"/>
      </right>
      <top style="medium"/>
      <bottom style="hair"/>
    </border>
    <border>
      <left>
        <color indexed="63"/>
      </left>
      <right style="medium"/>
      <top style="medium"/>
      <bottom style="hair"/>
    </border>
    <border>
      <left/>
      <right style="medium"/>
      <top/>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thin"/>
      <right style="thin"/>
      <top style="hair"/>
      <bottom style="thick"/>
    </border>
    <border>
      <left style="thin"/>
      <right style="thick"/>
      <top style="hair"/>
      <bottom style="thick"/>
    </border>
    <border>
      <left style="thin"/>
      <right style="thick"/>
      <top style="hair"/>
      <bottom style="hair"/>
    </border>
    <border>
      <left style="thick">
        <color theme="8" tint="-0.4999699890613556"/>
      </left>
      <right style="thick">
        <color theme="0"/>
      </right>
      <top style="thick">
        <color theme="0"/>
      </top>
      <bottom style="thick">
        <color theme="0"/>
      </bottom>
    </border>
    <border>
      <left style="thin"/>
      <right style="thin"/>
      <top style="thick"/>
      <bottom style="hair"/>
    </border>
    <border>
      <left style="thin"/>
      <right style="thick"/>
      <top style="thick"/>
      <bottom style="hair"/>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right style="medium"/>
      <top style="medium"/>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color indexed="63"/>
      </left>
      <right>
        <color indexed="63"/>
      </right>
      <top style="medium"/>
      <bottom style="double"/>
    </border>
    <border>
      <left style="double"/>
      <right/>
      <top style="double"/>
      <bottom style="double"/>
    </border>
    <border>
      <left/>
      <right style="double"/>
      <top style="double"/>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25" fillId="0" borderId="0" applyNumberFormat="0" applyFill="0" applyBorder="0" applyAlignment="0" applyProtection="0"/>
    <xf numFmtId="0" fontId="126" fillId="32" borderId="0" applyNumberFormat="0" applyBorder="0" applyAlignment="0" applyProtection="0"/>
  </cellStyleXfs>
  <cellXfs count="1098">
    <xf numFmtId="0" fontId="0" fillId="0" borderId="0" xfId="0" applyFont="1" applyAlignment="1">
      <alignment vertical="center"/>
    </xf>
    <xf numFmtId="0" fontId="127"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28"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9" fillId="0" borderId="10" xfId="0" applyFont="1" applyBorder="1" applyAlignment="1" applyProtection="1">
      <alignment horizontal="center" vertical="top" wrapText="1"/>
      <protection locked="0"/>
    </xf>
    <xf numFmtId="0" fontId="129" fillId="0" borderId="11" xfId="0" applyFont="1" applyBorder="1" applyAlignment="1" applyProtection="1">
      <alignment horizontal="center" vertical="center" wrapText="1"/>
      <protection locked="0"/>
    </xf>
    <xf numFmtId="0" fontId="13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1" fillId="0" borderId="0" xfId="0" applyFont="1" applyAlignment="1" applyProtection="1">
      <alignment vertical="center"/>
      <protection locked="0"/>
    </xf>
    <xf numFmtId="0" fontId="0" fillId="0" borderId="0" xfId="0" applyAlignment="1" applyProtection="1">
      <alignment vertical="center"/>
      <protection locked="0"/>
    </xf>
    <xf numFmtId="0" fontId="128" fillId="0" borderId="0" xfId="0" applyFont="1" applyBorder="1" applyAlignment="1" applyProtection="1">
      <alignment vertical="center"/>
      <protection locked="0"/>
    </xf>
    <xf numFmtId="0" fontId="128" fillId="0" borderId="0" xfId="0" applyFont="1" applyBorder="1" applyAlignment="1" applyProtection="1">
      <alignment horizontal="center" vertical="center"/>
      <protection locked="0"/>
    </xf>
    <xf numFmtId="0" fontId="132" fillId="0" borderId="0" xfId="0" applyFont="1" applyBorder="1" applyAlignment="1" applyProtection="1">
      <alignment horizontal="center" vertical="center"/>
      <protection locked="0"/>
    </xf>
    <xf numFmtId="0" fontId="133"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1" fillId="33" borderId="0" xfId="0" applyFont="1" applyFill="1" applyAlignment="1" applyProtection="1">
      <alignment vertical="center"/>
      <protection locked="0"/>
    </xf>
    <xf numFmtId="0" fontId="134" fillId="33" borderId="0" xfId="0" applyFont="1" applyFill="1" applyAlignment="1" applyProtection="1">
      <alignment horizontal="center" vertical="center"/>
      <protection locked="0"/>
    </xf>
    <xf numFmtId="0" fontId="135" fillId="33" borderId="0" xfId="0" applyFont="1" applyFill="1" applyAlignment="1" applyProtection="1">
      <alignment horizontal="center" vertical="center"/>
      <protection locked="0"/>
    </xf>
    <xf numFmtId="0" fontId="136" fillId="33" borderId="0" xfId="0" applyFont="1" applyFill="1" applyAlignment="1" applyProtection="1">
      <alignment horizontal="justify" vertical="center"/>
      <protection locked="0"/>
    </xf>
    <xf numFmtId="0" fontId="12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37" fillId="33" borderId="0" xfId="0" applyFont="1" applyFill="1" applyAlignment="1" applyProtection="1">
      <alignment horizontal="justify" vertical="center"/>
      <protection locked="0"/>
    </xf>
    <xf numFmtId="0" fontId="138" fillId="33" borderId="0" xfId="0" applyFont="1" applyFill="1" applyAlignment="1" applyProtection="1">
      <alignment horizontal="justify" vertical="center"/>
      <protection locked="0"/>
    </xf>
    <xf numFmtId="176" fontId="139" fillId="33" borderId="0" xfId="0" applyNumberFormat="1" applyFont="1" applyFill="1" applyBorder="1" applyAlignment="1" applyProtection="1">
      <alignment vertical="center" wrapText="1"/>
      <protection locked="0"/>
    </xf>
    <xf numFmtId="0" fontId="139" fillId="33" borderId="0" xfId="0" applyFont="1" applyFill="1" applyBorder="1" applyAlignment="1" applyProtection="1">
      <alignment vertical="center" wrapText="1"/>
      <protection locked="0"/>
    </xf>
    <xf numFmtId="0" fontId="127"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27"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27" fillId="0" borderId="13" xfId="0" applyFont="1" applyBorder="1" applyAlignment="1" applyProtection="1">
      <alignment horizontal="center" vertical="center"/>
      <protection locked="0"/>
    </xf>
    <xf numFmtId="0" fontId="127"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27" fillId="0" borderId="13" xfId="0" applyFont="1" applyBorder="1" applyAlignment="1" applyProtection="1">
      <alignment horizontal="center" vertical="top" wrapText="1"/>
      <protection locked="0"/>
    </xf>
    <xf numFmtId="0" fontId="130"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0" fillId="0" borderId="0" xfId="0" applyFont="1" applyAlignment="1" applyProtection="1">
      <alignment vertical="center"/>
      <protection locked="0"/>
    </xf>
    <xf numFmtId="0" fontId="131" fillId="0" borderId="0" xfId="0" applyFont="1" applyAlignment="1" applyProtection="1">
      <alignment vertical="center"/>
      <protection locked="0"/>
    </xf>
    <xf numFmtId="187" fontId="131" fillId="0" borderId="0" xfId="0" applyNumberFormat="1" applyFont="1" applyAlignment="1" applyProtection="1">
      <alignment horizontal="left" vertical="center"/>
      <protection locked="0"/>
    </xf>
    <xf numFmtId="0" fontId="131" fillId="0" borderId="0" xfId="0" applyFont="1" applyBorder="1" applyAlignment="1" applyProtection="1">
      <alignment vertical="center"/>
      <protection locked="0"/>
    </xf>
    <xf numFmtId="0" fontId="131" fillId="0" borderId="14" xfId="0" applyFont="1" applyBorder="1" applyAlignment="1" applyProtection="1">
      <alignment vertical="center"/>
      <protection/>
    </xf>
    <xf numFmtId="0" fontId="131"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1" fillId="0" borderId="0" xfId="0" applyFont="1" applyAlignment="1" applyProtection="1">
      <alignment vertical="center"/>
      <protection locked="0"/>
    </xf>
    <xf numFmtId="20" fontId="0" fillId="0" borderId="0" xfId="0" applyNumberFormat="1" applyAlignment="1" applyProtection="1">
      <alignment vertical="center"/>
      <protection/>
    </xf>
    <xf numFmtId="0" fontId="127" fillId="0" borderId="0" xfId="0" applyFont="1" applyAlignment="1" applyProtection="1">
      <alignment horizontal="center" vertical="center"/>
      <protection locked="0"/>
    </xf>
    <xf numFmtId="20" fontId="127" fillId="0" borderId="0" xfId="0" applyNumberFormat="1" applyFont="1" applyAlignment="1" applyProtection="1">
      <alignment vertical="center"/>
      <protection/>
    </xf>
    <xf numFmtId="20" fontId="141" fillId="0" borderId="0" xfId="0" applyNumberFormat="1" applyFont="1" applyAlignment="1" applyProtection="1">
      <alignment vertical="center"/>
      <protection locked="0"/>
    </xf>
    <xf numFmtId="0" fontId="141" fillId="0" borderId="0" xfId="0" applyFont="1" applyBorder="1" applyAlignment="1" applyProtection="1">
      <alignment vertical="center"/>
      <protection locked="0"/>
    </xf>
    <xf numFmtId="0" fontId="131" fillId="0" borderId="0" xfId="0" applyFont="1" applyBorder="1" applyAlignment="1" applyProtection="1">
      <alignment vertical="center"/>
      <protection/>
    </xf>
    <xf numFmtId="0" fontId="131" fillId="0" borderId="0" xfId="0" applyFont="1" applyAlignment="1" applyProtection="1">
      <alignment horizontal="center" vertical="center"/>
      <protection/>
    </xf>
    <xf numFmtId="0" fontId="131" fillId="0" borderId="0" xfId="0" applyFont="1" applyAlignment="1" applyProtection="1" quotePrefix="1">
      <alignment horizontal="center" vertical="center"/>
      <protection locked="0"/>
    </xf>
    <xf numFmtId="187" fontId="131" fillId="0" borderId="0" xfId="0" applyNumberFormat="1" applyFont="1" applyAlignment="1" applyProtection="1">
      <alignment horizontal="left" vertical="center"/>
      <protection/>
    </xf>
    <xf numFmtId="0" fontId="142" fillId="0" borderId="0" xfId="0" applyFont="1" applyAlignment="1" applyProtection="1">
      <alignment horizontal="left" vertical="center"/>
      <protection locked="0"/>
    </xf>
    <xf numFmtId="188" fontId="140"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1" fillId="0" borderId="0" xfId="0" applyNumberFormat="1" applyFont="1" applyBorder="1" applyAlignment="1" applyProtection="1">
      <alignment vertical="center"/>
      <protection locked="0"/>
    </xf>
    <xf numFmtId="0" fontId="127"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43" fillId="33" borderId="14" xfId="0" applyNumberFormat="1" applyFont="1" applyFill="1" applyBorder="1" applyAlignment="1" applyProtection="1">
      <alignment horizontal="center" vertical="center" wrapText="1"/>
      <protection/>
    </xf>
    <xf numFmtId="38" fontId="144"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45" fillId="33" borderId="16" xfId="0" applyNumberFormat="1" applyFont="1" applyFill="1" applyBorder="1" applyAlignment="1" applyProtection="1">
      <alignment vertical="center" wrapText="1"/>
      <protection locked="0"/>
    </xf>
    <xf numFmtId="0" fontId="145" fillId="33" borderId="17" xfId="0" applyFont="1" applyFill="1" applyBorder="1" applyAlignment="1" applyProtection="1">
      <alignment vertical="center" wrapText="1"/>
      <protection locked="0"/>
    </xf>
    <xf numFmtId="0" fontId="129" fillId="0" borderId="0" xfId="0" applyFont="1" applyAlignment="1" applyProtection="1">
      <alignment horizontal="center" vertical="center"/>
      <protection locked="0"/>
    </xf>
    <xf numFmtId="0" fontId="129" fillId="0" borderId="18" xfId="0" applyFont="1" applyBorder="1" applyAlignment="1" applyProtection="1">
      <alignment horizontal="center" vertical="center" wrapText="1"/>
      <protection locked="0"/>
    </xf>
    <xf numFmtId="0" fontId="129" fillId="0" borderId="19" xfId="0" applyFont="1" applyBorder="1" applyAlignment="1" applyProtection="1">
      <alignment horizontal="center" vertical="center" wrapText="1"/>
      <protection locked="0"/>
    </xf>
    <xf numFmtId="178" fontId="145"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9" fillId="0" borderId="20" xfId="0" applyFont="1" applyBorder="1" applyAlignment="1" applyProtection="1">
      <alignment horizontal="center" vertical="center" wrapText="1"/>
      <protection locked="0"/>
    </xf>
    <xf numFmtId="0" fontId="129" fillId="0" borderId="21" xfId="0" applyFont="1" applyBorder="1" applyAlignment="1" applyProtection="1">
      <alignment horizontal="center" vertical="center" wrapText="1"/>
      <protection locked="0"/>
    </xf>
    <xf numFmtId="0" fontId="129" fillId="33" borderId="19" xfId="0" applyFont="1" applyFill="1" applyBorder="1" applyAlignment="1" applyProtection="1">
      <alignment horizontal="center" vertical="center" wrapText="1"/>
      <protection locked="0"/>
    </xf>
    <xf numFmtId="0" fontId="129" fillId="33" borderId="18" xfId="0" applyFont="1" applyFill="1" applyBorder="1" applyAlignment="1" applyProtection="1">
      <alignment horizontal="center" vertical="center" wrapText="1"/>
      <protection locked="0"/>
    </xf>
    <xf numFmtId="38" fontId="146" fillId="33" borderId="22" xfId="50" applyFont="1" applyFill="1" applyBorder="1" applyAlignment="1" applyProtection="1">
      <alignment horizontal="center" vertical="center" wrapText="1"/>
      <protection locked="0"/>
    </xf>
    <xf numFmtId="0" fontId="147" fillId="7" borderId="23" xfId="0" applyFont="1" applyFill="1" applyBorder="1" applyAlignment="1" applyProtection="1">
      <alignment horizontal="center" vertical="center"/>
      <protection locked="0"/>
    </xf>
    <xf numFmtId="0" fontId="128" fillId="0" borderId="0" xfId="0" applyFont="1" applyBorder="1" applyAlignment="1" applyProtection="1">
      <alignment horizontal="left" vertical="center"/>
      <protection locked="0"/>
    </xf>
    <xf numFmtId="0" fontId="148" fillId="33" borderId="0" xfId="0" applyFont="1" applyFill="1" applyAlignment="1" applyProtection="1">
      <alignment horizontal="center" vertical="center"/>
      <protection locked="0"/>
    </xf>
    <xf numFmtId="0" fontId="147" fillId="33" borderId="0" xfId="0" applyFont="1" applyFill="1" applyBorder="1" applyAlignment="1" applyProtection="1">
      <alignment horizontal="center" vertical="center"/>
      <protection locked="0"/>
    </xf>
    <xf numFmtId="38" fontId="144" fillId="0" borderId="13" xfId="50" applyFont="1" applyBorder="1" applyAlignment="1" applyProtection="1">
      <alignment horizontal="center" vertical="center"/>
      <protection/>
    </xf>
    <xf numFmtId="194" fontId="144" fillId="0" borderId="13" xfId="50" applyNumberFormat="1" applyFont="1" applyBorder="1" applyAlignment="1" applyProtection="1">
      <alignment horizontal="center" vertical="center"/>
      <protection/>
    </xf>
    <xf numFmtId="201" fontId="140"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49" fillId="0" borderId="0" xfId="0" applyFont="1" applyAlignment="1" applyProtection="1">
      <alignment vertical="center"/>
      <protection locked="0"/>
    </xf>
    <xf numFmtId="0" fontId="149"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1" fillId="0" borderId="0" xfId="0" applyFont="1" applyAlignment="1" applyProtection="1">
      <alignment horizontal="center" vertical="center"/>
      <protection locked="0"/>
    </xf>
    <xf numFmtId="0" fontId="150" fillId="0" borderId="0" xfId="0" applyFont="1" applyAlignment="1" applyProtection="1">
      <alignment vertical="center"/>
      <protection locked="0"/>
    </xf>
    <xf numFmtId="38" fontId="0" fillId="0" borderId="0" xfId="50" applyFont="1" applyAlignment="1" applyProtection="1">
      <alignment vertical="center"/>
      <protection locked="0"/>
    </xf>
    <xf numFmtId="38" fontId="128" fillId="0" borderId="0" xfId="0" applyNumberFormat="1" applyFont="1" applyAlignment="1" applyProtection="1">
      <alignment vertical="center"/>
      <protection locked="0"/>
    </xf>
    <xf numFmtId="0" fontId="145" fillId="33" borderId="0" xfId="0" applyFont="1" applyFill="1" applyBorder="1" applyAlignment="1" applyProtection="1">
      <alignment vertical="center" wrapText="1"/>
      <protection locked="0"/>
    </xf>
    <xf numFmtId="0" fontId="151" fillId="33" borderId="0" xfId="0" applyFont="1" applyFill="1" applyBorder="1" applyAlignment="1" applyProtection="1">
      <alignment horizontal="center" vertical="center" wrapText="1"/>
      <protection locked="0"/>
    </xf>
    <xf numFmtId="176" fontId="152" fillId="33" borderId="24" xfId="0" applyNumberFormat="1" applyFont="1" applyFill="1" applyBorder="1" applyAlignment="1" applyProtection="1">
      <alignment horizontal="right" vertical="center" wrapText="1"/>
      <protection locked="0"/>
    </xf>
    <xf numFmtId="184" fontId="152" fillId="33" borderId="25" xfId="0" applyNumberFormat="1" applyFont="1" applyFill="1" applyBorder="1" applyAlignment="1" applyProtection="1">
      <alignment horizontal="right" vertical="center" wrapText="1"/>
      <protection/>
    </xf>
    <xf numFmtId="176" fontId="152" fillId="33" borderId="26" xfId="0" applyNumberFormat="1" applyFont="1" applyFill="1" applyBorder="1" applyAlignment="1" applyProtection="1">
      <alignment horizontal="right" vertical="center" wrapText="1"/>
      <protection/>
    </xf>
    <xf numFmtId="176" fontId="152" fillId="33" borderId="27" xfId="0" applyNumberFormat="1" applyFont="1" applyFill="1" applyBorder="1" applyAlignment="1" applyProtection="1">
      <alignment horizontal="right" vertical="center" wrapText="1"/>
      <protection locked="0"/>
    </xf>
    <xf numFmtId="176" fontId="152" fillId="33" borderId="28"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52" fillId="33" borderId="16" xfId="0" applyNumberFormat="1" applyFont="1" applyFill="1" applyBorder="1" applyAlignment="1" applyProtection="1">
      <alignment vertical="center" wrapText="1"/>
      <protection locked="0"/>
    </xf>
    <xf numFmtId="176" fontId="152" fillId="33" borderId="30" xfId="0" applyNumberFormat="1" applyFont="1" applyFill="1" applyBorder="1" applyAlignment="1" applyProtection="1">
      <alignment vertical="center" wrapText="1"/>
      <protection/>
    </xf>
    <xf numFmtId="0" fontId="152" fillId="33" borderId="17" xfId="0" applyFont="1" applyFill="1" applyBorder="1" applyAlignment="1" applyProtection="1">
      <alignment vertical="center" wrapText="1"/>
      <protection locked="0"/>
    </xf>
    <xf numFmtId="176" fontId="16" fillId="0"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0" fontId="153" fillId="33" borderId="34" xfId="0" applyFont="1" applyFill="1" applyBorder="1" applyAlignment="1" applyProtection="1">
      <alignment horizontal="right" vertical="center" wrapText="1"/>
      <protection locked="0"/>
    </xf>
    <xf numFmtId="0" fontId="153" fillId="33" borderId="35" xfId="0" applyFont="1" applyFill="1" applyBorder="1" applyAlignment="1" applyProtection="1">
      <alignment horizontal="right" vertical="center" wrapText="1"/>
      <protection locked="0"/>
    </xf>
    <xf numFmtId="0" fontId="153" fillId="33" borderId="36" xfId="0" applyFont="1" applyFill="1" applyBorder="1" applyAlignment="1" applyProtection="1">
      <alignment horizontal="right" vertical="center" wrapText="1"/>
      <protection locked="0"/>
    </xf>
    <xf numFmtId="0" fontId="131" fillId="33" borderId="0" xfId="0" applyFont="1" applyFill="1" applyAlignment="1" applyProtection="1">
      <alignment vertical="center"/>
      <protection locked="0"/>
    </xf>
    <xf numFmtId="0" fontId="153" fillId="33" borderId="0" xfId="0" applyFont="1" applyFill="1" applyAlignment="1" applyProtection="1">
      <alignment horizontal="justify" vertical="center"/>
      <protection locked="0"/>
    </xf>
    <xf numFmtId="0" fontId="131" fillId="33" borderId="0" xfId="0" applyFont="1" applyFill="1" applyAlignment="1" applyProtection="1">
      <alignment horizontal="right" vertical="center"/>
      <protection locked="0"/>
    </xf>
    <xf numFmtId="0" fontId="153" fillId="33" borderId="37" xfId="0" applyFont="1" applyFill="1" applyBorder="1" applyAlignment="1" applyProtection="1">
      <alignment horizontal="right" vertical="center" wrapText="1"/>
      <protection locked="0"/>
    </xf>
    <xf numFmtId="176" fontId="16" fillId="0" borderId="38" xfId="0" applyNumberFormat="1" applyFont="1" applyFill="1" applyBorder="1" applyAlignment="1" applyProtection="1">
      <alignment horizontal="right" vertical="center" wrapText="1"/>
      <protection/>
    </xf>
    <xf numFmtId="176" fontId="16" fillId="0" borderId="39" xfId="0" applyNumberFormat="1" applyFont="1" applyFill="1" applyBorder="1" applyAlignment="1" applyProtection="1">
      <alignment horizontal="right" vertical="center" wrapText="1"/>
      <protection/>
    </xf>
    <xf numFmtId="0" fontId="141"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1"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1" fillId="0" borderId="0" xfId="0" applyFont="1" applyBorder="1" applyAlignment="1" applyProtection="1">
      <alignment horizontal="center" vertical="center"/>
      <protection locked="0"/>
    </xf>
    <xf numFmtId="0" fontId="130" fillId="0" borderId="35" xfId="0" applyFont="1" applyBorder="1" applyAlignment="1" applyProtection="1">
      <alignment vertical="center"/>
      <protection locked="0"/>
    </xf>
    <xf numFmtId="0" fontId="154"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44" fillId="0" borderId="0" xfId="0" applyFont="1" applyAlignment="1" applyProtection="1">
      <alignment vertical="center"/>
      <protection locked="0"/>
    </xf>
    <xf numFmtId="0" fontId="155" fillId="0" borderId="0" xfId="0" applyFont="1" applyAlignment="1" applyProtection="1">
      <alignment horizontal="left" vertical="center"/>
      <protection locked="0"/>
    </xf>
    <xf numFmtId="0" fontId="156" fillId="0" borderId="0" xfId="0" applyFont="1" applyAlignment="1" applyProtection="1">
      <alignment horizontal="left" vertical="center"/>
      <protection locked="0"/>
    </xf>
    <xf numFmtId="0" fontId="157" fillId="33" borderId="0" xfId="0" applyFont="1" applyFill="1" applyAlignment="1" applyProtection="1">
      <alignment vertical="center"/>
      <protection locked="0"/>
    </xf>
    <xf numFmtId="0" fontId="18" fillId="0" borderId="0" xfId="0" applyFont="1" applyAlignment="1" applyProtection="1">
      <alignment vertical="center"/>
      <protection locked="0"/>
    </xf>
    <xf numFmtId="0" fontId="154" fillId="0" borderId="0" xfId="0" applyFont="1" applyBorder="1" applyAlignment="1" applyProtection="1">
      <alignment horizontal="center" vertical="center"/>
      <protection locked="0"/>
    </xf>
    <xf numFmtId="0" fontId="158" fillId="0" borderId="0" xfId="0" applyFont="1" applyAlignment="1" applyProtection="1">
      <alignment vertical="center"/>
      <protection locked="0"/>
    </xf>
    <xf numFmtId="0" fontId="131" fillId="33" borderId="0" xfId="0" applyFont="1" applyFill="1" applyAlignment="1" applyProtection="1">
      <alignment horizontal="right" vertical="center"/>
      <protection/>
    </xf>
    <xf numFmtId="0" fontId="7" fillId="33" borderId="35"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53" fillId="33" borderId="31" xfId="0" applyFont="1" applyFill="1" applyBorder="1" applyAlignment="1" applyProtection="1">
      <alignment horizontal="right" vertical="center" wrapText="1"/>
      <protection locked="0"/>
    </xf>
    <xf numFmtId="0" fontId="153" fillId="33" borderId="33" xfId="0" applyFont="1" applyFill="1" applyBorder="1" applyAlignment="1" applyProtection="1">
      <alignment horizontal="right" vertical="center" wrapText="1"/>
      <protection locked="0"/>
    </xf>
    <xf numFmtId="0" fontId="129" fillId="0" borderId="40" xfId="0" applyFont="1" applyBorder="1" applyAlignment="1" applyProtection="1">
      <alignment horizontal="center" vertical="center" wrapText="1"/>
      <protection locked="0"/>
    </xf>
    <xf numFmtId="0" fontId="129" fillId="0" borderId="41" xfId="0" applyFont="1" applyBorder="1" applyAlignment="1" applyProtection="1">
      <alignment horizontal="center" vertical="center" wrapText="1"/>
      <protection locked="0"/>
    </xf>
    <xf numFmtId="176" fontId="152" fillId="33" borderId="42" xfId="0" applyNumberFormat="1" applyFont="1" applyFill="1" applyBorder="1" applyAlignment="1" applyProtection="1">
      <alignment horizontal="right" vertical="center" wrapText="1"/>
      <protection/>
    </xf>
    <xf numFmtId="176" fontId="152" fillId="33" borderId="43" xfId="0" applyNumberFormat="1" applyFont="1" applyFill="1" applyBorder="1" applyAlignment="1" applyProtection="1">
      <alignment horizontal="right" vertical="center" wrapText="1"/>
      <protection locked="0"/>
    </xf>
    <xf numFmtId="176" fontId="152" fillId="33" borderId="44" xfId="0" applyNumberFormat="1" applyFont="1" applyFill="1" applyBorder="1" applyAlignment="1" applyProtection="1">
      <alignment horizontal="right" vertical="center" wrapText="1"/>
      <protection/>
    </xf>
    <xf numFmtId="0" fontId="159" fillId="0" borderId="0" xfId="0" applyFont="1" applyBorder="1" applyAlignment="1">
      <alignment horizontal="center" vertical="center" wrapText="1"/>
    </xf>
    <xf numFmtId="0" fontId="159" fillId="0" borderId="0" xfId="0" applyFont="1" applyBorder="1" applyAlignment="1">
      <alignment vertical="center" wrapText="1"/>
    </xf>
    <xf numFmtId="0" fontId="159" fillId="0" borderId="0" xfId="0" applyFont="1" applyAlignment="1">
      <alignment horizontal="center" vertical="center" wrapText="1"/>
    </xf>
    <xf numFmtId="0" fontId="127" fillId="0" borderId="0" xfId="0" applyFont="1" applyAlignment="1">
      <alignment vertical="center"/>
    </xf>
    <xf numFmtId="0" fontId="127" fillId="0" borderId="0" xfId="0" applyFont="1" applyBorder="1" applyAlignment="1">
      <alignment horizontal="center" vertical="center"/>
    </xf>
    <xf numFmtId="0" fontId="127" fillId="0" borderId="0" xfId="0" applyFont="1" applyBorder="1" applyAlignment="1">
      <alignment vertical="center"/>
    </xf>
    <xf numFmtId="0" fontId="127" fillId="0" borderId="0" xfId="0" applyFont="1" applyBorder="1" applyAlignment="1">
      <alignment vertical="center" wrapText="1"/>
    </xf>
    <xf numFmtId="49" fontId="127" fillId="0" borderId="0" xfId="0" applyNumberFormat="1" applyFont="1" applyBorder="1" applyAlignment="1" quotePrefix="1">
      <alignment horizontal="right" vertical="center"/>
    </xf>
    <xf numFmtId="0" fontId="127" fillId="0" borderId="0" xfId="0" applyFont="1" applyAlignment="1">
      <alignment horizontal="center" vertical="center"/>
    </xf>
    <xf numFmtId="49" fontId="127" fillId="0" borderId="0" xfId="0" applyNumberFormat="1" applyFont="1" applyBorder="1" applyAlignment="1">
      <alignment horizontal="right" vertical="center"/>
    </xf>
    <xf numFmtId="0" fontId="127" fillId="0" borderId="0" xfId="0" applyFont="1" applyBorder="1" applyAlignment="1">
      <alignment horizontal="left" vertical="center" indent="1"/>
    </xf>
    <xf numFmtId="0" fontId="127" fillId="33" borderId="0" xfId="0" applyFont="1" applyFill="1" applyBorder="1" applyAlignment="1">
      <alignment vertical="center"/>
    </xf>
    <xf numFmtId="0" fontId="129" fillId="0" borderId="45" xfId="0" applyFont="1" applyBorder="1" applyAlignment="1" applyProtection="1">
      <alignment horizontal="center" vertical="center" wrapText="1"/>
      <protection locked="0"/>
    </xf>
    <xf numFmtId="176" fontId="152" fillId="33" borderId="46" xfId="0" applyNumberFormat="1" applyFont="1" applyFill="1" applyBorder="1" applyAlignment="1" applyProtection="1">
      <alignment horizontal="right" vertical="center" wrapText="1"/>
      <protection/>
    </xf>
    <xf numFmtId="0" fontId="131" fillId="33" borderId="0" xfId="0" applyFont="1" applyFill="1" applyAlignment="1" applyProtection="1">
      <alignment horizontal="left" vertical="center"/>
      <protection/>
    </xf>
    <xf numFmtId="0" fontId="131"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0" fillId="0" borderId="0" xfId="0" applyNumberFormat="1" applyFont="1" applyBorder="1" applyAlignment="1" applyProtection="1">
      <alignment horizontal="right" vertical="center"/>
      <protection/>
    </xf>
    <xf numFmtId="188" fontId="131" fillId="0" borderId="0" xfId="0" applyNumberFormat="1" applyFont="1" applyBorder="1" applyAlignment="1" applyProtection="1">
      <alignment horizontal="right" vertical="center"/>
      <protection/>
    </xf>
    <xf numFmtId="0" fontId="153" fillId="0" borderId="0" xfId="0" applyFont="1" applyAlignment="1" applyProtection="1" quotePrefix="1">
      <alignment horizontal="left" vertical="center"/>
      <protection locked="0"/>
    </xf>
    <xf numFmtId="0" fontId="131" fillId="0" borderId="0" xfId="0" applyFont="1" applyBorder="1" applyAlignment="1" applyProtection="1" quotePrefix="1">
      <alignment horizontal="center" vertical="center"/>
      <protection locked="0"/>
    </xf>
    <xf numFmtId="216" fontId="131" fillId="0" borderId="0" xfId="0" applyNumberFormat="1" applyFont="1" applyAlignment="1" applyProtection="1">
      <alignment horizontal="center" vertical="center"/>
      <protection/>
    </xf>
    <xf numFmtId="216" fontId="140"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0" fillId="0" borderId="0" xfId="0" applyFont="1" applyBorder="1" applyAlignment="1" applyProtection="1">
      <alignment vertical="center"/>
      <protection locked="0"/>
    </xf>
    <xf numFmtId="0" fontId="16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54" fillId="0" borderId="0" xfId="0" applyFont="1" applyAlignment="1" applyProtection="1">
      <alignment horizontal="right" vertical="center"/>
      <protection locked="0"/>
    </xf>
    <xf numFmtId="187" fontId="131" fillId="0" borderId="0" xfId="0" applyNumberFormat="1" applyFont="1" applyAlignment="1" applyProtection="1">
      <alignment horizontal="right" vertical="center"/>
      <protection locked="0"/>
    </xf>
    <xf numFmtId="0" fontId="131" fillId="0" borderId="0" xfId="0" applyFont="1" applyAlignment="1">
      <alignment vertical="center"/>
    </xf>
    <xf numFmtId="0" fontId="0" fillId="0" borderId="0" xfId="0" applyAlignment="1" applyProtection="1">
      <alignment horizontal="left" vertical="center" indent="3"/>
      <protection locked="0"/>
    </xf>
    <xf numFmtId="38" fontId="161" fillId="0" borderId="0" xfId="50" applyFont="1" applyBorder="1" applyAlignment="1" applyProtection="1">
      <alignment horizontal="left" vertical="center"/>
      <protection/>
    </xf>
    <xf numFmtId="0" fontId="162" fillId="0" borderId="22" xfId="0" applyFont="1" applyBorder="1" applyAlignment="1" applyProtection="1">
      <alignment vertical="center"/>
      <protection locked="0"/>
    </xf>
    <xf numFmtId="0" fontId="131" fillId="0" borderId="0" xfId="0" applyFont="1" applyAlignment="1" applyProtection="1">
      <alignment/>
      <protection locked="0"/>
    </xf>
    <xf numFmtId="0" fontId="162"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63"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1" fillId="0" borderId="0" xfId="50" applyFont="1" applyFill="1" applyBorder="1" applyAlignment="1" applyProtection="1">
      <alignment horizontal="right" vertical="center"/>
      <protection/>
    </xf>
    <xf numFmtId="0" fontId="0" fillId="0" borderId="47" xfId="0" applyFont="1" applyFill="1" applyBorder="1" applyAlignment="1" applyProtection="1">
      <alignment horizontal="center" vertical="center"/>
      <protection locked="0"/>
    </xf>
    <xf numFmtId="38" fontId="131"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1" fillId="0" borderId="0" xfId="50" applyFont="1" applyBorder="1" applyAlignment="1" applyProtection="1">
      <alignment horizontal="right" vertical="center"/>
      <protection locked="0"/>
    </xf>
    <xf numFmtId="38" fontId="141" fillId="7" borderId="48" xfId="50" applyFont="1" applyFill="1" applyBorder="1" applyAlignment="1" applyProtection="1">
      <alignment horizontal="right" vertical="center"/>
      <protection locked="0"/>
    </xf>
    <xf numFmtId="38" fontId="141" fillId="7" borderId="41" xfId="50" applyFont="1" applyFill="1" applyBorder="1" applyAlignment="1" applyProtection="1">
      <alignment horizontal="right" vertical="center"/>
      <protection locked="0"/>
    </xf>
    <xf numFmtId="38" fontId="141" fillId="7" borderId="13" xfId="50" applyFont="1" applyFill="1" applyBorder="1" applyAlignment="1" applyProtection="1">
      <alignment horizontal="right" vertical="center"/>
      <protection locked="0"/>
    </xf>
    <xf numFmtId="38" fontId="141" fillId="0" borderId="13" xfId="50" applyFont="1" applyFill="1" applyBorder="1" applyAlignment="1" applyProtection="1">
      <alignment horizontal="right" vertical="center"/>
      <protection locked="0"/>
    </xf>
    <xf numFmtId="38" fontId="141" fillId="7" borderId="19" xfId="50" applyFont="1" applyFill="1" applyBorder="1" applyAlignment="1" applyProtection="1">
      <alignment horizontal="right" vertical="center"/>
      <protection locked="0"/>
    </xf>
    <xf numFmtId="38" fontId="131"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0"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32" fillId="0" borderId="0" xfId="0" applyFont="1" applyAlignment="1">
      <alignment vertical="center"/>
    </xf>
    <xf numFmtId="0" fontId="22" fillId="0" borderId="0" xfId="0" applyFont="1" applyAlignment="1" applyProtection="1">
      <alignment vertical="center"/>
      <protection locked="0"/>
    </xf>
    <xf numFmtId="0" fontId="164"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49" xfId="0" applyFont="1" applyBorder="1" applyAlignment="1" applyProtection="1">
      <alignment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4"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0" fillId="0" borderId="0" xfId="0" applyFont="1" applyBorder="1" applyAlignment="1" applyProtection="1">
      <alignment horizontal="center" vertical="center"/>
      <protection locked="0"/>
    </xf>
    <xf numFmtId="0" fontId="154" fillId="0" borderId="0" xfId="0" applyFont="1" applyAlignment="1">
      <alignment horizontal="right" vertical="center"/>
    </xf>
    <xf numFmtId="38" fontId="13" fillId="0" borderId="55" xfId="50" applyFont="1" applyFill="1" applyBorder="1" applyAlignment="1" applyProtection="1">
      <alignment vertical="center"/>
      <protection/>
    </xf>
    <xf numFmtId="176" fontId="13" fillId="0" borderId="55" xfId="0" applyNumberFormat="1" applyFont="1" applyBorder="1" applyAlignment="1" applyProtection="1">
      <alignment horizontal="right" vertical="center"/>
      <protection/>
    </xf>
    <xf numFmtId="176" fontId="13" fillId="0" borderId="56" xfId="0" applyNumberFormat="1" applyFont="1" applyFill="1" applyBorder="1" applyAlignment="1" applyProtection="1">
      <alignment horizontal="right" vertical="center" wrapText="1"/>
      <protection/>
    </xf>
    <xf numFmtId="38" fontId="13" fillId="0" borderId="56" xfId="50" applyFont="1" applyFill="1" applyBorder="1" applyAlignment="1" applyProtection="1">
      <alignment vertical="center"/>
      <protection/>
    </xf>
    <xf numFmtId="176" fontId="13" fillId="0" borderId="56"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0" fillId="0" borderId="0" xfId="0" applyFont="1" applyFill="1" applyAlignment="1" applyProtection="1">
      <alignment vertical="center"/>
      <protection locked="0"/>
    </xf>
    <xf numFmtId="0" fontId="154"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6" xfId="0" applyNumberFormat="1" applyFont="1" applyFill="1" applyBorder="1" applyAlignment="1" applyProtection="1">
      <alignment horizontal="right" vertical="center"/>
      <protection/>
    </xf>
    <xf numFmtId="176" fontId="13" fillId="0" borderId="57" xfId="0" applyNumberFormat="1" applyFont="1" applyFill="1" applyBorder="1" applyAlignment="1" applyProtection="1">
      <alignment horizontal="right" vertical="center" wrapText="1"/>
      <protection/>
    </xf>
    <xf numFmtId="38" fontId="13" fillId="0" borderId="57"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wrapText="1"/>
      <protection locked="0"/>
    </xf>
    <xf numFmtId="0" fontId="13" fillId="0" borderId="58" xfId="0" applyFont="1" applyBorder="1" applyAlignment="1" applyProtection="1">
      <alignment horizontal="center" vertical="center"/>
      <protection locked="0"/>
    </xf>
    <xf numFmtId="0" fontId="165" fillId="0" borderId="0" xfId="0" applyFont="1" applyAlignment="1" applyProtection="1">
      <alignment vertical="center"/>
      <protection locked="0"/>
    </xf>
    <xf numFmtId="0" fontId="165" fillId="0" borderId="0" xfId="0" applyFont="1" applyAlignment="1" applyProtection="1">
      <alignment horizontal="center" vertical="center"/>
      <protection locked="0"/>
    </xf>
    <xf numFmtId="0" fontId="127" fillId="0" borderId="0" xfId="0" applyFont="1" applyFill="1" applyBorder="1" applyAlignment="1" applyProtection="1">
      <alignment horizontal="center" vertical="center" textRotation="255"/>
      <protection locked="0"/>
    </xf>
    <xf numFmtId="0" fontId="166" fillId="33" borderId="0" xfId="0" applyFont="1" applyFill="1" applyBorder="1" applyAlignment="1" applyProtection="1">
      <alignment vertical="center"/>
      <protection/>
    </xf>
    <xf numFmtId="213" fontId="149" fillId="0" borderId="13" xfId="0" applyNumberFormat="1" applyFont="1" applyBorder="1" applyAlignment="1" applyProtection="1">
      <alignment horizontal="center" vertical="center"/>
      <protection/>
    </xf>
    <xf numFmtId="0" fontId="149" fillId="0" borderId="0" xfId="0" applyFont="1" applyBorder="1" applyAlignment="1" applyProtection="1">
      <alignment horizontal="center" vertical="center"/>
      <protection locked="0"/>
    </xf>
    <xf numFmtId="0" fontId="166" fillId="0" borderId="59" xfId="0" applyFont="1" applyFill="1" applyBorder="1" applyAlignment="1" applyProtection="1">
      <alignment horizontal="left" vertical="center"/>
      <protection/>
    </xf>
    <xf numFmtId="0" fontId="166" fillId="0" borderId="60"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67" fillId="0" borderId="0" xfId="0" applyFont="1" applyFill="1" applyBorder="1" applyAlignment="1" applyProtection="1">
      <alignment horizontal="center" vertical="center" wrapText="1" shrinkToFit="1"/>
      <protection/>
    </xf>
    <xf numFmtId="176" fontId="127"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0" fillId="0" borderId="0" xfId="0" applyNumberFormat="1" applyFont="1" applyAlignment="1" applyProtection="1">
      <alignment vertical="center"/>
      <protection locked="0"/>
    </xf>
    <xf numFmtId="176" fontId="149" fillId="0" borderId="0" xfId="0" applyNumberFormat="1" applyFont="1" applyFill="1" applyBorder="1" applyAlignment="1" applyProtection="1">
      <alignment horizontal="left" vertical="center" wrapText="1" indent="3"/>
      <protection/>
    </xf>
    <xf numFmtId="0" fontId="155" fillId="0" borderId="0" xfId="0" applyFont="1" applyAlignment="1" applyProtection="1">
      <alignment horizontal="left"/>
      <protection locked="0"/>
    </xf>
    <xf numFmtId="176" fontId="160" fillId="0" borderId="0" xfId="0" applyNumberFormat="1" applyFont="1" applyAlignment="1" applyProtection="1">
      <alignment vertical="center"/>
      <protection locked="0"/>
    </xf>
    <xf numFmtId="0" fontId="168" fillId="0" borderId="0" xfId="0" applyFont="1" applyAlignment="1" applyProtection="1">
      <alignment horizontal="left" vertical="center" indent="2"/>
      <protection locked="0"/>
    </xf>
    <xf numFmtId="0" fontId="168" fillId="0" borderId="0" xfId="0" applyFont="1" applyAlignment="1" applyProtection="1">
      <alignment horizontal="left" vertical="center" indent="3"/>
      <protection locked="0"/>
    </xf>
    <xf numFmtId="0" fontId="0" fillId="0" borderId="0" xfId="0" applyBorder="1" applyAlignment="1">
      <alignment vertical="center"/>
    </xf>
    <xf numFmtId="0" fontId="169" fillId="0" borderId="0" xfId="0" applyFont="1" applyAlignment="1" applyProtection="1">
      <alignment horizontal="left" vertical="center"/>
      <protection locked="0"/>
    </xf>
    <xf numFmtId="0" fontId="170" fillId="0" borderId="13" xfId="0" applyFont="1" applyFill="1" applyBorder="1" applyAlignment="1" applyProtection="1">
      <alignment horizontal="left" vertical="center" wrapText="1"/>
      <protection locked="0"/>
    </xf>
    <xf numFmtId="0" fontId="170" fillId="0" borderId="0" xfId="0" applyFont="1" applyBorder="1" applyAlignment="1" applyProtection="1">
      <alignment vertical="top" wrapText="1"/>
      <protection locked="0"/>
    </xf>
    <xf numFmtId="0" fontId="138" fillId="0" borderId="0" xfId="0" applyFont="1" applyAlignment="1" applyProtection="1">
      <alignment vertical="center"/>
      <protection locked="0"/>
    </xf>
    <xf numFmtId="0" fontId="171" fillId="0" borderId="0" xfId="0" applyFont="1" applyAlignment="1" applyProtection="1">
      <alignment vertical="center"/>
      <protection locked="0"/>
    </xf>
    <xf numFmtId="0" fontId="172" fillId="0" borderId="0" xfId="0" applyFont="1" applyAlignment="1" applyProtection="1">
      <alignment vertical="center"/>
      <protection locked="0"/>
    </xf>
    <xf numFmtId="0" fontId="173" fillId="0" borderId="0" xfId="0" applyFont="1" applyAlignment="1" applyProtection="1">
      <alignment vertical="center"/>
      <protection locked="0"/>
    </xf>
    <xf numFmtId="0" fontId="173" fillId="0" borderId="0" xfId="0" applyFont="1" applyFill="1" applyAlignment="1" applyProtection="1">
      <alignment vertical="center"/>
      <protection locked="0"/>
    </xf>
    <xf numFmtId="0" fontId="150" fillId="0" borderId="0" xfId="0" applyFont="1" applyFill="1" applyAlignment="1" applyProtection="1">
      <alignment vertical="center"/>
      <protection locked="0"/>
    </xf>
    <xf numFmtId="0" fontId="144" fillId="0" borderId="0" xfId="0" applyFont="1" applyBorder="1" applyAlignment="1" applyProtection="1">
      <alignment horizontal="center" vertical="center"/>
      <protection locked="0"/>
    </xf>
    <xf numFmtId="176" fontId="174" fillId="0" borderId="61" xfId="0" applyNumberFormat="1" applyFont="1" applyFill="1" applyBorder="1" applyAlignment="1" applyProtection="1">
      <alignment horizontal="right" vertical="center" wrapText="1"/>
      <protection locked="0"/>
    </xf>
    <xf numFmtId="176" fontId="174" fillId="0" borderId="62" xfId="0" applyNumberFormat="1" applyFont="1" applyFill="1" applyBorder="1" applyAlignment="1" applyProtection="1">
      <alignment horizontal="right" vertical="center" wrapText="1"/>
      <protection locked="0"/>
    </xf>
    <xf numFmtId="176" fontId="174" fillId="0" borderId="63" xfId="0" applyNumberFormat="1" applyFont="1" applyFill="1" applyBorder="1" applyAlignment="1" applyProtection="1">
      <alignment horizontal="right" vertical="center" wrapText="1"/>
      <protection locked="0"/>
    </xf>
    <xf numFmtId="176" fontId="174" fillId="0" borderId="18" xfId="0" applyNumberFormat="1" applyFont="1" applyFill="1" applyBorder="1" applyAlignment="1" applyProtection="1">
      <alignment horizontal="right" vertical="center" wrapText="1"/>
      <protection locked="0"/>
    </xf>
    <xf numFmtId="0" fontId="154" fillId="0" borderId="0" xfId="0" applyFont="1" applyAlignment="1">
      <alignment vertical="center"/>
    </xf>
    <xf numFmtId="0" fontId="131" fillId="0" borderId="0" xfId="0" applyFont="1" applyAlignment="1" applyProtection="1">
      <alignment horizontal="right" vertical="center"/>
      <protection locked="0"/>
    </xf>
    <xf numFmtId="0" fontId="175" fillId="0" borderId="0" xfId="0" applyFont="1" applyAlignment="1">
      <alignment vertical="center"/>
    </xf>
    <xf numFmtId="0" fontId="138" fillId="33" borderId="64" xfId="0" applyFont="1" applyFill="1" applyBorder="1" applyAlignment="1" applyProtection="1">
      <alignment horizontal="center" vertical="center" wrapText="1"/>
      <protection locked="0"/>
    </xf>
    <xf numFmtId="0" fontId="138" fillId="33" borderId="65" xfId="0" applyFont="1" applyFill="1" applyBorder="1" applyAlignment="1" applyProtection="1">
      <alignment horizontal="center" vertical="center" wrapText="1"/>
      <protection locked="0"/>
    </xf>
    <xf numFmtId="0" fontId="138" fillId="33" borderId="66" xfId="0" applyFont="1" applyFill="1" applyBorder="1" applyAlignment="1" applyProtection="1">
      <alignment horizontal="center" vertical="center" wrapText="1"/>
      <protection locked="0"/>
    </xf>
    <xf numFmtId="0" fontId="138" fillId="33" borderId="67" xfId="0" applyFont="1" applyFill="1" applyBorder="1" applyAlignment="1" applyProtection="1">
      <alignment horizontal="center" vertical="center" wrapText="1"/>
      <protection locked="0"/>
    </xf>
    <xf numFmtId="0" fontId="138" fillId="33" borderId="68" xfId="0" applyFont="1" applyFill="1" applyBorder="1" applyAlignment="1" applyProtection="1">
      <alignment horizontal="center" vertical="center" wrapText="1"/>
      <protection locked="0"/>
    </xf>
    <xf numFmtId="0" fontId="138" fillId="33" borderId="69" xfId="0" applyFont="1" applyFill="1" applyBorder="1" applyAlignment="1" applyProtection="1">
      <alignment horizontal="center" vertical="center" wrapText="1"/>
      <protection locked="0"/>
    </xf>
    <xf numFmtId="0" fontId="138" fillId="33" borderId="70" xfId="0" applyFont="1" applyFill="1" applyBorder="1" applyAlignment="1" applyProtection="1">
      <alignment horizontal="center" vertical="center" wrapText="1"/>
      <protection locked="0"/>
    </xf>
    <xf numFmtId="0" fontId="138" fillId="33" borderId="71" xfId="0" applyFont="1" applyFill="1" applyBorder="1" applyAlignment="1" applyProtection="1">
      <alignment horizontal="center" vertical="center" wrapText="1"/>
      <protection locked="0"/>
    </xf>
    <xf numFmtId="0" fontId="138" fillId="33" borderId="72" xfId="0" applyFont="1" applyFill="1" applyBorder="1" applyAlignment="1" applyProtection="1">
      <alignment horizontal="center" vertical="center" wrapText="1"/>
      <protection locked="0"/>
    </xf>
    <xf numFmtId="0" fontId="138" fillId="33" borderId="73" xfId="0" applyFont="1" applyFill="1" applyBorder="1" applyAlignment="1" applyProtection="1">
      <alignment horizontal="center" vertical="center" wrapText="1"/>
      <protection locked="0"/>
    </xf>
    <xf numFmtId="176" fontId="16" fillId="0" borderId="74" xfId="0" applyNumberFormat="1" applyFont="1" applyFill="1" applyBorder="1" applyAlignment="1" applyProtection="1">
      <alignment horizontal="right" vertical="center" wrapText="1"/>
      <protection/>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0" fontId="138" fillId="33" borderId="85" xfId="0" applyFont="1" applyFill="1" applyBorder="1" applyAlignment="1" applyProtection="1">
      <alignment horizontal="center" vertical="center" wrapText="1"/>
      <protection locked="0"/>
    </xf>
    <xf numFmtId="0" fontId="138" fillId="33" borderId="86" xfId="0" applyFont="1" applyFill="1" applyBorder="1" applyAlignment="1" applyProtection="1">
      <alignment horizontal="center" vertical="center" wrapText="1"/>
      <protection locked="0"/>
    </xf>
    <xf numFmtId="0" fontId="138" fillId="33" borderId="87" xfId="0" applyFont="1" applyFill="1" applyBorder="1" applyAlignment="1" applyProtection="1">
      <alignment horizontal="center" vertical="center" wrapText="1"/>
      <protection locked="0"/>
    </xf>
    <xf numFmtId="0" fontId="138" fillId="33" borderId="88" xfId="0" applyFont="1" applyFill="1" applyBorder="1" applyAlignment="1" applyProtection="1">
      <alignment horizontal="center" vertical="center" wrapText="1"/>
      <protection locked="0"/>
    </xf>
    <xf numFmtId="0" fontId="138" fillId="33" borderId="89" xfId="0" applyFont="1" applyFill="1" applyBorder="1" applyAlignment="1" applyProtection="1">
      <alignment horizontal="center" vertical="center" wrapText="1"/>
      <protection locked="0"/>
    </xf>
    <xf numFmtId="0" fontId="138" fillId="33" borderId="90" xfId="0" applyFont="1" applyFill="1" applyBorder="1" applyAlignment="1" applyProtection="1">
      <alignment horizontal="center" vertical="center" wrapText="1"/>
      <protection locked="0"/>
    </xf>
    <xf numFmtId="0" fontId="138" fillId="33" borderId="91" xfId="0" applyFont="1" applyFill="1" applyBorder="1" applyAlignment="1" applyProtection="1">
      <alignment horizontal="center" vertical="center" wrapText="1"/>
      <protection locked="0"/>
    </xf>
    <xf numFmtId="0" fontId="138" fillId="33" borderId="92" xfId="0" applyFont="1" applyFill="1" applyBorder="1" applyAlignment="1" applyProtection="1">
      <alignment horizontal="center" vertical="center" wrapText="1"/>
      <protection locked="0"/>
    </xf>
    <xf numFmtId="0" fontId="138" fillId="33" borderId="93"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76" fontId="18" fillId="0" borderId="13" xfId="0" applyNumberFormat="1" applyFont="1" applyFill="1" applyBorder="1" applyAlignment="1" applyProtection="1">
      <alignment vertical="center" wrapText="1"/>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76" fillId="0" borderId="0" xfId="0" applyFont="1" applyFill="1" applyAlignment="1" applyProtection="1">
      <alignment horizontal="center" vertical="center"/>
      <protection/>
    </xf>
    <xf numFmtId="0" fontId="177"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78" fillId="0" borderId="0" xfId="0" applyFont="1" applyFill="1" applyBorder="1" applyAlignment="1" applyProtection="1">
      <alignment vertical="center"/>
      <protection locked="0"/>
    </xf>
    <xf numFmtId="0" fontId="154" fillId="0" borderId="0" xfId="0" applyFont="1" applyFill="1" applyBorder="1" applyAlignment="1" applyProtection="1">
      <alignment horizontal="center" vertical="center"/>
      <protection locked="0"/>
    </xf>
    <xf numFmtId="38" fontId="154" fillId="0" borderId="0" xfId="50" applyFont="1" applyFill="1" applyBorder="1" applyAlignment="1" applyProtection="1">
      <alignment horizontal="right" vertical="center"/>
      <protection locked="0"/>
    </xf>
    <xf numFmtId="0" fontId="154" fillId="0" borderId="0" xfId="0" applyFont="1" applyFill="1" applyAlignment="1" applyProtection="1">
      <alignment horizontal="left" vertical="center"/>
      <protection locked="0"/>
    </xf>
    <xf numFmtId="0" fontId="154" fillId="0" borderId="0" xfId="0" applyFont="1" applyFill="1" applyAlignment="1" applyProtection="1">
      <alignment horizontal="center" vertical="center"/>
      <protection locked="0"/>
    </xf>
    <xf numFmtId="38" fontId="179" fillId="0" borderId="0" xfId="50" applyFont="1" applyFill="1" applyBorder="1" applyAlignment="1" applyProtection="1">
      <alignment horizontal="left" vertical="center"/>
      <protection locked="0"/>
    </xf>
    <xf numFmtId="0" fontId="0" fillId="5" borderId="47" xfId="0" applyFont="1" applyFill="1" applyBorder="1" applyAlignment="1" applyProtection="1">
      <alignment horizontal="center" vertical="center"/>
      <protection locked="0"/>
    </xf>
    <xf numFmtId="0" fontId="0" fillId="6" borderId="47"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180" fillId="33" borderId="0" xfId="0" applyFont="1" applyFill="1" applyAlignment="1" applyProtection="1">
      <alignment wrapText="1"/>
      <protection locked="0"/>
    </xf>
    <xf numFmtId="0" fontId="127" fillId="0" borderId="0" xfId="0" applyFont="1" applyBorder="1" applyAlignment="1" applyProtection="1">
      <alignment vertical="center"/>
      <protection locked="0"/>
    </xf>
    <xf numFmtId="38" fontId="154" fillId="0" borderId="94" xfId="50" applyFont="1" applyFill="1" applyBorder="1" applyAlignment="1" applyProtection="1">
      <alignment horizontal="left" vertical="center"/>
      <protection/>
    </xf>
    <xf numFmtId="0" fontId="155" fillId="0" borderId="0" xfId="0" applyFont="1" applyAlignment="1" applyProtection="1">
      <alignment vertical="center"/>
      <protection locked="0"/>
    </xf>
    <xf numFmtId="14" fontId="155" fillId="0" borderId="0" xfId="0" applyNumberFormat="1" applyFont="1" applyAlignment="1" applyProtection="1">
      <alignment vertical="center"/>
      <protection locked="0"/>
    </xf>
    <xf numFmtId="0" fontId="155"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55"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55" fillId="7" borderId="0" xfId="0" applyFont="1" applyFill="1" applyAlignment="1" applyProtection="1">
      <alignment vertical="center"/>
      <protection locked="0"/>
    </xf>
    <xf numFmtId="0" fontId="155" fillId="0" borderId="0" xfId="0" applyFont="1" applyFill="1" applyAlignment="1" applyProtection="1">
      <alignment vertical="center"/>
      <protection locked="0"/>
    </xf>
    <xf numFmtId="0" fontId="181" fillId="0" borderId="0" xfId="0" applyFont="1" applyAlignment="1" applyProtection="1">
      <alignment vertical="center"/>
      <protection locked="0"/>
    </xf>
    <xf numFmtId="0" fontId="6" fillId="0" borderId="0" xfId="0" applyFont="1" applyAlignment="1" applyProtection="1">
      <alignment vertical="center"/>
      <protection locked="0"/>
    </xf>
    <xf numFmtId="0" fontId="155" fillId="0" borderId="0" xfId="0" applyFont="1" applyAlignment="1" applyProtection="1">
      <alignment horizontal="right" vertical="center"/>
      <protection locked="0"/>
    </xf>
    <xf numFmtId="0" fontId="155" fillId="0" borderId="0" xfId="0" applyFont="1" applyAlignment="1">
      <alignment vertical="center"/>
    </xf>
    <xf numFmtId="0" fontId="6" fillId="0" borderId="0" xfId="0" applyFont="1" applyBorder="1" applyAlignment="1" applyProtection="1">
      <alignment horizontal="center" vertical="center"/>
      <protection locked="0"/>
    </xf>
    <xf numFmtId="0" fontId="155"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55" fillId="33" borderId="16" xfId="0" applyFont="1" applyFill="1" applyBorder="1" applyAlignment="1" applyProtection="1">
      <alignment horizontal="center" vertical="center"/>
      <protection locked="0"/>
    </xf>
    <xf numFmtId="0" fontId="155" fillId="33" borderId="47" xfId="0" applyFont="1" applyFill="1" applyBorder="1" applyAlignment="1" applyProtection="1">
      <alignment horizontal="center" vertical="center"/>
      <protection locked="0"/>
    </xf>
    <xf numFmtId="196" fontId="6" fillId="33" borderId="95" xfId="0" applyNumberFormat="1" applyFont="1" applyFill="1" applyBorder="1" applyAlignment="1" applyProtection="1">
      <alignment horizontal="center" vertical="center"/>
      <protection locked="0"/>
    </xf>
    <xf numFmtId="196" fontId="6" fillId="33" borderId="96" xfId="0" applyNumberFormat="1" applyFont="1" applyFill="1" applyBorder="1" applyAlignment="1" applyProtection="1">
      <alignment horizontal="center" vertical="center"/>
      <protection locked="0"/>
    </xf>
    <xf numFmtId="196" fontId="155" fillId="33" borderId="96"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5" fillId="0" borderId="0" xfId="0" applyFont="1" applyBorder="1" applyAlignment="1" applyProtection="1">
      <alignment horizontal="center" vertical="center"/>
      <protection locked="0"/>
    </xf>
    <xf numFmtId="196" fontId="155" fillId="33" borderId="17" xfId="0" applyNumberFormat="1" applyFont="1" applyFill="1" applyBorder="1" applyAlignment="1" applyProtection="1">
      <alignment horizontal="center" vertical="center"/>
      <protection locked="0"/>
    </xf>
    <xf numFmtId="196" fontId="155" fillId="0" borderId="0" xfId="0" applyNumberFormat="1" applyFont="1" applyFill="1" applyBorder="1" applyAlignment="1" applyProtection="1">
      <alignment horizontal="center" vertical="center"/>
      <protection locked="0"/>
    </xf>
    <xf numFmtId="0" fontId="155" fillId="0" borderId="0" xfId="0" applyFont="1" applyFill="1" applyBorder="1" applyAlignment="1" applyProtection="1">
      <alignment horizontal="left" vertical="center" shrinkToFit="1"/>
      <protection locked="0"/>
    </xf>
    <xf numFmtId="0" fontId="155" fillId="33" borderId="0" xfId="0" applyFont="1" applyFill="1" applyBorder="1" applyAlignment="1" applyProtection="1">
      <alignment horizontal="center" vertical="center"/>
      <protection locked="0"/>
    </xf>
    <xf numFmtId="196" fontId="155" fillId="33" borderId="0" xfId="0" applyNumberFormat="1" applyFont="1" applyFill="1" applyBorder="1" applyAlignment="1" applyProtection="1">
      <alignment horizontal="center" vertical="center"/>
      <protection locked="0"/>
    </xf>
    <xf numFmtId="0" fontId="182"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55" fillId="34" borderId="0" xfId="0" applyFont="1" applyFill="1" applyAlignment="1" applyProtection="1">
      <alignment vertical="center"/>
      <protection locked="0"/>
    </xf>
    <xf numFmtId="0" fontId="113"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45" fillId="7" borderId="51" xfId="0" applyFont="1" applyFill="1" applyBorder="1" applyAlignment="1" applyProtection="1">
      <alignment horizontal="left" vertical="center" wrapText="1"/>
      <protection locked="0"/>
    </xf>
    <xf numFmtId="0" fontId="145" fillId="7" borderId="14"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48" xfId="0" applyNumberFormat="1" applyFont="1" applyFill="1" applyBorder="1" applyAlignment="1" applyProtection="1">
      <alignment horizontal="left" vertical="center" wrapText="1"/>
      <protection locked="0"/>
    </xf>
    <xf numFmtId="0" fontId="145" fillId="7" borderId="48"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1" fillId="7" borderId="95" xfId="0" applyFont="1" applyFill="1" applyBorder="1" applyAlignment="1" applyProtection="1">
      <alignment vertical="center"/>
      <protection locked="0"/>
    </xf>
    <xf numFmtId="0" fontId="131" fillId="7" borderId="97" xfId="0" applyFont="1" applyFill="1" applyBorder="1" applyAlignment="1" applyProtection="1">
      <alignment vertical="center"/>
      <protection locked="0"/>
    </xf>
    <xf numFmtId="0" fontId="131" fillId="7" borderId="98" xfId="0" applyFont="1" applyFill="1" applyBorder="1" applyAlignment="1" applyProtection="1">
      <alignment vertical="center"/>
      <protection locked="0"/>
    </xf>
    <xf numFmtId="20" fontId="141" fillId="7" borderId="23" xfId="0" applyNumberFormat="1" applyFont="1" applyFill="1" applyBorder="1" applyAlignment="1" applyProtection="1">
      <alignment horizontal="center" vertical="center"/>
      <protection locked="0"/>
    </xf>
    <xf numFmtId="20" fontId="141" fillId="7" borderId="95" xfId="0" applyNumberFormat="1" applyFont="1" applyFill="1" applyBorder="1" applyAlignment="1" applyProtection="1">
      <alignment horizontal="center" vertical="center"/>
      <protection locked="0"/>
    </xf>
    <xf numFmtId="20" fontId="141" fillId="7" borderId="97" xfId="0" applyNumberFormat="1" applyFont="1" applyFill="1" applyBorder="1" applyAlignment="1" applyProtection="1">
      <alignment horizontal="center" vertical="center"/>
      <protection locked="0"/>
    </xf>
    <xf numFmtId="20" fontId="141" fillId="7" borderId="98"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29" fillId="0" borderId="99" xfId="0" applyFont="1" applyBorder="1" applyAlignment="1" applyProtection="1">
      <alignment horizontal="center" vertical="center" wrapText="1"/>
      <protection locked="0"/>
    </xf>
    <xf numFmtId="0" fontId="146" fillId="33" borderId="22" xfId="0" applyFont="1" applyFill="1" applyBorder="1" applyAlignment="1" applyProtection="1">
      <alignment horizontal="center" vertical="center" wrapText="1"/>
      <protection locked="0"/>
    </xf>
    <xf numFmtId="0" fontId="129" fillId="0" borderId="100" xfId="0" applyFont="1" applyBorder="1" applyAlignment="1" applyProtection="1">
      <alignment horizontal="center" vertical="top" wrapText="1"/>
      <protection locked="0"/>
    </xf>
    <xf numFmtId="176" fontId="174" fillId="0" borderId="101"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9"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9" fillId="0" borderId="0" xfId="0" applyFont="1" applyAlignment="1" applyProtection="1">
      <alignment horizontal="justify" vertical="center"/>
      <protection locked="0"/>
    </xf>
    <xf numFmtId="0" fontId="127"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5" xfId="0" applyFont="1" applyBorder="1" applyAlignment="1" applyProtection="1">
      <alignment horizontal="center" vertical="top" wrapText="1"/>
      <protection locked="0"/>
    </xf>
    <xf numFmtId="0" fontId="129" fillId="0" borderId="99" xfId="0" applyFont="1" applyBorder="1" applyAlignment="1" applyProtection="1">
      <alignment horizontal="left" vertical="center" wrapText="1"/>
      <protection locked="0"/>
    </xf>
    <xf numFmtId="0" fontId="0" fillId="0" borderId="99" xfId="0" applyFont="1" applyBorder="1" applyAlignment="1" applyProtection="1">
      <alignment horizontal="center" vertical="top" wrapText="1"/>
      <protection locked="0"/>
    </xf>
    <xf numFmtId="0" fontId="145" fillId="7" borderId="18" xfId="0" applyFont="1" applyFill="1" applyBorder="1" applyAlignment="1" applyProtection="1">
      <alignment horizontal="left" vertical="center" wrapText="1"/>
      <protection locked="0"/>
    </xf>
    <xf numFmtId="0" fontId="145"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45" fillId="7" borderId="19" xfId="0" applyFont="1" applyFill="1" applyBorder="1" applyAlignment="1" applyProtection="1">
      <alignment horizontal="left" vertical="center" shrinkToFit="1"/>
      <protection locked="0"/>
    </xf>
    <xf numFmtId="0" fontId="145" fillId="7" borderId="41"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29" fillId="0" borderId="10" xfId="50" applyFont="1" applyBorder="1" applyAlignment="1" applyProtection="1">
      <alignment horizontal="center" vertical="top" wrapText="1"/>
      <protection locked="0"/>
    </xf>
    <xf numFmtId="0" fontId="129" fillId="0" borderId="0" xfId="0" applyFont="1" applyBorder="1" applyAlignment="1" applyProtection="1">
      <alignment horizontal="center" vertical="top" wrapText="1"/>
      <protection locked="0"/>
    </xf>
    <xf numFmtId="38" fontId="129" fillId="0" borderId="99" xfId="50" applyFont="1" applyBorder="1" applyAlignment="1" applyProtection="1">
      <alignment horizontal="center" vertical="center" wrapText="1"/>
      <protection locked="0"/>
    </xf>
    <xf numFmtId="0" fontId="129" fillId="0" borderId="0" xfId="0" applyFont="1" applyBorder="1" applyAlignment="1" applyProtection="1">
      <alignment horizontal="center" vertical="center" wrapText="1"/>
      <protection locked="0"/>
    </xf>
    <xf numFmtId="178" fontId="145" fillId="33" borderId="0" xfId="0" applyNumberFormat="1" applyFont="1" applyFill="1" applyBorder="1" applyAlignment="1" applyProtection="1">
      <alignment horizontal="right" vertical="center" wrapText="1"/>
      <protection locked="0"/>
    </xf>
    <xf numFmtId="0" fontId="145" fillId="7" borderId="13" xfId="0" applyFont="1" applyFill="1" applyBorder="1" applyAlignment="1" applyProtection="1">
      <alignment horizontal="left" vertical="center" shrinkToFit="1"/>
      <protection locked="0"/>
    </xf>
    <xf numFmtId="0" fontId="129" fillId="0" borderId="14" xfId="0" applyFont="1" applyBorder="1" applyAlignment="1" applyProtection="1">
      <alignment horizontal="center" vertical="center" wrapText="1"/>
      <protection locked="0"/>
    </xf>
    <xf numFmtId="0" fontId="0" fillId="7" borderId="102" xfId="0" applyFont="1" applyFill="1" applyBorder="1" applyAlignment="1" applyProtection="1">
      <alignment horizontal="center" vertical="center"/>
      <protection locked="0"/>
    </xf>
    <xf numFmtId="0" fontId="129" fillId="0" borderId="13" xfId="0" applyFont="1" applyBorder="1" applyAlignment="1" applyProtection="1">
      <alignment horizontal="center" vertical="center" wrapText="1"/>
      <protection locked="0"/>
    </xf>
    <xf numFmtId="0" fontId="129" fillId="0" borderId="48" xfId="0" applyFont="1" applyBorder="1" applyAlignment="1" applyProtection="1">
      <alignment horizontal="center" vertical="center" wrapText="1"/>
      <protection locked="0"/>
    </xf>
    <xf numFmtId="0" fontId="0" fillId="7" borderId="103" xfId="0" applyFont="1" applyFill="1" applyBorder="1" applyAlignment="1" applyProtection="1">
      <alignment horizontal="center" vertical="center"/>
      <protection locked="0"/>
    </xf>
    <xf numFmtId="0" fontId="129" fillId="0" borderId="0" xfId="0" applyFont="1" applyAlignment="1" applyProtection="1">
      <alignment horizontal="left" vertical="center" shrinkToFit="1"/>
      <protection locked="0"/>
    </xf>
    <xf numFmtId="0" fontId="129" fillId="0" borderId="10" xfId="0" applyFont="1" applyBorder="1" applyAlignment="1" applyProtection="1">
      <alignment horizontal="center" vertical="top" shrinkToFit="1"/>
      <protection locked="0"/>
    </xf>
    <xf numFmtId="0" fontId="129" fillId="0" borderId="99" xfId="0" applyFont="1" applyBorder="1" applyAlignment="1" applyProtection="1">
      <alignment horizontal="left" vertical="center" shrinkToFit="1"/>
      <protection locked="0"/>
    </xf>
    <xf numFmtId="0" fontId="0" fillId="7" borderId="104" xfId="0" applyFont="1" applyFill="1" applyBorder="1" applyAlignment="1" applyProtection="1">
      <alignment horizontal="center" vertical="center"/>
      <protection locked="0"/>
    </xf>
    <xf numFmtId="0" fontId="0" fillId="7" borderId="105" xfId="0" applyFont="1" applyFill="1" applyBorder="1" applyAlignment="1" applyProtection="1">
      <alignment horizontal="center" vertical="center"/>
      <protection locked="0"/>
    </xf>
    <xf numFmtId="0" fontId="129" fillId="33" borderId="13" xfId="0" applyFont="1" applyFill="1" applyBorder="1" applyAlignment="1" applyProtection="1">
      <alignment horizontal="center" vertical="center" wrapText="1"/>
      <protection locked="0"/>
    </xf>
    <xf numFmtId="0" fontId="129" fillId="33" borderId="0" xfId="0" applyFont="1" applyFill="1" applyBorder="1" applyAlignment="1" applyProtection="1">
      <alignment horizontal="center" vertical="center" wrapText="1"/>
      <protection locked="0"/>
    </xf>
    <xf numFmtId="0" fontId="129" fillId="33" borderId="14" xfId="0" applyFont="1" applyFill="1" applyBorder="1" applyAlignment="1" applyProtection="1">
      <alignment horizontal="center" vertical="center" wrapText="1"/>
      <protection locked="0"/>
    </xf>
    <xf numFmtId="0" fontId="145" fillId="7" borderId="19" xfId="0" applyFont="1" applyFill="1" applyBorder="1" applyAlignment="1" applyProtection="1">
      <alignment horizontal="left" vertical="center" wrapText="1" shrinkToFit="1"/>
      <protection locked="0"/>
    </xf>
    <xf numFmtId="0" fontId="129" fillId="0" borderId="18" xfId="0" applyFont="1" applyBorder="1" applyAlignment="1" applyProtection="1" quotePrefix="1">
      <alignment horizontal="center" vertical="center" wrapText="1"/>
      <protection locked="0"/>
    </xf>
    <xf numFmtId="0" fontId="129" fillId="33" borderId="21" xfId="0" applyFont="1" applyFill="1" applyBorder="1" applyAlignment="1" applyProtection="1">
      <alignment horizontal="center" vertical="center" wrapText="1"/>
      <protection locked="0"/>
    </xf>
    <xf numFmtId="0" fontId="129"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29" fillId="0" borderId="45" xfId="0" applyFont="1" applyBorder="1" applyAlignment="1" applyProtection="1" quotePrefix="1">
      <alignment horizontal="center" vertical="center" wrapText="1"/>
      <protection locked="0"/>
    </xf>
    <xf numFmtId="0" fontId="129" fillId="33" borderId="20" xfId="0" applyFont="1" applyFill="1" applyBorder="1" applyAlignment="1" applyProtection="1">
      <alignment horizontal="center" vertical="center" wrapText="1"/>
      <protection locked="0"/>
    </xf>
    <xf numFmtId="38" fontId="13" fillId="0" borderId="56" xfId="50" applyFont="1" applyFill="1" applyBorder="1" applyAlignment="1" applyProtection="1">
      <alignment horizontal="center" vertical="center"/>
      <protection/>
    </xf>
    <xf numFmtId="176" fontId="13" fillId="0" borderId="57" xfId="0" applyNumberFormat="1" applyFont="1" applyFill="1" applyBorder="1" applyAlignment="1" applyProtection="1">
      <alignment horizontal="right" vertical="center"/>
      <protection/>
    </xf>
    <xf numFmtId="0" fontId="166" fillId="33" borderId="106" xfId="0" applyFont="1" applyFill="1" applyBorder="1" applyAlignment="1" applyProtection="1">
      <alignment vertical="center"/>
      <protection/>
    </xf>
    <xf numFmtId="0" fontId="166" fillId="33" borderId="59" xfId="0" applyFont="1" applyFill="1" applyBorder="1" applyAlignment="1" applyProtection="1">
      <alignment vertical="center"/>
      <protection/>
    </xf>
    <xf numFmtId="0" fontId="3" fillId="35" borderId="40"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xf>
    <xf numFmtId="213" fontId="3" fillId="35" borderId="48" xfId="50" applyNumberFormat="1" applyFont="1" applyFill="1" applyBorder="1" applyAlignment="1" applyProtection="1">
      <alignment vertical="center" wrapText="1"/>
      <protection locked="0"/>
    </xf>
    <xf numFmtId="213" fontId="3" fillId="35" borderId="39" xfId="50" applyNumberFormat="1" applyFont="1" applyFill="1" applyBorder="1" applyAlignment="1" applyProtection="1">
      <alignment vertical="center" wrapText="1"/>
      <protection/>
    </xf>
    <xf numFmtId="0" fontId="3" fillId="35" borderId="40" xfId="0" applyFont="1" applyFill="1" applyBorder="1" applyAlignment="1" applyProtection="1">
      <alignment horizontal="center" vertical="center" wrapText="1"/>
      <protection/>
    </xf>
    <xf numFmtId="0" fontId="3" fillId="35" borderId="107"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48" xfId="0" applyFont="1" applyFill="1" applyBorder="1" applyAlignment="1" applyProtection="1">
      <alignment vertical="center" wrapText="1"/>
      <protection locked="0"/>
    </xf>
    <xf numFmtId="0" fontId="3" fillId="35" borderId="39" xfId="0" applyFont="1" applyFill="1" applyBorder="1" applyAlignment="1" applyProtection="1">
      <alignment horizontal="center" vertical="center" wrapText="1"/>
      <protection locked="0"/>
    </xf>
    <xf numFmtId="213" fontId="3" fillId="35" borderId="41" xfId="50" applyNumberFormat="1" applyFont="1" applyFill="1" applyBorder="1" applyAlignment="1" applyProtection="1">
      <alignment vertical="center" wrapText="1"/>
      <protection/>
    </xf>
    <xf numFmtId="0" fontId="3" fillId="35" borderId="48" xfId="0" applyFont="1" applyFill="1" applyBorder="1" applyAlignment="1" applyProtection="1">
      <alignment horizontal="center" vertical="center" wrapText="1"/>
      <protection/>
    </xf>
    <xf numFmtId="213" fontId="3" fillId="35" borderId="48"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155" fillId="36" borderId="0" xfId="0" applyFont="1" applyFill="1" applyAlignment="1" applyProtection="1">
      <alignment vertical="center"/>
      <protection locked="0"/>
    </xf>
    <xf numFmtId="0" fontId="113" fillId="36" borderId="0" xfId="44" applyFill="1" applyAlignment="1" applyProtection="1">
      <alignment horizontal="left" vertical="center"/>
      <protection locked="0"/>
    </xf>
    <xf numFmtId="0" fontId="155" fillId="37" borderId="0" xfId="0" applyFont="1" applyFill="1" applyAlignment="1" applyProtection="1">
      <alignment vertical="center"/>
      <protection locked="0"/>
    </xf>
    <xf numFmtId="0" fontId="113" fillId="36" borderId="0" xfId="44" applyFill="1" applyAlignment="1" applyProtection="1">
      <alignment vertical="center"/>
      <protection locked="0"/>
    </xf>
    <xf numFmtId="184" fontId="16" fillId="7" borderId="51"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99" xfId="0" applyNumberFormat="1" applyFont="1" applyFill="1" applyBorder="1" applyAlignment="1" applyProtection="1">
      <alignment horizontal="right" vertical="center" wrapText="1"/>
      <protection locked="0"/>
    </xf>
    <xf numFmtId="0" fontId="113"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176" fontId="13" fillId="7" borderId="13" xfId="0" applyNumberFormat="1" applyFont="1" applyFill="1" applyBorder="1" applyAlignment="1" applyProtection="1">
      <alignment horizontal="right" vertical="center" wrapText="1"/>
      <protection locked="0"/>
    </xf>
    <xf numFmtId="0" fontId="129" fillId="0" borderId="95" xfId="0" applyFont="1" applyBorder="1" applyAlignment="1" applyProtection="1">
      <alignment horizontal="center" vertical="top" wrapText="1"/>
      <protection locked="0"/>
    </xf>
    <xf numFmtId="0" fontId="129" fillId="0" borderId="98" xfId="0" applyFont="1" applyBorder="1" applyAlignment="1" applyProtection="1">
      <alignment horizontal="center" vertical="center" wrapText="1"/>
      <protection locked="0"/>
    </xf>
    <xf numFmtId="176" fontId="8" fillId="0" borderId="75" xfId="0" applyNumberFormat="1" applyFont="1" applyBorder="1" applyAlignment="1" applyProtection="1">
      <alignment horizontal="right" vertical="center" wrapText="1"/>
      <protection/>
    </xf>
    <xf numFmtId="176" fontId="8" fillId="0" borderId="76" xfId="0" applyNumberFormat="1" applyFont="1" applyBorder="1" applyAlignment="1" applyProtection="1">
      <alignment horizontal="right" vertical="center" wrapText="1"/>
      <protection/>
    </xf>
    <xf numFmtId="0" fontId="13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0"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1" fillId="0" borderId="109" xfId="0" applyFont="1" applyBorder="1" applyAlignment="1" applyProtection="1">
      <alignment vertical="center"/>
      <protection locked="0"/>
    </xf>
    <xf numFmtId="0" fontId="183" fillId="0" borderId="0" xfId="0" applyFont="1" applyBorder="1" applyAlignment="1" applyProtection="1">
      <alignment vertical="center"/>
      <protection locked="0"/>
    </xf>
    <xf numFmtId="0" fontId="141" fillId="0" borderId="0" xfId="0" applyFont="1" applyBorder="1" applyAlignment="1" applyProtection="1">
      <alignment vertical="center"/>
      <protection locked="0"/>
    </xf>
    <xf numFmtId="0" fontId="141" fillId="0" borderId="35" xfId="0" applyFont="1" applyBorder="1" applyAlignment="1" applyProtection="1">
      <alignment vertical="center"/>
      <protection locked="0"/>
    </xf>
    <xf numFmtId="0" fontId="141" fillId="0" borderId="35" xfId="0" applyFont="1" applyBorder="1" applyAlignment="1" applyProtection="1">
      <alignment horizontal="center" vertical="center"/>
      <protection locked="0"/>
    </xf>
    <xf numFmtId="0" fontId="160" fillId="0" borderId="35" xfId="0" applyFont="1" applyBorder="1" applyAlignment="1" applyProtection="1">
      <alignment vertical="center"/>
      <protection locked="0"/>
    </xf>
    <xf numFmtId="0" fontId="142" fillId="0" borderId="0" xfId="0" applyFont="1" applyBorder="1" applyAlignment="1" applyProtection="1">
      <alignment horizontal="left" vertical="center"/>
      <protection locked="0"/>
    </xf>
    <xf numFmtId="0" fontId="170" fillId="0" borderId="0" xfId="0" applyFont="1" applyBorder="1" applyAlignment="1" applyProtection="1">
      <alignment horizontal="center" vertical="center" wrapText="1"/>
      <protection locked="0"/>
    </xf>
    <xf numFmtId="0" fontId="170" fillId="0" borderId="0" xfId="0" applyFont="1" applyBorder="1" applyAlignment="1" applyProtection="1">
      <alignment horizontal="left" vertical="center" wrapText="1"/>
      <protection locked="0"/>
    </xf>
    <xf numFmtId="0" fontId="170" fillId="33" borderId="0" xfId="0" applyFont="1" applyFill="1" applyBorder="1" applyAlignment="1" applyProtection="1">
      <alignment horizontal="left" vertical="center" wrapText="1"/>
      <protection locked="0"/>
    </xf>
    <xf numFmtId="0" fontId="170" fillId="0" borderId="0" xfId="0" applyFont="1" applyFill="1" applyBorder="1" applyAlignment="1" applyProtection="1">
      <alignment horizontal="left" vertical="center" wrapText="1"/>
      <protection locked="0"/>
    </xf>
    <xf numFmtId="0" fontId="141" fillId="0" borderId="18" xfId="0" applyFont="1" applyBorder="1" applyAlignment="1" applyProtection="1">
      <alignment horizontal="center" vertical="center"/>
      <protection locked="0"/>
    </xf>
    <xf numFmtId="0" fontId="141" fillId="0" borderId="110" xfId="0" applyFont="1" applyBorder="1" applyAlignment="1" applyProtection="1">
      <alignment vertical="center"/>
      <protection locked="0"/>
    </xf>
    <xf numFmtId="0" fontId="183" fillId="0" borderId="111" xfId="0" applyFont="1" applyBorder="1" applyAlignment="1" applyProtection="1">
      <alignment vertical="center"/>
      <protection locked="0"/>
    </xf>
    <xf numFmtId="0" fontId="141" fillId="0" borderId="111" xfId="0" applyFont="1" applyBorder="1" applyAlignment="1" applyProtection="1">
      <alignment vertical="center"/>
      <protection locked="0"/>
    </xf>
    <xf numFmtId="0" fontId="183" fillId="0" borderId="111" xfId="0" applyFont="1" applyBorder="1" applyAlignment="1" applyProtection="1">
      <alignment vertical="center"/>
      <protection locked="0"/>
    </xf>
    <xf numFmtId="0" fontId="141" fillId="0" borderId="111" xfId="0" applyFont="1" applyBorder="1" applyAlignment="1" applyProtection="1">
      <alignment vertical="center"/>
      <protection locked="0"/>
    </xf>
    <xf numFmtId="0" fontId="160" fillId="0" borderId="18" xfId="0" applyFont="1" applyBorder="1" applyAlignment="1" applyProtection="1">
      <alignment vertical="center"/>
      <protection locked="0"/>
    </xf>
    <xf numFmtId="0" fontId="141" fillId="0" borderId="34" xfId="0" applyFont="1" applyBorder="1" applyAlignment="1" applyProtection="1">
      <alignment horizontal="center" vertical="center"/>
      <protection locked="0"/>
    </xf>
    <xf numFmtId="0" fontId="141" fillId="0" borderId="19" xfId="0" applyFont="1" applyBorder="1" applyAlignment="1" applyProtection="1">
      <alignment horizontal="center" vertical="center"/>
      <protection locked="0"/>
    </xf>
    <xf numFmtId="0" fontId="6" fillId="0" borderId="61" xfId="0" applyFont="1" applyFill="1" applyBorder="1" applyAlignment="1" applyProtection="1">
      <alignment vertical="center" wrapText="1"/>
      <protection locked="0"/>
    </xf>
    <xf numFmtId="0" fontId="6" fillId="0" borderId="62" xfId="0" applyFont="1" applyFill="1" applyBorder="1" applyAlignment="1" applyProtection="1">
      <alignment vertical="center" wrapText="1"/>
      <protection locked="0"/>
    </xf>
    <xf numFmtId="0" fontId="6" fillId="0" borderId="63" xfId="0" applyFont="1" applyFill="1" applyBorder="1" applyAlignment="1" applyProtection="1">
      <alignment vertical="center" wrapText="1"/>
      <protection locked="0"/>
    </xf>
    <xf numFmtId="38" fontId="174" fillId="0" borderId="61" xfId="50" applyFont="1" applyFill="1" applyBorder="1" applyAlignment="1" applyProtection="1">
      <alignment horizontal="right" vertical="center"/>
      <protection locked="0"/>
    </xf>
    <xf numFmtId="176" fontId="174" fillId="0" borderId="112" xfId="0" applyNumberFormat="1" applyFont="1" applyFill="1" applyBorder="1" applyAlignment="1" applyProtection="1">
      <alignment horizontal="right" vertical="center" wrapText="1"/>
      <protection locked="0"/>
    </xf>
    <xf numFmtId="38" fontId="174" fillId="0" borderId="62" xfId="50" applyFont="1" applyFill="1" applyBorder="1" applyAlignment="1" applyProtection="1">
      <alignment horizontal="right" vertical="center"/>
      <protection locked="0"/>
    </xf>
    <xf numFmtId="176" fontId="174" fillId="0" borderId="113" xfId="0" applyNumberFormat="1" applyFont="1" applyFill="1" applyBorder="1" applyAlignment="1" applyProtection="1">
      <alignment horizontal="right" vertical="center" wrapText="1"/>
      <protection locked="0"/>
    </xf>
    <xf numFmtId="38" fontId="174" fillId="0" borderId="63" xfId="50" applyFont="1" applyFill="1" applyBorder="1" applyAlignment="1" applyProtection="1">
      <alignment horizontal="right" vertical="center"/>
      <protection locked="0"/>
    </xf>
    <xf numFmtId="176" fontId="174" fillId="0" borderId="114" xfId="0" applyNumberFormat="1" applyFont="1" applyFill="1" applyBorder="1" applyAlignment="1" applyProtection="1">
      <alignment horizontal="right" vertical="center" wrapText="1"/>
      <protection locked="0"/>
    </xf>
    <xf numFmtId="0" fontId="17" fillId="0" borderId="101" xfId="0" applyFont="1" applyFill="1" applyBorder="1" applyAlignment="1" applyProtection="1" quotePrefix="1">
      <alignment horizontal="center" vertical="center" wrapText="1"/>
      <protection locked="0"/>
    </xf>
    <xf numFmtId="0" fontId="149" fillId="0" borderId="109" xfId="0" applyFont="1" applyBorder="1" applyAlignment="1" applyProtection="1">
      <alignment horizontal="right"/>
      <protection locked="0"/>
    </xf>
    <xf numFmtId="0" fontId="148" fillId="33" borderId="12" xfId="0" applyFont="1" applyFill="1" applyBorder="1" applyAlignment="1" applyProtection="1">
      <alignment horizontal="center" vertical="center"/>
      <protection locked="0"/>
    </xf>
    <xf numFmtId="0" fontId="148" fillId="33" borderId="115" xfId="0" applyFont="1" applyFill="1" applyBorder="1" applyAlignment="1" applyProtection="1">
      <alignment horizontal="center" vertical="center"/>
      <protection locked="0"/>
    </xf>
    <xf numFmtId="0" fontId="149" fillId="0" borderId="116" xfId="0" applyFont="1" applyBorder="1" applyAlignment="1" applyProtection="1">
      <alignment vertical="center"/>
      <protection locked="0"/>
    </xf>
    <xf numFmtId="0" fontId="141" fillId="0" borderId="109" xfId="0" applyFont="1" applyBorder="1" applyAlignment="1" applyProtection="1">
      <alignment vertical="center"/>
      <protection locked="0"/>
    </xf>
    <xf numFmtId="0" fontId="148" fillId="33" borderId="14" xfId="0" applyFont="1" applyFill="1" applyBorder="1" applyAlignment="1" applyProtection="1">
      <alignment horizontal="center" vertical="center"/>
      <protection/>
    </xf>
    <xf numFmtId="0" fontId="141" fillId="0" borderId="35" xfId="0" applyFont="1" applyBorder="1" applyAlignment="1" applyProtection="1">
      <alignment vertical="center"/>
      <protection locked="0"/>
    </xf>
    <xf numFmtId="0" fontId="148" fillId="33" borderId="101" xfId="0" applyFont="1" applyFill="1" applyBorder="1" applyAlignment="1" applyProtection="1">
      <alignment horizontal="center" vertical="center"/>
      <protection/>
    </xf>
    <xf numFmtId="0" fontId="149" fillId="0" borderId="101" xfId="0" applyFont="1" applyBorder="1" applyAlignment="1" applyProtection="1">
      <alignment vertical="center"/>
      <protection locked="0"/>
    </xf>
    <xf numFmtId="0" fontId="148" fillId="33" borderId="117" xfId="0" applyFont="1" applyFill="1" applyBorder="1" applyAlignment="1" applyProtection="1">
      <alignment horizontal="center" vertical="center"/>
      <protection locked="0"/>
    </xf>
    <xf numFmtId="213" fontId="39" fillId="33" borderId="115" xfId="50" applyNumberFormat="1" applyFont="1" applyFill="1" applyBorder="1" applyAlignment="1" applyProtection="1">
      <alignment horizontal="center" vertical="center"/>
      <protection locked="0"/>
    </xf>
    <xf numFmtId="213" fontId="39" fillId="33" borderId="101" xfId="50" applyNumberFormat="1" applyFont="1" applyFill="1" applyBorder="1" applyAlignment="1" applyProtection="1">
      <alignment horizontal="center" vertical="center"/>
      <protection/>
    </xf>
    <xf numFmtId="0" fontId="141" fillId="0" borderId="0" xfId="0" applyFont="1" applyBorder="1" applyAlignment="1" applyProtection="1">
      <alignment horizontal="right" vertical="center"/>
      <protection locked="0"/>
    </xf>
    <xf numFmtId="0" fontId="141" fillId="0" borderId="0" xfId="0" applyFont="1" applyAlignment="1" applyProtection="1">
      <alignment vertical="center"/>
      <protection locked="0"/>
    </xf>
    <xf numFmtId="38" fontId="174" fillId="0" borderId="112" xfId="50" applyFont="1" applyFill="1" applyBorder="1" applyAlignment="1" applyProtection="1">
      <alignment horizontal="right" vertical="center"/>
      <protection locked="0"/>
    </xf>
    <xf numFmtId="38" fontId="174" fillId="0" borderId="113" xfId="50" applyFont="1" applyFill="1" applyBorder="1" applyAlignment="1" applyProtection="1">
      <alignment horizontal="right" vertical="center"/>
      <protection locked="0"/>
    </xf>
    <xf numFmtId="38" fontId="174" fillId="0" borderId="114" xfId="50" applyFont="1" applyFill="1" applyBorder="1" applyAlignment="1" applyProtection="1">
      <alignment horizontal="right" vertical="center"/>
      <protection locked="0"/>
    </xf>
    <xf numFmtId="0" fontId="184" fillId="0" borderId="0" xfId="0" applyFont="1" applyAlignment="1" applyProtection="1">
      <alignment vertical="center"/>
      <protection locked="0"/>
    </xf>
    <xf numFmtId="0" fontId="174" fillId="0" borderId="0" xfId="0" applyFont="1" applyAlignment="1" applyProtection="1">
      <alignment vertical="center"/>
      <protection locked="0"/>
    </xf>
    <xf numFmtId="0" fontId="185" fillId="0" borderId="0" xfId="0" applyFont="1" applyBorder="1" applyAlignment="1" applyProtection="1">
      <alignment horizontal="center" vertical="center"/>
      <protection locked="0"/>
    </xf>
    <xf numFmtId="0" fontId="185"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44"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27" fillId="0" borderId="13" xfId="0" applyFont="1" applyBorder="1" applyAlignment="1" applyProtection="1">
      <alignment vertical="center" wrapText="1"/>
      <protection locked="0"/>
    </xf>
    <xf numFmtId="0" fontId="170" fillId="0" borderId="12" xfId="0" applyFont="1" applyFill="1" applyBorder="1" applyAlignment="1" applyProtection="1">
      <alignment horizontal="center" vertical="center" wrapText="1"/>
      <protection locked="0"/>
    </xf>
    <xf numFmtId="0" fontId="170" fillId="0" borderId="14"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42" fillId="0" borderId="13" xfId="0" applyFont="1" applyFill="1" applyBorder="1" applyAlignment="1" applyProtection="1">
      <alignment horizontal="center" vertical="center" wrapText="1"/>
      <protection locked="0"/>
    </xf>
    <xf numFmtId="0" fontId="170" fillId="0" borderId="58" xfId="0" applyFont="1" applyFill="1" applyBorder="1" applyAlignment="1" applyProtection="1">
      <alignment horizontal="left" vertical="center" wrapText="1"/>
      <protection locked="0"/>
    </xf>
    <xf numFmtId="0" fontId="130" fillId="0" borderId="0" xfId="0" applyFont="1" applyFill="1" applyAlignment="1" applyProtection="1">
      <alignment vertical="center"/>
      <protection locked="0"/>
    </xf>
    <xf numFmtId="0" fontId="138" fillId="0" borderId="0" xfId="0" applyFont="1" applyFill="1" applyAlignment="1" applyProtection="1">
      <alignment vertical="center"/>
      <protection locked="0"/>
    </xf>
    <xf numFmtId="0" fontId="142" fillId="38" borderId="13" xfId="0" applyFont="1" applyFill="1" applyBorder="1" applyAlignment="1" applyProtection="1">
      <alignment horizontal="center" vertical="center" wrapText="1"/>
      <protection locked="0"/>
    </xf>
    <xf numFmtId="176" fontId="13" fillId="38" borderId="13" xfId="0" applyNumberFormat="1" applyFont="1" applyFill="1" applyBorder="1" applyAlignment="1" applyProtection="1">
      <alignment horizontal="right" vertical="center" wrapText="1"/>
      <protection/>
    </xf>
    <xf numFmtId="0" fontId="170" fillId="38" borderId="13" xfId="0" applyFont="1" applyFill="1" applyBorder="1" applyAlignment="1" applyProtection="1">
      <alignment horizontal="left" vertical="center" wrapText="1"/>
      <protection locked="0"/>
    </xf>
    <xf numFmtId="0" fontId="127" fillId="39"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86" fillId="0" borderId="0" xfId="0" applyFont="1" applyAlignment="1" applyProtection="1">
      <alignment horizontal="left"/>
      <protection locked="0"/>
    </xf>
    <xf numFmtId="0" fontId="35" fillId="0" borderId="0" xfId="0" applyFont="1" applyAlignment="1" applyProtection="1">
      <alignment vertical="center"/>
      <protection locked="0"/>
    </xf>
    <xf numFmtId="0" fontId="186" fillId="0" borderId="0" xfId="0" applyFont="1" applyAlignment="1" applyProtection="1">
      <alignment horizontal="left" vertical="center"/>
      <protection locked="0"/>
    </xf>
    <xf numFmtId="0" fontId="149" fillId="0" borderId="0" xfId="0" applyFont="1" applyBorder="1" applyAlignment="1" applyProtection="1">
      <alignment horizontal="left" vertical="center"/>
      <protection locked="0"/>
    </xf>
    <xf numFmtId="0" fontId="160" fillId="40" borderId="0" xfId="0" applyFont="1" applyFill="1" applyAlignment="1" applyProtection="1">
      <alignment vertical="center"/>
      <protection locked="0"/>
    </xf>
    <xf numFmtId="0" fontId="185" fillId="40" borderId="0" xfId="0" applyFont="1" applyFill="1" applyBorder="1" applyAlignment="1" applyProtection="1">
      <alignment vertical="center"/>
      <protection locked="0"/>
    </xf>
    <xf numFmtId="0" fontId="127" fillId="0" borderId="13" xfId="0" applyFont="1" applyBorder="1" applyAlignment="1" applyProtection="1">
      <alignment horizontal="center" vertical="center"/>
      <protection locked="0"/>
    </xf>
    <xf numFmtId="0" fontId="154" fillId="0" borderId="109" xfId="0" applyFont="1" applyBorder="1" applyAlignment="1">
      <alignment horizontal="center" vertical="center"/>
    </xf>
    <xf numFmtId="0" fontId="167"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52" fillId="0" borderId="118" xfId="0" applyNumberFormat="1" applyFont="1" applyFill="1" applyBorder="1" applyAlignment="1" applyProtection="1">
      <alignment horizontal="right" vertical="center" wrapText="1"/>
      <protection/>
    </xf>
    <xf numFmtId="0" fontId="152" fillId="0" borderId="0" xfId="0" applyFont="1" applyFill="1" applyBorder="1" applyAlignment="1" applyProtection="1">
      <alignment vertical="center" wrapText="1"/>
      <protection locked="0"/>
    </xf>
    <xf numFmtId="0" fontId="139" fillId="0" borderId="0" xfId="0" applyFont="1" applyFill="1" applyBorder="1" applyAlignment="1" applyProtection="1">
      <alignment vertical="center" wrapText="1"/>
      <protection locked="0"/>
    </xf>
    <xf numFmtId="0" fontId="128" fillId="0" borderId="0" xfId="0" applyFont="1" applyFill="1" applyAlignment="1" applyProtection="1">
      <alignment vertical="center"/>
      <protection locked="0"/>
    </xf>
    <xf numFmtId="0" fontId="131" fillId="0" borderId="0" xfId="0" applyFont="1" applyFill="1" applyAlignment="1" applyProtection="1">
      <alignment horizontal="right" vertical="center"/>
      <protection locked="0"/>
    </xf>
    <xf numFmtId="176" fontId="152" fillId="0" borderId="42" xfId="0" applyNumberFormat="1" applyFont="1" applyFill="1" applyBorder="1" applyAlignment="1" applyProtection="1">
      <alignment horizontal="right" vertical="center" wrapText="1"/>
      <protection/>
    </xf>
    <xf numFmtId="0" fontId="131" fillId="0" borderId="0" xfId="0" applyFont="1" applyFill="1" applyAlignment="1" applyProtection="1">
      <alignment vertical="center"/>
      <protection locked="0"/>
    </xf>
    <xf numFmtId="176" fontId="152" fillId="0" borderId="26" xfId="0" applyNumberFormat="1" applyFont="1" applyFill="1" applyBorder="1" applyAlignment="1" applyProtection="1">
      <alignment horizontal="right" vertical="center" wrapText="1"/>
      <protection/>
    </xf>
    <xf numFmtId="0" fontId="145" fillId="0" borderId="0" xfId="0" applyFont="1" applyFill="1" applyBorder="1" applyAlignment="1" applyProtection="1">
      <alignment vertical="center" wrapText="1"/>
      <protection locked="0"/>
    </xf>
    <xf numFmtId="176" fontId="152"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141" fillId="0" borderId="0" xfId="0" applyFont="1" applyFill="1" applyAlignment="1" applyProtection="1">
      <alignment vertical="center"/>
      <protection locked="0"/>
    </xf>
    <xf numFmtId="0" fontId="3" fillId="0" borderId="54"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148" fillId="33" borderId="116" xfId="0" applyFont="1" applyFill="1" applyBorder="1" applyAlignment="1" applyProtection="1">
      <alignment horizontal="center" vertical="center"/>
      <protection locked="0"/>
    </xf>
    <xf numFmtId="0" fontId="9" fillId="0" borderId="116"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protection locked="0"/>
    </xf>
    <xf numFmtId="0" fontId="9" fillId="0" borderId="101" xfId="0" applyFont="1" applyBorder="1" applyAlignment="1" applyProtection="1">
      <alignment horizontal="center"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49" fillId="0" borderId="0" xfId="0" applyFont="1" applyFill="1" applyAlignment="1" applyProtection="1">
      <alignment vertical="center"/>
      <protection locked="0"/>
    </xf>
    <xf numFmtId="0" fontId="166" fillId="0" borderId="0" xfId="0" applyFont="1" applyFill="1" applyAlignment="1" applyProtection="1">
      <alignment vertical="center"/>
      <protection locked="0"/>
    </xf>
    <xf numFmtId="0" fontId="164" fillId="0" borderId="0" xfId="0" applyFont="1" applyFill="1" applyAlignment="1" applyProtection="1">
      <alignment vertical="center"/>
      <protection locked="0"/>
    </xf>
    <xf numFmtId="0" fontId="144"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9" xfId="50" applyFont="1" applyFill="1" applyBorder="1" applyAlignment="1" applyProtection="1">
      <alignment horizontal="center" vertical="center"/>
      <protection/>
    </xf>
    <xf numFmtId="176" fontId="13" fillId="0" borderId="13" xfId="0" applyNumberFormat="1" applyFont="1" applyFill="1" applyBorder="1" applyAlignment="1" applyProtection="1">
      <alignment vertical="center" wrapText="1"/>
      <protection locked="0"/>
    </xf>
    <xf numFmtId="38" fontId="13" fillId="0" borderId="13" xfId="50" applyFont="1" applyFill="1" applyBorder="1" applyAlignment="1" applyProtection="1">
      <alignment vertical="center"/>
      <protection/>
    </xf>
    <xf numFmtId="176" fontId="174" fillId="0" borderId="13" xfId="0" applyNumberFormat="1" applyFont="1" applyFill="1" applyBorder="1" applyAlignment="1" applyProtection="1">
      <alignment vertical="center" wrapText="1"/>
      <protection locked="0"/>
    </xf>
    <xf numFmtId="0" fontId="144" fillId="0" borderId="13" xfId="0" applyFont="1" applyFill="1" applyBorder="1" applyAlignment="1" applyProtection="1">
      <alignment vertical="center"/>
      <protection locked="0"/>
    </xf>
    <xf numFmtId="0" fontId="166" fillId="0" borderId="0" xfId="0" applyFont="1" applyFill="1" applyAlignment="1" applyProtection="1">
      <alignment horizontal="center" vertical="center"/>
      <protection/>
    </xf>
    <xf numFmtId="0" fontId="0" fillId="0" borderId="0" xfId="0" applyFill="1" applyBorder="1" applyAlignment="1">
      <alignment vertical="center"/>
    </xf>
    <xf numFmtId="0" fontId="127" fillId="0" borderId="0" xfId="0" applyFont="1" applyFill="1" applyAlignment="1" applyProtection="1">
      <alignment vertical="center"/>
      <protection/>
    </xf>
    <xf numFmtId="0" fontId="22" fillId="0" borderId="0" xfId="0" applyFont="1" applyFill="1" applyAlignment="1" applyProtection="1">
      <alignment vertical="center"/>
      <protection locked="0"/>
    </xf>
    <xf numFmtId="0" fontId="127" fillId="0" borderId="0" xfId="0" applyFont="1" applyFill="1" applyAlignment="1" applyProtection="1">
      <alignment vertical="center"/>
      <protection locked="0"/>
    </xf>
    <xf numFmtId="0" fontId="144" fillId="0" borderId="0" xfId="0" applyFont="1" applyFill="1" applyAlignment="1" applyProtection="1">
      <alignment vertical="center"/>
      <protection locked="0"/>
    </xf>
    <xf numFmtId="0" fontId="0" fillId="7" borderId="32" xfId="0" applyFont="1" applyFill="1" applyBorder="1" applyAlignment="1" applyProtection="1">
      <alignment horizontal="center" vertical="center"/>
      <protection locked="0"/>
    </xf>
    <xf numFmtId="0" fontId="0" fillId="7" borderId="29" xfId="0" applyFont="1" applyFill="1" applyBorder="1" applyAlignment="1" applyProtection="1">
      <alignment horizontal="center" vertical="center"/>
      <protection locked="0"/>
    </xf>
    <xf numFmtId="0" fontId="141" fillId="0" borderId="109" xfId="0" applyFont="1" applyBorder="1" applyAlignment="1" applyProtection="1">
      <alignment horizontal="center" vertical="center"/>
      <protection locked="0"/>
    </xf>
    <xf numFmtId="0" fontId="140"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0" fillId="37" borderId="0" xfId="0" applyFill="1" applyAlignment="1">
      <alignment vertical="center"/>
    </xf>
    <xf numFmtId="0" fontId="153" fillId="7" borderId="53" xfId="0" applyFont="1" applyFill="1" applyBorder="1" applyAlignment="1" applyProtection="1">
      <alignment horizontal="right" vertical="center" wrapText="1"/>
      <protection locked="0"/>
    </xf>
    <xf numFmtId="0" fontId="153" fillId="7" borderId="54" xfId="0" applyFont="1" applyFill="1" applyBorder="1" applyAlignment="1" applyProtection="1">
      <alignment horizontal="right" vertical="center" wrapText="1"/>
      <protection locked="0"/>
    </xf>
    <xf numFmtId="0" fontId="153" fillId="7" borderId="108" xfId="0" applyFont="1" applyFill="1" applyBorder="1" applyAlignment="1" applyProtection="1">
      <alignment horizontal="right" vertical="center" wrapText="1"/>
      <protection locked="0"/>
    </xf>
    <xf numFmtId="0" fontId="153" fillId="7" borderId="37" xfId="0" applyFont="1" applyFill="1" applyBorder="1" applyAlignment="1" applyProtection="1">
      <alignment horizontal="right" vertical="center" wrapText="1"/>
      <protection locked="0"/>
    </xf>
    <xf numFmtId="0" fontId="153" fillId="7" borderId="34" xfId="0" applyFont="1" applyFill="1" applyBorder="1" applyAlignment="1" applyProtection="1">
      <alignment horizontal="right" vertical="center" wrapText="1"/>
      <protection locked="0"/>
    </xf>
    <xf numFmtId="0" fontId="153" fillId="7" borderId="35" xfId="0" applyFont="1" applyFill="1" applyBorder="1" applyAlignment="1" applyProtection="1">
      <alignment horizontal="right" vertical="center" wrapText="1"/>
      <protection locked="0"/>
    </xf>
    <xf numFmtId="0" fontId="153" fillId="7" borderId="36" xfId="0" applyFont="1" applyFill="1" applyBorder="1" applyAlignment="1" applyProtection="1">
      <alignment horizontal="right" vertical="center" wrapText="1"/>
      <protection locked="0"/>
    </xf>
    <xf numFmtId="0" fontId="153" fillId="7" borderId="120" xfId="0" applyFont="1" applyFill="1" applyBorder="1" applyAlignment="1" applyProtection="1">
      <alignment horizontal="right" vertical="center" wrapText="1"/>
      <protection locked="0"/>
    </xf>
    <xf numFmtId="49" fontId="153" fillId="0" borderId="0" xfId="0" applyNumberFormat="1" applyFont="1" applyFill="1" applyAlignment="1" applyProtection="1">
      <alignment horizontal="right" vertical="center"/>
      <protection locked="0"/>
    </xf>
    <xf numFmtId="0" fontId="160" fillId="0" borderId="110" xfId="0" applyFont="1" applyBorder="1" applyAlignment="1" applyProtection="1">
      <alignment vertical="center"/>
      <protection locked="0"/>
    </xf>
    <xf numFmtId="0" fontId="149" fillId="0" borderId="101" xfId="0" applyFont="1" applyBorder="1" applyAlignment="1" applyProtection="1">
      <alignment vertical="center"/>
      <protection/>
    </xf>
    <xf numFmtId="0" fontId="149" fillId="0" borderId="35"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0" borderId="35" xfId="50" applyNumberFormat="1" applyFont="1" applyFill="1" applyBorder="1" applyAlignment="1" applyProtection="1">
      <alignment horizontal="right" vertical="center" wrapText="1"/>
      <protection/>
    </xf>
    <xf numFmtId="213" fontId="38" fillId="33" borderId="109" xfId="50" applyNumberFormat="1" applyFont="1" applyFill="1" applyBorder="1" applyAlignment="1" applyProtection="1">
      <alignment horizontal="right" vertical="center"/>
      <protection locked="0"/>
    </xf>
    <xf numFmtId="213" fontId="38" fillId="33" borderId="35" xfId="50" applyNumberFormat="1" applyFont="1" applyFill="1" applyBorder="1" applyAlignment="1" applyProtection="1">
      <alignment horizontal="right" vertical="center"/>
      <protection/>
    </xf>
    <xf numFmtId="213" fontId="38" fillId="33" borderId="109" xfId="50" applyNumberFormat="1" applyFont="1" applyFill="1" applyBorder="1" applyAlignment="1" applyProtection="1">
      <alignment horizontal="center" vertical="center"/>
      <protection locked="0"/>
    </xf>
    <xf numFmtId="213" fontId="38" fillId="33" borderId="35" xfId="50" applyNumberFormat="1" applyFont="1" applyFill="1" applyBorder="1" applyAlignment="1" applyProtection="1">
      <alignment vertical="center"/>
      <protection/>
    </xf>
    <xf numFmtId="0" fontId="160" fillId="0" borderId="18" xfId="0" applyFont="1" applyFill="1" applyBorder="1" applyAlignment="1" applyProtection="1">
      <alignment vertical="center"/>
      <protection locked="0"/>
    </xf>
    <xf numFmtId="213" fontId="38" fillId="0" borderId="18" xfId="50" applyNumberFormat="1" applyFont="1" applyFill="1" applyBorder="1" applyAlignment="1" applyProtection="1">
      <alignment vertical="center" wrapText="1"/>
      <protection/>
    </xf>
    <xf numFmtId="0" fontId="149" fillId="0" borderId="35" xfId="0" applyFont="1" applyBorder="1" applyAlignment="1" applyProtection="1">
      <alignment vertical="center"/>
      <protection locked="0"/>
    </xf>
    <xf numFmtId="0" fontId="140" fillId="0" borderId="0" xfId="0" applyFont="1" applyFill="1" applyAlignment="1" applyProtection="1">
      <alignment/>
      <protection locked="0"/>
    </xf>
    <xf numFmtId="0" fontId="162"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1" fillId="0" borderId="50" xfId="50" applyFont="1" applyFill="1" applyBorder="1" applyAlignment="1" applyProtection="1">
      <alignment horizontal="right" vertical="center"/>
      <protection/>
    </xf>
    <xf numFmtId="38" fontId="141" fillId="0" borderId="18" xfId="50" applyFont="1" applyFill="1" applyBorder="1" applyAlignment="1" applyProtection="1">
      <alignment horizontal="right" vertical="center"/>
      <protection/>
    </xf>
    <xf numFmtId="38" fontId="141" fillId="0" borderId="13" xfId="50" applyFont="1" applyFill="1" applyBorder="1" applyAlignment="1" applyProtection="1">
      <alignment horizontal="right" vertical="center"/>
      <protection/>
    </xf>
    <xf numFmtId="0" fontId="156" fillId="0" borderId="0" xfId="0" applyFont="1" applyAlignment="1" applyProtection="1">
      <alignment vertical="center"/>
      <protection locked="0"/>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2" xfId="0" applyBorder="1" applyAlignment="1">
      <alignment vertical="center"/>
    </xf>
    <xf numFmtId="0" fontId="0" fillId="0" borderId="13" xfId="0" applyBorder="1" applyAlignment="1">
      <alignment horizontal="center" vertical="center"/>
    </xf>
    <xf numFmtId="0" fontId="113" fillId="0" borderId="13" xfId="44" applyBorder="1" applyAlignment="1" applyProtection="1">
      <alignment vertical="center"/>
      <protection/>
    </xf>
    <xf numFmtId="176" fontId="145" fillId="0" borderId="99" xfId="0" applyNumberFormat="1" applyFont="1" applyBorder="1" applyAlignment="1" applyProtection="1">
      <alignment vertical="center" shrinkToFit="1"/>
      <protection/>
    </xf>
    <xf numFmtId="178" fontId="145" fillId="33" borderId="105" xfId="0" applyNumberFormat="1" applyFont="1" applyFill="1" applyBorder="1" applyAlignment="1" applyProtection="1">
      <alignment vertical="center" shrinkToFit="1"/>
      <protection/>
    </xf>
    <xf numFmtId="176" fontId="145" fillId="0" borderId="51" xfId="0" applyNumberFormat="1" applyFont="1" applyBorder="1" applyAlignment="1" applyProtection="1">
      <alignment vertical="center" shrinkToFit="1"/>
      <protection/>
    </xf>
    <xf numFmtId="176" fontId="145" fillId="7" borderId="51" xfId="0" applyNumberFormat="1" applyFont="1" applyFill="1" applyBorder="1" applyAlignment="1" applyProtection="1">
      <alignment vertical="center" shrinkToFit="1"/>
      <protection locked="0"/>
    </xf>
    <xf numFmtId="176" fontId="145" fillId="0" borderId="14" xfId="0" applyNumberFormat="1" applyFont="1" applyBorder="1" applyAlignment="1" applyProtection="1">
      <alignment vertical="center" shrinkToFit="1"/>
      <protection/>
    </xf>
    <xf numFmtId="176" fontId="145" fillId="7" borderId="13" xfId="0" applyNumberFormat="1" applyFont="1" applyFill="1" applyBorder="1" applyAlignment="1" applyProtection="1">
      <alignment vertical="center" shrinkToFit="1"/>
      <protection locked="0"/>
    </xf>
    <xf numFmtId="176" fontId="145" fillId="7" borderId="48" xfId="0" applyNumberFormat="1" applyFont="1" applyFill="1" applyBorder="1" applyAlignment="1" applyProtection="1">
      <alignment vertical="center" shrinkToFit="1"/>
      <protection locked="0"/>
    </xf>
    <xf numFmtId="178" fontId="145" fillId="33" borderId="99"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99" xfId="0" applyNumberFormat="1" applyFont="1" applyBorder="1" applyAlignment="1" applyProtection="1">
      <alignment vertical="center" shrinkToFit="1"/>
      <protection/>
    </xf>
    <xf numFmtId="176" fontId="8" fillId="7" borderId="99" xfId="0" applyNumberFormat="1" applyFont="1" applyFill="1" applyBorder="1" applyAlignment="1" applyProtection="1">
      <alignment vertical="center" shrinkToFit="1"/>
      <protection locked="0"/>
    </xf>
    <xf numFmtId="176" fontId="8" fillId="0" borderId="48" xfId="0" applyNumberFormat="1" applyFont="1" applyBorder="1" applyAlignment="1" applyProtection="1">
      <alignment vertical="center" shrinkToFit="1"/>
      <protection/>
    </xf>
    <xf numFmtId="176" fontId="145" fillId="0" borderId="123" xfId="0" applyNumberFormat="1" applyFont="1" applyBorder="1" applyAlignment="1" applyProtection="1">
      <alignment vertical="center" shrinkToFit="1"/>
      <protection/>
    </xf>
    <xf numFmtId="176" fontId="145" fillId="0" borderId="105" xfId="0" applyNumberFormat="1" applyFont="1" applyBorder="1" applyAlignment="1" applyProtection="1">
      <alignment vertical="center" shrinkToFit="1"/>
      <protection/>
    </xf>
    <xf numFmtId="176" fontId="8" fillId="0" borderId="51" xfId="0" applyNumberFormat="1" applyFont="1" applyBorder="1" applyAlignment="1" applyProtection="1">
      <alignment vertical="center" shrinkToFit="1"/>
      <protection/>
    </xf>
    <xf numFmtId="176" fontId="8" fillId="7" borderId="51"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107" xfId="0" applyNumberFormat="1" applyFont="1" applyBorder="1" applyAlignment="1" applyProtection="1">
      <alignment vertical="center" shrinkToFit="1"/>
      <protection/>
    </xf>
    <xf numFmtId="178" fontId="145" fillId="33" borderId="123" xfId="0" applyNumberFormat="1" applyFont="1" applyFill="1" applyBorder="1" applyAlignment="1" applyProtection="1">
      <alignment vertical="center" shrinkToFit="1"/>
      <protection/>
    </xf>
    <xf numFmtId="178" fontId="145" fillId="33" borderId="103" xfId="0" applyNumberFormat="1" applyFont="1" applyFill="1" applyBorder="1" applyAlignment="1" applyProtection="1">
      <alignment vertical="center" shrinkToFit="1"/>
      <protection/>
    </xf>
    <xf numFmtId="178" fontId="145" fillId="33" borderId="22" xfId="0" applyNumberFormat="1" applyFont="1" applyFill="1" applyBorder="1" applyAlignment="1" applyProtection="1">
      <alignment vertical="center" shrinkToFit="1"/>
      <protection/>
    </xf>
    <xf numFmtId="178" fontId="145" fillId="33" borderId="124"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48"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48" xfId="0" applyNumberFormat="1" applyFont="1" applyFill="1" applyBorder="1" applyAlignment="1" applyProtection="1">
      <alignment horizontal="center" vertical="center" shrinkToFit="1"/>
      <protection locked="0"/>
    </xf>
    <xf numFmtId="177" fontId="8" fillId="7" borderId="99" xfId="0" applyNumberFormat="1" applyFont="1" applyFill="1" applyBorder="1" applyAlignment="1" applyProtection="1">
      <alignment horizontal="center" vertical="center" shrinkToFit="1"/>
      <protection locked="0"/>
    </xf>
    <xf numFmtId="177" fontId="145" fillId="7" borderId="51" xfId="0" applyNumberFormat="1" applyFont="1" applyFill="1" applyBorder="1" applyAlignment="1" applyProtection="1">
      <alignment horizontal="center" vertical="center" shrinkToFit="1"/>
      <protection locked="0"/>
    </xf>
    <xf numFmtId="177" fontId="145" fillId="7" borderId="14" xfId="0" applyNumberFormat="1" applyFont="1" applyFill="1" applyBorder="1" applyAlignment="1" applyProtection="1">
      <alignment horizontal="center" vertical="center" shrinkToFit="1"/>
      <protection locked="0"/>
    </xf>
    <xf numFmtId="177" fontId="145" fillId="7" borderId="99" xfId="0" applyNumberFormat="1" applyFont="1" applyFill="1" applyBorder="1" applyAlignment="1" applyProtection="1">
      <alignment horizontal="center" vertical="center" shrinkToFit="1"/>
      <protection locked="0"/>
    </xf>
    <xf numFmtId="177" fontId="8" fillId="7" borderId="51"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48"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48" xfId="0" applyNumberFormat="1" applyFont="1" applyFill="1" applyBorder="1" applyAlignment="1" applyProtection="1">
      <alignment vertical="center" shrinkToFit="1"/>
      <protection locked="0"/>
    </xf>
    <xf numFmtId="195" fontId="8" fillId="7" borderId="99" xfId="0" applyNumberFormat="1" applyFont="1" applyFill="1" applyBorder="1" applyAlignment="1" applyProtection="1">
      <alignment vertical="center" shrinkToFit="1"/>
      <protection locked="0"/>
    </xf>
    <xf numFmtId="195" fontId="8" fillId="7" borderId="51"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48"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14" fillId="0" borderId="34"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0" fillId="33" borderId="0" xfId="0" applyFont="1" applyFill="1" applyAlignment="1" applyProtection="1">
      <alignment horizontal="left" wrapText="1"/>
      <protection locked="0"/>
    </xf>
    <xf numFmtId="176" fontId="16" fillId="0" borderId="125" xfId="0" applyNumberFormat="1" applyFont="1" applyFill="1" applyBorder="1" applyAlignment="1" applyProtection="1">
      <alignment horizontal="right" vertical="center" wrapText="1"/>
      <protection/>
    </xf>
    <xf numFmtId="176" fontId="16" fillId="0" borderId="126" xfId="0" applyNumberFormat="1" applyFont="1" applyFill="1" applyBorder="1" applyAlignment="1" applyProtection="1">
      <alignment horizontal="right" vertical="center" wrapText="1"/>
      <protection/>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38" fontId="141" fillId="0" borderId="51" xfId="50" applyFont="1" applyFill="1" applyBorder="1" applyAlignment="1" applyProtection="1">
      <alignment horizontal="right" vertical="center"/>
      <protection/>
    </xf>
    <xf numFmtId="38" fontId="141" fillId="0" borderId="32" xfId="50" applyFont="1" applyFill="1" applyBorder="1" applyAlignment="1" applyProtection="1">
      <alignment horizontal="right" vertical="center"/>
      <protection/>
    </xf>
    <xf numFmtId="38" fontId="141" fillId="0" borderId="14" xfId="50" applyFont="1" applyFill="1" applyBorder="1" applyAlignment="1" applyProtection="1">
      <alignment horizontal="right" vertical="center"/>
      <protection/>
    </xf>
    <xf numFmtId="38" fontId="141" fillId="0" borderId="104" xfId="50" applyFont="1" applyFill="1" applyBorder="1" applyAlignment="1" applyProtection="1">
      <alignment horizontal="right" vertical="center"/>
      <protection/>
    </xf>
    <xf numFmtId="38" fontId="141" fillId="0" borderId="19" xfId="50" applyFont="1" applyFill="1" applyBorder="1" applyAlignment="1" applyProtection="1">
      <alignment horizontal="center" vertical="center"/>
      <protection/>
    </xf>
    <xf numFmtId="38" fontId="141" fillId="0" borderId="13" xfId="50" applyFont="1" applyFill="1" applyBorder="1" applyAlignment="1" applyProtection="1">
      <alignment horizontal="center" vertical="center"/>
      <protection/>
    </xf>
    <xf numFmtId="38" fontId="141" fillId="0" borderId="29" xfId="50" applyFont="1" applyFill="1" applyBorder="1" applyAlignment="1" applyProtection="1">
      <alignment horizontal="right" vertical="center"/>
      <protection/>
    </xf>
    <xf numFmtId="38" fontId="141" fillId="0" borderId="13" xfId="50" applyFont="1" applyFill="1" applyBorder="1" applyAlignment="1" applyProtection="1">
      <alignment horizontal="center" vertical="center"/>
      <protection locked="0"/>
    </xf>
    <xf numFmtId="38" fontId="141" fillId="0" borderId="15" xfId="50" applyFont="1" applyFill="1" applyBorder="1" applyAlignment="1" applyProtection="1">
      <alignment horizontal="center" vertical="center"/>
      <protection locked="0"/>
    </xf>
    <xf numFmtId="38" fontId="141" fillId="0" borderId="15" xfId="50" applyFont="1" applyFill="1" applyBorder="1" applyAlignment="1" applyProtection="1">
      <alignment horizontal="center" vertical="center"/>
      <protection/>
    </xf>
    <xf numFmtId="38" fontId="141" fillId="0" borderId="19" xfId="50" applyFont="1" applyFill="1" applyBorder="1" applyAlignment="1" applyProtection="1">
      <alignment horizontal="right" vertical="center"/>
      <protection/>
    </xf>
    <xf numFmtId="38" fontId="141" fillId="0" borderId="15" xfId="50" applyFont="1" applyFill="1" applyBorder="1" applyAlignment="1" applyProtection="1">
      <alignment horizontal="right" vertical="center"/>
      <protection/>
    </xf>
    <xf numFmtId="38" fontId="141" fillId="0" borderId="19" xfId="50" applyFont="1" applyFill="1" applyBorder="1" applyAlignment="1" applyProtection="1">
      <alignment horizontal="center" vertical="center"/>
      <protection locked="0"/>
    </xf>
    <xf numFmtId="38" fontId="141" fillId="0" borderId="18" xfId="50" applyFont="1" applyFill="1" applyBorder="1" applyAlignment="1" applyProtection="1">
      <alignment horizontal="center" vertical="center"/>
      <protection locked="0"/>
    </xf>
    <xf numFmtId="38" fontId="141" fillId="0" borderId="14" xfId="50" applyFont="1" applyFill="1" applyBorder="1" applyAlignment="1" applyProtection="1">
      <alignment horizontal="center" vertical="center"/>
      <protection locked="0"/>
    </xf>
    <xf numFmtId="38" fontId="141" fillId="0" borderId="12" xfId="50" applyFont="1" applyFill="1" applyBorder="1" applyAlignment="1" applyProtection="1">
      <alignment horizontal="right" vertical="center"/>
      <protection/>
    </xf>
    <xf numFmtId="38" fontId="141" fillId="0" borderId="129" xfId="50" applyFont="1" applyFill="1" applyBorder="1" applyAlignment="1" applyProtection="1">
      <alignment horizontal="right" vertical="center"/>
      <protection/>
    </xf>
    <xf numFmtId="58" fontId="162" fillId="0" borderId="0" xfId="0" applyNumberFormat="1" applyFont="1" applyBorder="1" applyAlignment="1" applyProtection="1">
      <alignment horizontal="left" vertical="center"/>
      <protection/>
    </xf>
    <xf numFmtId="200" fontId="140"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54" fillId="0" borderId="10" xfId="0" applyNumberFormat="1" applyFont="1" applyBorder="1" applyAlignment="1" applyProtection="1">
      <alignment horizontal="center" vertical="center"/>
      <protection locked="0"/>
    </xf>
    <xf numFmtId="0" fontId="154" fillId="0" borderId="10" xfId="0" applyFont="1" applyBorder="1" applyAlignment="1" applyProtection="1">
      <alignment horizontal="center" vertical="center"/>
      <protection locked="0"/>
    </xf>
    <xf numFmtId="0" fontId="154" fillId="0" borderId="100" xfId="0" applyFont="1" applyBorder="1" applyAlignment="1" applyProtection="1">
      <alignment horizontal="center" vertical="center"/>
      <protection locked="0"/>
    </xf>
    <xf numFmtId="0" fontId="162" fillId="0" borderId="0" xfId="0" applyFont="1" applyAlignment="1" applyProtection="1">
      <alignment vertical="center"/>
      <protection locked="0"/>
    </xf>
    <xf numFmtId="0" fontId="140" fillId="0" borderId="0" xfId="0" applyFont="1" applyAlignment="1" applyProtection="1">
      <alignment vertical="center"/>
      <protection locked="0"/>
    </xf>
    <xf numFmtId="0" fontId="187" fillId="0" borderId="0" xfId="0" applyFont="1" applyAlignment="1" applyProtection="1">
      <alignment vertical="top"/>
      <protection locked="0"/>
    </xf>
    <xf numFmtId="0" fontId="178" fillId="0" borderId="0" xfId="0" applyFont="1" applyAlignment="1" applyProtection="1">
      <alignment horizontal="center" vertical="center"/>
      <protection locked="0"/>
    </xf>
    <xf numFmtId="0" fontId="178" fillId="0" borderId="0" xfId="0" applyFont="1" applyAlignment="1">
      <alignment horizontal="center" vertical="center"/>
    </xf>
    <xf numFmtId="0" fontId="140" fillId="0" borderId="0" xfId="0" applyFont="1" applyBorder="1" applyAlignment="1" applyProtection="1">
      <alignment vertical="center"/>
      <protection locked="0"/>
    </xf>
    <xf numFmtId="0" fontId="140" fillId="33" borderId="0" xfId="0" applyFont="1" applyFill="1" applyBorder="1" applyAlignment="1" applyProtection="1">
      <alignment vertical="center"/>
      <protection locked="0"/>
    </xf>
    <xf numFmtId="0" fontId="162" fillId="0" borderId="0" xfId="0" applyFont="1" applyAlignment="1" applyProtection="1">
      <alignment horizontal="left" vertical="center"/>
      <protection locked="0"/>
    </xf>
    <xf numFmtId="0" fontId="163" fillId="0" borderId="0" xfId="0" applyFont="1" applyAlignment="1" applyProtection="1">
      <alignment horizontal="right" vertical="center"/>
      <protection locked="0"/>
    </xf>
    <xf numFmtId="0" fontId="188" fillId="33" borderId="0" xfId="0" applyFont="1" applyFill="1" applyBorder="1" applyAlignment="1" applyProtection="1">
      <alignment horizontal="center" vertical="center"/>
      <protection locked="0"/>
    </xf>
    <xf numFmtId="0" fontId="154" fillId="0" borderId="124" xfId="0" applyFont="1" applyBorder="1" applyAlignment="1" applyProtection="1">
      <alignment horizontal="center" vertical="center"/>
      <protection locked="0"/>
    </xf>
    <xf numFmtId="38" fontId="141" fillId="7" borderId="51" xfId="50" applyFont="1" applyFill="1" applyBorder="1" applyAlignment="1" applyProtection="1">
      <alignment horizontal="right" vertical="center"/>
      <protection locked="0"/>
    </xf>
    <xf numFmtId="38" fontId="141" fillId="0" borderId="32" xfId="50" applyFont="1" applyBorder="1" applyAlignment="1" applyProtection="1">
      <alignment horizontal="right" vertical="center"/>
      <protection/>
    </xf>
    <xf numFmtId="38" fontId="141" fillId="7" borderId="15" xfId="50" applyFont="1" applyFill="1" applyBorder="1" applyAlignment="1" applyProtection="1">
      <alignment horizontal="right" vertical="center"/>
      <protection locked="0"/>
    </xf>
    <xf numFmtId="38" fontId="141" fillId="7" borderId="14" xfId="50" applyFont="1" applyFill="1" applyBorder="1" applyAlignment="1" applyProtection="1">
      <alignment horizontal="right" vertical="center"/>
      <protection locked="0"/>
    </xf>
    <xf numFmtId="38" fontId="141" fillId="0" borderId="104" xfId="50" applyFont="1" applyBorder="1" applyAlignment="1" applyProtection="1">
      <alignment horizontal="right" vertical="center"/>
      <protection/>
    </xf>
    <xf numFmtId="38" fontId="141" fillId="7" borderId="107" xfId="50" applyFont="1" applyFill="1" applyBorder="1" applyAlignment="1" applyProtection="1">
      <alignment horizontal="right" vertical="center"/>
      <protection locked="0"/>
    </xf>
    <xf numFmtId="38" fontId="141" fillId="7" borderId="99" xfId="50" applyFont="1" applyFill="1" applyBorder="1" applyAlignment="1" applyProtection="1">
      <alignment horizontal="right" vertical="center"/>
      <protection locked="0"/>
    </xf>
    <xf numFmtId="38" fontId="141" fillId="0" borderId="129" xfId="50" applyFont="1" applyBorder="1" applyAlignment="1" applyProtection="1">
      <alignment horizontal="right" vertical="center"/>
      <protection/>
    </xf>
    <xf numFmtId="38" fontId="141" fillId="0" borderId="51" xfId="50" applyFont="1" applyBorder="1" applyAlignment="1" applyProtection="1">
      <alignment horizontal="right" vertical="center"/>
      <protection/>
    </xf>
    <xf numFmtId="38" fontId="141" fillId="0" borderId="52" xfId="50" applyFont="1" applyBorder="1" applyAlignment="1" applyProtection="1">
      <alignment horizontal="right" vertical="center"/>
      <protection/>
    </xf>
    <xf numFmtId="38" fontId="141" fillId="33" borderId="32" xfId="50" applyFont="1" applyFill="1" applyBorder="1" applyAlignment="1" applyProtection="1">
      <alignment horizontal="right" vertical="center"/>
      <protection/>
    </xf>
    <xf numFmtId="38" fontId="141" fillId="0" borderId="29" xfId="50" applyFont="1" applyBorder="1" applyAlignment="1" applyProtection="1">
      <alignment horizontal="right" vertical="center"/>
      <protection locked="0"/>
    </xf>
    <xf numFmtId="38" fontId="141" fillId="0" borderId="48" xfId="50" applyFont="1" applyFill="1" applyBorder="1" applyAlignment="1" applyProtection="1">
      <alignment horizontal="right" vertical="center"/>
      <protection locked="0"/>
    </xf>
    <xf numFmtId="38" fontId="141" fillId="0" borderId="105" xfId="50" applyFont="1" applyBorder="1" applyAlignment="1" applyProtection="1">
      <alignment horizontal="right" vertical="center"/>
      <protection locked="0"/>
    </xf>
    <xf numFmtId="0" fontId="130" fillId="0" borderId="0" xfId="0" applyFont="1" applyBorder="1" applyAlignment="1" applyProtection="1">
      <alignment horizontal="center" vertical="center"/>
      <protection locked="0"/>
    </xf>
    <xf numFmtId="0" fontId="130" fillId="0" borderId="0" xfId="0" applyFont="1" applyBorder="1" applyAlignment="1" applyProtection="1">
      <alignment horizontal="left" vertical="center"/>
      <protection locked="0"/>
    </xf>
    <xf numFmtId="0" fontId="154" fillId="0" borderId="10" xfId="0" applyFont="1" applyFill="1" applyBorder="1" applyAlignment="1" applyProtection="1">
      <alignment horizontal="center" vertical="center"/>
      <protection locked="0"/>
    </xf>
    <xf numFmtId="0" fontId="154" fillId="0" borderId="100" xfId="0" applyFont="1" applyFill="1" applyBorder="1" applyAlignment="1" applyProtection="1">
      <alignment horizontal="center" vertical="center"/>
      <protection locked="0"/>
    </xf>
    <xf numFmtId="0" fontId="154" fillId="0" borderId="130" xfId="0" applyFont="1" applyBorder="1" applyAlignment="1" applyProtection="1">
      <alignment horizontal="center" vertical="center"/>
      <protection locked="0"/>
    </xf>
    <xf numFmtId="196" fontId="127" fillId="7" borderId="23" xfId="0" applyNumberFormat="1" applyFont="1" applyFill="1" applyBorder="1" applyAlignment="1" applyProtection="1">
      <alignment horizontal="center" vertical="center"/>
      <protection locked="0"/>
    </xf>
    <xf numFmtId="196" fontId="127" fillId="7" borderId="98" xfId="0" applyNumberFormat="1" applyFont="1" applyFill="1" applyBorder="1" applyAlignment="1" applyProtection="1">
      <alignment horizontal="center" vertical="center"/>
      <protection locked="0"/>
    </xf>
    <xf numFmtId="0" fontId="160" fillId="0" borderId="17" xfId="0" applyFont="1" applyFill="1" applyBorder="1" applyAlignment="1" applyProtection="1">
      <alignment horizontal="center" vertical="center"/>
      <protection locked="0"/>
    </xf>
    <xf numFmtId="38" fontId="141" fillId="0" borderId="123" xfId="50" applyFont="1" applyFill="1" applyBorder="1" applyAlignment="1" applyProtection="1">
      <alignment horizontal="right" vertical="center"/>
      <protection/>
    </xf>
    <xf numFmtId="38" fontId="141" fillId="0" borderId="131" xfId="50" applyFont="1" applyFill="1" applyBorder="1" applyAlignment="1" applyProtection="1">
      <alignment horizontal="right" vertical="center"/>
      <protection/>
    </xf>
    <xf numFmtId="38" fontId="141" fillId="0" borderId="132" xfId="50" applyFont="1" applyFill="1" applyBorder="1" applyAlignment="1" applyProtection="1">
      <alignment horizontal="right" vertical="center"/>
      <protection/>
    </xf>
    <xf numFmtId="38" fontId="141" fillId="0" borderId="124" xfId="50" applyFont="1" applyFill="1" applyBorder="1" applyAlignment="1" applyProtection="1">
      <alignment horizontal="right" vertical="center"/>
      <protection/>
    </xf>
    <xf numFmtId="38" fontId="183" fillId="0" borderId="133"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89"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49" fillId="33" borderId="133" xfId="50" applyFont="1" applyFill="1" applyBorder="1" applyAlignment="1" applyProtection="1">
      <alignment horizontal="center" vertical="center"/>
      <protection/>
    </xf>
    <xf numFmtId="38" fontId="149" fillId="33" borderId="0" xfId="50" applyFont="1" applyFill="1" applyBorder="1" applyAlignment="1" applyProtection="1">
      <alignment horizontal="center" vertical="center"/>
      <protection locked="0"/>
    </xf>
    <xf numFmtId="0" fontId="127" fillId="33" borderId="0" xfId="0" applyFont="1" applyFill="1" applyAlignment="1" applyProtection="1">
      <alignment vertical="center"/>
      <protection locked="0"/>
    </xf>
    <xf numFmtId="0" fontId="127" fillId="33" borderId="0" xfId="0" applyFont="1" applyFill="1" applyAlignment="1" applyProtection="1">
      <alignment horizontal="center" vertical="center"/>
      <protection locked="0"/>
    </xf>
    <xf numFmtId="201" fontId="149" fillId="33" borderId="0" xfId="50" applyNumberFormat="1" applyFont="1" applyFill="1" applyBorder="1" applyAlignment="1" applyProtection="1">
      <alignment horizontal="center" vertical="center"/>
      <protection/>
    </xf>
    <xf numFmtId="0" fontId="180" fillId="33" borderId="0" xfId="0" applyFont="1" applyFill="1" applyAlignment="1" applyProtection="1">
      <alignment horizontal="left"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62" fillId="0" borderId="34" xfId="0" applyFont="1" applyFill="1" applyBorder="1" applyAlignment="1" applyProtection="1">
      <alignment vertical="center"/>
      <protection/>
    </xf>
    <xf numFmtId="0" fontId="162" fillId="0" borderId="34" xfId="0" applyFont="1" applyFill="1" applyBorder="1" applyAlignment="1" applyProtection="1">
      <alignment/>
      <protection locked="0"/>
    </xf>
    <xf numFmtId="0" fontId="162" fillId="0" borderId="34" xfId="0" applyFont="1" applyFill="1" applyBorder="1" applyAlignment="1" applyProtection="1">
      <alignment vertical="center"/>
      <protection locked="0"/>
    </xf>
    <xf numFmtId="0" fontId="162" fillId="0" borderId="34" xfId="0" applyFont="1" applyFill="1" applyBorder="1" applyAlignment="1" applyProtection="1">
      <alignment horizontal="left" vertical="center"/>
      <protection locked="0"/>
    </xf>
    <xf numFmtId="200" fontId="162" fillId="0" borderId="34"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74" fillId="0" borderId="0" xfId="0" applyFont="1" applyFill="1" applyAlignment="1" applyProtection="1">
      <alignment horizontal="right" vertical="center"/>
      <protection/>
    </xf>
    <xf numFmtId="0" fontId="141" fillId="0" borderId="0" xfId="0" applyFont="1" applyFill="1" applyBorder="1" applyAlignment="1" applyProtection="1">
      <alignment horizontal="center" vertical="center"/>
      <protection locked="0"/>
    </xf>
    <xf numFmtId="0" fontId="149" fillId="0" borderId="0" xfId="0" applyFont="1" applyFill="1" applyBorder="1" applyAlignment="1" applyProtection="1">
      <alignment vertical="center"/>
      <protection locked="0"/>
    </xf>
    <xf numFmtId="0" fontId="141" fillId="0" borderId="0" xfId="0" applyFont="1" applyFill="1" applyBorder="1" applyAlignment="1" applyProtection="1">
      <alignment vertical="center"/>
      <protection locked="0"/>
    </xf>
    <xf numFmtId="176" fontId="13" fillId="7" borderId="13" xfId="0" applyNumberFormat="1" applyFont="1" applyFill="1" applyBorder="1" applyAlignment="1" applyProtection="1">
      <alignment horizontal="right" vertical="center" wrapText="1"/>
      <protection/>
    </xf>
    <xf numFmtId="0" fontId="113" fillId="0" borderId="13" xfId="44" applyFill="1" applyBorder="1" applyAlignment="1" applyProtection="1">
      <alignment vertical="center"/>
      <protection/>
    </xf>
    <xf numFmtId="14" fontId="155" fillId="0" borderId="0" xfId="0" applyNumberFormat="1" applyFont="1" applyFill="1" applyAlignment="1" applyProtection="1">
      <alignment vertical="center"/>
      <protection locked="0"/>
    </xf>
    <xf numFmtId="196" fontId="155" fillId="0" borderId="96" xfId="0" applyNumberFormat="1" applyFont="1" applyFill="1" applyBorder="1" applyAlignment="1" applyProtection="1">
      <alignment horizontal="center" vertical="center"/>
      <protection locked="0"/>
    </xf>
    <xf numFmtId="196" fontId="155" fillId="0" borderId="134"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55" fillId="0" borderId="0" xfId="0" applyFont="1" applyFill="1" applyBorder="1" applyAlignment="1" applyProtection="1">
      <alignment vertical="center" shrinkToFit="1"/>
      <protection locked="0"/>
    </xf>
    <xf numFmtId="0" fontId="190" fillId="7" borderId="0" xfId="0" applyFont="1" applyFill="1" applyAlignment="1" applyProtection="1">
      <alignment horizontal="left" vertical="center"/>
      <protection locked="0"/>
    </xf>
    <xf numFmtId="0" fontId="113" fillId="0" borderId="0" xfId="44" applyAlignment="1" applyProtection="1">
      <alignment vertical="center"/>
      <protection locked="0"/>
    </xf>
    <xf numFmtId="178" fontId="145" fillId="34" borderId="98" xfId="0" applyNumberFormat="1" applyFont="1" applyFill="1" applyBorder="1" applyAlignment="1" applyProtection="1">
      <alignment horizontal="right" vertical="center" wrapText="1"/>
      <protection/>
    </xf>
    <xf numFmtId="176" fontId="13" fillId="34" borderId="119" xfId="0" applyNumberFormat="1" applyFont="1" applyFill="1" applyBorder="1" applyAlignment="1" applyProtection="1">
      <alignment horizontal="right" vertical="center" wrapText="1"/>
      <protection/>
    </xf>
    <xf numFmtId="176" fontId="13" fillId="34" borderId="56" xfId="0" applyNumberFormat="1" applyFont="1" applyFill="1" applyBorder="1" applyAlignment="1" applyProtection="1">
      <alignment horizontal="right" vertical="center" wrapText="1"/>
      <protection/>
    </xf>
    <xf numFmtId="38" fontId="191" fillId="0" borderId="133" xfId="50" applyFont="1" applyFill="1" applyBorder="1" applyAlignment="1">
      <alignment vertical="center"/>
    </xf>
    <xf numFmtId="38" fontId="191" fillId="0" borderId="133" xfId="50" applyFont="1" applyFill="1" applyBorder="1" applyAlignment="1" applyProtection="1">
      <alignment vertical="center"/>
      <protection locked="0"/>
    </xf>
    <xf numFmtId="38" fontId="141" fillId="40" borderId="13" xfId="50" applyFont="1" applyFill="1" applyBorder="1" applyAlignment="1" applyProtection="1">
      <alignment horizontal="right" vertical="center"/>
      <protection/>
    </xf>
    <xf numFmtId="38" fontId="141" fillId="37" borderId="13" xfId="50" applyFont="1" applyFill="1" applyBorder="1" applyAlignment="1" applyProtection="1">
      <alignment horizontal="right" vertical="center"/>
      <protection/>
    </xf>
    <xf numFmtId="38" fontId="144" fillId="0" borderId="13" xfId="50" applyNumberFormat="1" applyFont="1" applyBorder="1" applyAlignment="1" applyProtection="1">
      <alignment horizontal="center" vertical="center"/>
      <protection/>
    </xf>
    <xf numFmtId="0" fontId="0" fillId="41" borderId="13" xfId="0" applyFill="1" applyBorder="1" applyAlignment="1">
      <alignment horizontal="center" vertical="center"/>
    </xf>
    <xf numFmtId="0" fontId="113" fillId="41" borderId="13" xfId="44" applyFill="1" applyBorder="1" applyAlignment="1" applyProtection="1">
      <alignment vertical="center"/>
      <protection/>
    </xf>
    <xf numFmtId="0" fontId="160" fillId="0" borderId="0" xfId="0" applyFont="1" applyBorder="1" applyAlignment="1" applyProtection="1">
      <alignment vertical="center"/>
      <protection locked="0"/>
    </xf>
    <xf numFmtId="176" fontId="145" fillId="33" borderId="0" xfId="0" applyNumberFormat="1" applyFont="1" applyFill="1" applyBorder="1" applyAlignment="1" applyProtection="1">
      <alignment horizontal="right" vertical="center" wrapText="1"/>
      <protection locked="0"/>
    </xf>
    <xf numFmtId="0" fontId="129" fillId="33" borderId="102" xfId="0" applyFont="1" applyFill="1" applyBorder="1" applyAlignment="1" applyProtection="1">
      <alignment horizontal="center" vertical="center" wrapText="1"/>
      <protection locked="0"/>
    </xf>
    <xf numFmtId="0" fontId="129" fillId="33" borderId="33" xfId="0" applyFont="1" applyFill="1" applyBorder="1" applyAlignment="1" applyProtection="1">
      <alignment horizontal="center" vertical="center" wrapText="1"/>
      <protection locked="0"/>
    </xf>
    <xf numFmtId="0" fontId="129" fillId="33" borderId="38" xfId="0" applyFont="1" applyFill="1" applyBorder="1" applyAlignment="1" applyProtection="1">
      <alignment horizontal="center" vertical="center" wrapText="1"/>
      <protection locked="0"/>
    </xf>
    <xf numFmtId="176" fontId="174" fillId="7" borderId="112" xfId="0" applyNumberFormat="1" applyFont="1" applyFill="1" applyBorder="1" applyAlignment="1" applyProtection="1">
      <alignment horizontal="right" vertical="center" wrapText="1"/>
      <protection locked="0"/>
    </xf>
    <xf numFmtId="176" fontId="174" fillId="7" borderId="113" xfId="0" applyNumberFormat="1" applyFont="1" applyFill="1" applyBorder="1" applyAlignment="1" applyProtection="1">
      <alignment horizontal="right" vertical="center" wrapText="1"/>
      <protection locked="0"/>
    </xf>
    <xf numFmtId="176" fontId="174" fillId="7" borderId="114" xfId="0" applyNumberFormat="1" applyFont="1" applyFill="1" applyBorder="1" applyAlignment="1" applyProtection="1">
      <alignment horizontal="right" vertical="center" wrapText="1"/>
      <protection locked="0"/>
    </xf>
    <xf numFmtId="176" fontId="16" fillId="7" borderId="49" xfId="0" applyNumberFormat="1" applyFont="1" applyFill="1" applyBorder="1" applyAlignment="1" applyProtection="1">
      <alignment horizontal="right" vertical="center" wrapText="1"/>
      <protection/>
    </xf>
    <xf numFmtId="176" fontId="16" fillId="7" borderId="21" xfId="0" applyNumberFormat="1" applyFont="1" applyFill="1" applyBorder="1" applyAlignment="1" applyProtection="1">
      <alignment horizontal="right" vertical="center" wrapText="1"/>
      <protection/>
    </xf>
    <xf numFmtId="176" fontId="16" fillId="7" borderId="40" xfId="0" applyNumberFormat="1" applyFont="1" applyFill="1" applyBorder="1" applyAlignment="1" applyProtection="1">
      <alignment horizontal="right" vertical="center" wrapText="1"/>
      <protection/>
    </xf>
    <xf numFmtId="176" fontId="16" fillId="7" borderId="135" xfId="0" applyNumberFormat="1" applyFont="1" applyFill="1" applyBorder="1" applyAlignment="1" applyProtection="1">
      <alignment horizontal="right" vertical="center" wrapText="1"/>
      <protection locked="0"/>
    </xf>
    <xf numFmtId="176" fontId="16" fillId="7" borderId="136" xfId="0" applyNumberFormat="1" applyFont="1" applyFill="1" applyBorder="1" applyAlignment="1" applyProtection="1">
      <alignment horizontal="right" vertical="center" wrapText="1"/>
      <protection locked="0"/>
    </xf>
    <xf numFmtId="176" fontId="16" fillId="7" borderId="137" xfId="0" applyNumberFormat="1" applyFont="1" applyFill="1" applyBorder="1" applyAlignment="1" applyProtection="1">
      <alignment horizontal="right" vertical="center" wrapText="1"/>
      <protection locked="0"/>
    </xf>
    <xf numFmtId="176" fontId="16" fillId="7" borderId="138" xfId="0" applyNumberFormat="1" applyFont="1" applyFill="1" applyBorder="1" applyAlignment="1" applyProtection="1">
      <alignment horizontal="right" vertical="center" wrapText="1"/>
      <protection locked="0"/>
    </xf>
    <xf numFmtId="0" fontId="129" fillId="0" borderId="48" xfId="0" applyFont="1" applyBorder="1" applyAlignment="1" applyProtection="1" quotePrefix="1">
      <alignment horizontal="center" vertical="center" wrapText="1"/>
      <protection locked="0"/>
    </xf>
    <xf numFmtId="0" fontId="129" fillId="0" borderId="13" xfId="0" applyFont="1" applyBorder="1" applyAlignment="1" applyProtection="1" quotePrefix="1">
      <alignment horizontal="center" vertical="center" wrapText="1"/>
      <protection locked="0"/>
    </xf>
    <xf numFmtId="0" fontId="129" fillId="0" borderId="51" xfId="0" applyFont="1" applyBorder="1" applyAlignment="1" applyProtection="1" quotePrefix="1">
      <alignment horizontal="center" vertical="center" wrapText="1"/>
      <protection locked="0"/>
    </xf>
    <xf numFmtId="0" fontId="129" fillId="7" borderId="20" xfId="0" applyFont="1" applyFill="1" applyBorder="1" applyAlignment="1" applyProtection="1">
      <alignment horizontal="center" vertical="center" wrapText="1"/>
      <protection locked="0"/>
    </xf>
    <xf numFmtId="0" fontId="129" fillId="7" borderId="21" xfId="0" applyFont="1" applyFill="1" applyBorder="1" applyAlignment="1" applyProtection="1">
      <alignment horizontal="center" vertical="center" wrapText="1"/>
      <protection locked="0"/>
    </xf>
    <xf numFmtId="0" fontId="129" fillId="7" borderId="40" xfId="0" applyFont="1" applyFill="1" applyBorder="1" applyAlignment="1" applyProtection="1">
      <alignment horizontal="center" vertical="center" wrapText="1"/>
      <protection locked="0"/>
    </xf>
    <xf numFmtId="0" fontId="155" fillId="0" borderId="139" xfId="0" applyFont="1" applyFill="1" applyBorder="1" applyAlignment="1" applyProtection="1">
      <alignment vertical="center" shrinkToFit="1"/>
      <protection locked="0"/>
    </xf>
    <xf numFmtId="0" fontId="155" fillId="0" borderId="140" xfId="0" applyFont="1" applyFill="1" applyBorder="1" applyAlignment="1" applyProtection="1">
      <alignment vertical="center" shrinkToFit="1"/>
      <protection locked="0"/>
    </xf>
    <xf numFmtId="0" fontId="155" fillId="0" borderId="141" xfId="0" applyFont="1" applyFill="1" applyBorder="1" applyAlignment="1" applyProtection="1">
      <alignment vertical="center" shrinkToFit="1"/>
      <protection locked="0"/>
    </xf>
    <xf numFmtId="0" fontId="155" fillId="0" borderId="142" xfId="0" applyFont="1" applyFill="1" applyBorder="1" applyAlignment="1" applyProtection="1">
      <alignment vertical="center" shrinkToFit="1"/>
      <protection locked="0"/>
    </xf>
    <xf numFmtId="0" fontId="155" fillId="0" borderId="47" xfId="0" applyFont="1" applyFill="1" applyBorder="1" applyAlignment="1" applyProtection="1">
      <alignment vertical="center" shrinkToFit="1"/>
      <protection locked="0"/>
    </xf>
    <xf numFmtId="0" fontId="155" fillId="0" borderId="143" xfId="0" applyFont="1" applyFill="1" applyBorder="1" applyAlignment="1" applyProtection="1">
      <alignment vertical="center" shrinkToFit="1"/>
      <protection locked="0"/>
    </xf>
    <xf numFmtId="0" fontId="155" fillId="0" borderId="0" xfId="0" applyFont="1" applyFill="1" applyBorder="1" applyAlignment="1" applyProtection="1">
      <alignment vertical="center" shrinkToFit="1"/>
      <protection locked="0"/>
    </xf>
    <xf numFmtId="0" fontId="155" fillId="0" borderId="144" xfId="0" applyFont="1" applyFill="1" applyBorder="1" applyAlignment="1" applyProtection="1">
      <alignment vertical="center" shrinkToFit="1"/>
      <protection locked="0"/>
    </xf>
    <xf numFmtId="0" fontId="155" fillId="0" borderId="145" xfId="0" applyFont="1" applyFill="1" applyBorder="1" applyAlignment="1" applyProtection="1">
      <alignment vertical="center" shrinkToFit="1"/>
      <protection locked="0"/>
    </xf>
    <xf numFmtId="0" fontId="155" fillId="33" borderId="16" xfId="0" applyFont="1" applyFill="1" applyBorder="1" applyAlignment="1" applyProtection="1">
      <alignment horizontal="center" vertical="center"/>
      <protection locked="0"/>
    </xf>
    <xf numFmtId="0" fontId="155" fillId="33" borderId="17" xfId="0" applyFont="1" applyFill="1" applyBorder="1" applyAlignment="1" applyProtection="1">
      <alignment horizontal="center" vertical="center"/>
      <protection locked="0"/>
    </xf>
    <xf numFmtId="0" fontId="155" fillId="0" borderId="146" xfId="0" applyFont="1" applyFill="1" applyBorder="1" applyAlignment="1" applyProtection="1">
      <alignment vertical="center" shrinkToFit="1"/>
      <protection locked="0"/>
    </xf>
    <xf numFmtId="0" fontId="155" fillId="0" borderId="147" xfId="0" applyFont="1" applyFill="1" applyBorder="1" applyAlignment="1" applyProtection="1">
      <alignment vertical="center" shrinkToFit="1"/>
      <protection locked="0"/>
    </xf>
    <xf numFmtId="196" fontId="6" fillId="7" borderId="15" xfId="0" applyNumberFormat="1" applyFont="1" applyFill="1" applyBorder="1" applyAlignment="1" applyProtection="1">
      <alignment vertical="center" shrinkToFit="1"/>
      <protection locked="0"/>
    </xf>
    <xf numFmtId="196" fontId="6" fillId="7" borderId="34"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192" fillId="33" borderId="16" xfId="0" applyFont="1" applyFill="1" applyBorder="1" applyAlignment="1" applyProtection="1">
      <alignment horizontal="center" vertical="center"/>
      <protection locked="0"/>
    </xf>
    <xf numFmtId="0" fontId="192" fillId="33" borderId="17" xfId="0" applyFont="1" applyFill="1" applyBorder="1" applyAlignment="1" applyProtection="1">
      <alignment horizontal="center" vertical="center"/>
      <protection locked="0"/>
    </xf>
    <xf numFmtId="0" fontId="155" fillId="7" borderId="15" xfId="0" applyFont="1" applyFill="1" applyBorder="1" applyAlignment="1" applyProtection="1">
      <alignment vertical="center"/>
      <protection locked="0"/>
    </xf>
    <xf numFmtId="0" fontId="155" fillId="7" borderId="34" xfId="0" applyFont="1" applyFill="1" applyBorder="1" applyAlignment="1" applyProtection="1">
      <alignment vertical="center"/>
      <protection locked="0"/>
    </xf>
    <xf numFmtId="0" fontId="155" fillId="7" borderId="19" xfId="0" applyFont="1" applyFill="1" applyBorder="1" applyAlignment="1" applyProtection="1">
      <alignment vertical="center"/>
      <protection locked="0"/>
    </xf>
    <xf numFmtId="0" fontId="155" fillId="7" borderId="15" xfId="0" applyFont="1" applyFill="1" applyBorder="1" applyAlignment="1" applyProtection="1">
      <alignment vertical="center" shrinkToFit="1"/>
      <protection locked="0"/>
    </xf>
    <xf numFmtId="0" fontId="155" fillId="7" borderId="34" xfId="0" applyFont="1" applyFill="1" applyBorder="1" applyAlignment="1" applyProtection="1">
      <alignment vertical="center" shrinkToFit="1"/>
      <protection locked="0"/>
    </xf>
    <xf numFmtId="0" fontId="155" fillId="7" borderId="19" xfId="0" applyFont="1" applyFill="1" applyBorder="1" applyAlignment="1" applyProtection="1">
      <alignment vertical="center" shrinkToFit="1"/>
      <protection locked="0"/>
    </xf>
    <xf numFmtId="0" fontId="193" fillId="0" borderId="13" xfId="0" applyFont="1" applyBorder="1" applyAlignment="1" applyProtection="1">
      <alignment horizontal="center" vertical="center"/>
      <protection locked="0"/>
    </xf>
    <xf numFmtId="0" fontId="14" fillId="0" borderId="115"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1" fillId="0" borderId="116" xfId="0" applyFont="1" applyBorder="1" applyAlignment="1" applyProtection="1">
      <alignment horizontal="center" vertical="center"/>
      <protection locked="0"/>
    </xf>
    <xf numFmtId="0" fontId="141" fillId="0" borderId="109" xfId="0" applyFont="1" applyBorder="1" applyAlignment="1" applyProtection="1">
      <alignment horizontal="center" vertical="center"/>
      <protection locked="0"/>
    </xf>
    <xf numFmtId="0" fontId="141" fillId="0" borderId="110" xfId="0" applyFont="1" applyBorder="1" applyAlignment="1" applyProtection="1">
      <alignment horizontal="center" vertical="center"/>
      <protection locked="0"/>
    </xf>
    <xf numFmtId="0" fontId="149" fillId="0" borderId="12" xfId="0" applyFont="1" applyBorder="1" applyAlignment="1" applyProtection="1">
      <alignment vertical="center"/>
      <protection locked="0"/>
    </xf>
    <xf numFmtId="0" fontId="14" fillId="0" borderId="115" xfId="0" applyFont="1" applyFill="1" applyBorder="1" applyAlignment="1" applyProtection="1">
      <alignment horizontal="center" vertical="center" wrapText="1"/>
      <protection locked="0"/>
    </xf>
    <xf numFmtId="0" fontId="14" fillId="0" borderId="111" xfId="0" applyFont="1" applyFill="1" applyBorder="1" applyAlignment="1" applyProtection="1">
      <alignment horizontal="center" vertical="center" wrapText="1"/>
      <protection locked="0"/>
    </xf>
    <xf numFmtId="0" fontId="193" fillId="33" borderId="13" xfId="0" applyFont="1" applyFill="1" applyBorder="1" applyAlignment="1" applyProtection="1">
      <alignment horizontal="center" vertical="center"/>
      <protection locked="0"/>
    </xf>
    <xf numFmtId="0" fontId="14" fillId="0" borderId="116"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213" fontId="38" fillId="0" borderId="101" xfId="50" applyNumberFormat="1" applyFont="1" applyFill="1" applyBorder="1" applyAlignment="1" applyProtection="1">
      <alignment vertical="center" wrapText="1"/>
      <protection/>
    </xf>
    <xf numFmtId="213" fontId="38" fillId="0" borderId="35" xfId="50" applyNumberFormat="1" applyFont="1" applyFill="1" applyBorder="1" applyAlignment="1" applyProtection="1">
      <alignment vertical="center" wrapText="1"/>
      <protection/>
    </xf>
    <xf numFmtId="0" fontId="142" fillId="0" borderId="15" xfId="0" applyFont="1" applyBorder="1" applyAlignment="1" applyProtection="1">
      <alignment horizontal="center" vertical="center" wrapText="1"/>
      <protection locked="0"/>
    </xf>
    <xf numFmtId="0" fontId="0" fillId="0" borderId="19" xfId="0" applyFont="1" applyBorder="1" applyAlignment="1">
      <alignment vertical="center"/>
    </xf>
    <xf numFmtId="0" fontId="170" fillId="0" borderId="15" xfId="0" applyFont="1" applyBorder="1" applyAlignment="1" applyProtection="1">
      <alignment horizontal="center" vertical="center" wrapText="1"/>
      <protection locked="0"/>
    </xf>
    <xf numFmtId="0" fontId="170" fillId="0" borderId="19" xfId="0" applyFont="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4" fillId="0" borderId="19" xfId="0" applyNumberFormat="1" applyFont="1" applyFill="1" applyBorder="1" applyAlignment="1" applyProtection="1">
      <alignment horizontal="center" vertical="center" wrapText="1"/>
      <protection locked="0"/>
    </xf>
    <xf numFmtId="0" fontId="6" fillId="0" borderId="62" xfId="0" applyFont="1" applyFill="1" applyBorder="1" applyAlignment="1" applyProtection="1">
      <alignment vertical="center" wrapText="1"/>
      <protection locked="0"/>
    </xf>
    <xf numFmtId="0" fontId="6" fillId="0" borderId="113" xfId="0" applyFont="1" applyFill="1" applyBorder="1" applyAlignment="1" applyProtection="1">
      <alignment vertical="center" wrapText="1"/>
      <protection locked="0"/>
    </xf>
    <xf numFmtId="0" fontId="142" fillId="0" borderId="13" xfId="0" applyFont="1" applyFill="1" applyBorder="1" applyAlignment="1" applyProtection="1">
      <alignment horizontal="center" vertical="center" wrapText="1"/>
      <protection locked="0"/>
    </xf>
    <xf numFmtId="0" fontId="142" fillId="38" borderId="13" xfId="0" applyFont="1" applyFill="1" applyBorder="1" applyAlignment="1" applyProtection="1">
      <alignment horizontal="center" vertical="center" wrapText="1"/>
      <protection locked="0"/>
    </xf>
    <xf numFmtId="0" fontId="170" fillId="0"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213" fontId="166" fillId="0" borderId="148" xfId="0" applyNumberFormat="1" applyFont="1" applyFill="1" applyBorder="1" applyAlignment="1" applyProtection="1">
      <alignment horizontal="center" vertical="center"/>
      <protection/>
    </xf>
    <xf numFmtId="213" fontId="166" fillId="0" borderId="149" xfId="0" applyNumberFormat="1" applyFont="1" applyFill="1" applyBorder="1" applyAlignment="1" applyProtection="1">
      <alignment horizontal="center" vertical="center"/>
      <protection/>
    </xf>
    <xf numFmtId="0" fontId="166" fillId="0" borderId="56" xfId="0" applyNumberFormat="1" applyFont="1" applyFill="1" applyBorder="1" applyAlignment="1" applyProtection="1">
      <alignment horizontal="center" vertical="center"/>
      <protection/>
    </xf>
    <xf numFmtId="0" fontId="166" fillId="0" borderId="150" xfId="0" applyNumberFormat="1" applyFont="1" applyFill="1" applyBorder="1" applyAlignment="1" applyProtection="1">
      <alignment horizontal="center" vertical="center"/>
      <protection/>
    </xf>
    <xf numFmtId="0" fontId="194" fillId="0" borderId="0" xfId="0" applyFont="1" applyBorder="1" applyAlignment="1" applyProtection="1">
      <alignment horizontal="left" vertical="center"/>
      <protection locked="0"/>
    </xf>
    <xf numFmtId="0" fontId="194" fillId="0" borderId="35" xfId="0" applyFont="1" applyBorder="1" applyAlignment="1" applyProtection="1">
      <alignment horizontal="left" vertical="center"/>
      <protection locked="0"/>
    </xf>
    <xf numFmtId="0" fontId="194" fillId="0" borderId="35" xfId="0" applyFont="1" applyBorder="1" applyAlignment="1" applyProtection="1">
      <alignment horizontal="left" vertical="center" wrapText="1"/>
      <protection locked="0"/>
    </xf>
    <xf numFmtId="0" fontId="170" fillId="0" borderId="12"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70" fillId="42" borderId="15" xfId="0" applyFont="1" applyFill="1" applyBorder="1" applyAlignment="1" applyProtection="1">
      <alignment horizontal="center" vertical="center" wrapText="1"/>
      <protection locked="0"/>
    </xf>
    <xf numFmtId="0" fontId="170" fillId="42" borderId="19" xfId="0" applyFont="1" applyFill="1" applyBorder="1" applyAlignment="1" applyProtection="1">
      <alignment horizontal="center" vertical="center" wrapText="1"/>
      <protection locked="0"/>
    </xf>
    <xf numFmtId="0" fontId="6" fillId="0" borderId="61" xfId="0" applyFont="1" applyFill="1" applyBorder="1" applyAlignment="1" applyProtection="1">
      <alignment vertical="center" wrapText="1"/>
      <protection locked="0"/>
    </xf>
    <xf numFmtId="0" fontId="6" fillId="0" borderId="112" xfId="0" applyFont="1" applyFill="1" applyBorder="1" applyAlignment="1" applyProtection="1">
      <alignment vertical="center" wrapText="1"/>
      <protection locked="0"/>
    </xf>
    <xf numFmtId="0" fontId="14" fillId="0" borderId="116"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76" fillId="33" borderId="151" xfId="0" applyFont="1" applyFill="1" applyBorder="1" applyAlignment="1" applyProtection="1">
      <alignment horizontal="center" vertical="center" textRotation="255"/>
      <protection locked="0"/>
    </xf>
    <xf numFmtId="0" fontId="6" fillId="0" borderId="12" xfId="0" applyFont="1" applyFill="1" applyBorder="1" applyAlignment="1" applyProtection="1">
      <alignment horizontal="center" vertical="center" wrapText="1"/>
      <protection locked="0"/>
    </xf>
    <xf numFmtId="0" fontId="6" fillId="0" borderId="1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95" fillId="33" borderId="151" xfId="0" applyFont="1" applyFill="1" applyBorder="1" applyAlignment="1" applyProtection="1">
      <alignment horizontal="center" vertical="center"/>
      <protection locked="0"/>
    </xf>
    <xf numFmtId="0" fontId="127" fillId="39" borderId="12" xfId="0" applyFont="1" applyFill="1" applyBorder="1" applyAlignment="1" applyProtection="1">
      <alignment horizontal="center" vertical="center" textRotation="255"/>
      <protection locked="0"/>
    </xf>
    <xf numFmtId="0" fontId="127" fillId="39" borderId="117" xfId="0" applyFont="1" applyFill="1" applyBorder="1" applyAlignment="1" applyProtection="1">
      <alignment horizontal="center" vertical="center" textRotation="255"/>
      <protection locked="0"/>
    </xf>
    <xf numFmtId="0" fontId="144" fillId="6" borderId="116" xfId="0" applyFont="1" applyFill="1" applyBorder="1" applyAlignment="1" applyProtection="1">
      <alignment horizontal="center" vertical="center"/>
      <protection locked="0"/>
    </xf>
    <xf numFmtId="0" fontId="144" fillId="6" borderId="115" xfId="0" applyFont="1" applyFill="1" applyBorder="1" applyAlignment="1" applyProtection="1">
      <alignment horizontal="center" vertical="center"/>
      <protection locked="0"/>
    </xf>
    <xf numFmtId="0" fontId="196" fillId="0" borderId="0" xfId="0" applyFont="1" applyBorder="1" applyAlignment="1">
      <alignment horizontal="center" vertical="center"/>
    </xf>
    <xf numFmtId="0" fontId="197" fillId="0" borderId="0" xfId="0" applyFont="1" applyBorder="1" applyAlignment="1">
      <alignment vertical="center" wrapText="1" shrinkToFit="1"/>
    </xf>
    <xf numFmtId="9" fontId="166" fillId="0" borderId="56" xfId="0" applyNumberFormat="1" applyFont="1" applyFill="1" applyBorder="1" applyAlignment="1" applyProtection="1">
      <alignment horizontal="center" vertical="center"/>
      <protection/>
    </xf>
    <xf numFmtId="9" fontId="166" fillId="0" borderId="150" xfId="0" applyNumberFormat="1" applyFont="1" applyFill="1" applyBorder="1" applyAlignment="1" applyProtection="1">
      <alignment horizontal="center" vertical="center"/>
      <protection/>
    </xf>
    <xf numFmtId="0" fontId="14" fillId="0" borderId="116" xfId="0" applyFont="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10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66" fillId="0" borderId="152" xfId="0" applyFont="1" applyFill="1" applyBorder="1" applyAlignment="1" applyProtection="1">
      <alignment horizontal="center" vertical="center"/>
      <protection/>
    </xf>
    <xf numFmtId="0" fontId="166" fillId="0" borderId="153" xfId="0" applyFont="1" applyFill="1" applyBorder="1" applyAlignment="1" applyProtection="1">
      <alignment horizontal="center" vertical="center"/>
      <protection/>
    </xf>
    <xf numFmtId="0" fontId="4" fillId="36" borderId="117" xfId="0" applyFont="1" applyFill="1" applyBorder="1" applyAlignment="1" applyProtection="1">
      <alignment horizontal="center" vertical="top" wrapText="1"/>
      <protection locked="0"/>
    </xf>
    <xf numFmtId="0" fontId="130" fillId="36" borderId="14" xfId="0" applyFont="1" applyFill="1" applyBorder="1" applyAlignment="1" applyProtection="1">
      <alignment horizontal="center" vertical="top"/>
      <protection locked="0"/>
    </xf>
    <xf numFmtId="0" fontId="198" fillId="0" borderId="0" xfId="0" applyFont="1" applyBorder="1" applyAlignment="1" applyProtection="1">
      <alignment horizontal="right" vertical="center"/>
      <protection/>
    </xf>
    <xf numFmtId="0" fontId="127" fillId="36" borderId="117" xfId="0" applyFont="1" applyFill="1" applyBorder="1" applyAlignment="1" applyProtection="1">
      <alignment horizontal="center" vertical="top" wrapText="1"/>
      <protection locked="0"/>
    </xf>
    <xf numFmtId="222" fontId="130" fillId="0" borderId="0" xfId="0" applyNumberFormat="1" applyFont="1" applyFill="1" applyBorder="1" applyAlignment="1" applyProtection="1">
      <alignment horizontal="right" vertical="center"/>
      <protection/>
    </xf>
    <xf numFmtId="0" fontId="142" fillId="42" borderId="15" xfId="0" applyFont="1" applyFill="1" applyBorder="1" applyAlignment="1" applyProtection="1">
      <alignment horizontal="center" vertical="center" wrapText="1"/>
      <protection locked="0"/>
    </xf>
    <xf numFmtId="0" fontId="170" fillId="0" borderId="116" xfId="0" applyFont="1" applyBorder="1" applyAlignment="1" applyProtection="1">
      <alignment horizontal="center" vertical="center" wrapText="1"/>
      <protection locked="0"/>
    </xf>
    <xf numFmtId="0" fontId="0" fillId="0" borderId="110" xfId="0" applyBorder="1" applyAlignment="1">
      <alignment vertical="center"/>
    </xf>
    <xf numFmtId="0" fontId="0" fillId="0" borderId="101" xfId="0" applyBorder="1" applyAlignment="1">
      <alignment vertical="center"/>
    </xf>
    <xf numFmtId="0" fontId="0" fillId="0" borderId="18" xfId="0" applyBorder="1" applyAlignment="1">
      <alignment vertical="center"/>
    </xf>
    <xf numFmtId="0" fontId="148" fillId="33" borderId="13" xfId="0" applyFont="1" applyFill="1" applyBorder="1" applyAlignment="1" applyProtection="1">
      <alignment horizontal="center" vertical="center"/>
      <protection locked="0"/>
    </xf>
    <xf numFmtId="213" fontId="5" fillId="33" borderId="101" xfId="50" applyNumberFormat="1" applyFont="1" applyFill="1" applyBorder="1" applyAlignment="1" applyProtection="1">
      <alignment horizontal="left" vertical="center" wrapText="1"/>
      <protection/>
    </xf>
    <xf numFmtId="213" fontId="5" fillId="33" borderId="35" xfId="50" applyNumberFormat="1" applyFont="1" applyFill="1" applyBorder="1" applyAlignment="1" applyProtection="1">
      <alignment horizontal="left" vertical="center" wrapText="1"/>
      <protection/>
    </xf>
    <xf numFmtId="0" fontId="141" fillId="0" borderId="0" xfId="0" applyFont="1" applyBorder="1" applyAlignment="1" applyProtection="1">
      <alignment horizontal="left" vertical="center"/>
      <protection/>
    </xf>
    <xf numFmtId="0" fontId="170" fillId="0" borderId="12" xfId="0" applyFont="1" applyBorder="1" applyAlignment="1" applyProtection="1">
      <alignment horizontal="center" vertical="center" wrapText="1"/>
      <protection locked="0"/>
    </xf>
    <xf numFmtId="0" fontId="0" fillId="0" borderId="14" xfId="0" applyBorder="1" applyAlignment="1">
      <alignment vertical="center"/>
    </xf>
    <xf numFmtId="0" fontId="6" fillId="0" borderId="63" xfId="0" applyFont="1" applyFill="1" applyBorder="1" applyAlignment="1" applyProtection="1">
      <alignment vertical="center" wrapText="1"/>
      <protection locked="0"/>
    </xf>
    <xf numFmtId="0" fontId="6" fillId="0" borderId="114" xfId="0" applyFont="1" applyFill="1" applyBorder="1" applyAlignment="1" applyProtection="1">
      <alignment vertical="center" wrapText="1"/>
      <protection locked="0"/>
    </xf>
    <xf numFmtId="0" fontId="14" fillId="0" borderId="12" xfId="0" applyFont="1" applyBorder="1" applyAlignment="1" applyProtection="1">
      <alignment horizontal="center" vertical="center" wrapText="1"/>
      <protection locked="0"/>
    </xf>
    <xf numFmtId="0" fontId="14" fillId="0" borderId="117"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27" fillId="0" borderId="116" xfId="0" applyFont="1" applyBorder="1" applyAlignment="1" applyProtection="1">
      <alignment horizontal="center" vertical="center"/>
      <protection locked="0"/>
    </xf>
    <xf numFmtId="0" fontId="127" fillId="0" borderId="110" xfId="0" applyFont="1" applyBorder="1" applyAlignment="1" applyProtection="1">
      <alignment horizontal="center" vertical="center"/>
      <protection locked="0"/>
    </xf>
    <xf numFmtId="0" fontId="127" fillId="0" borderId="115" xfId="0" applyFont="1" applyBorder="1" applyAlignment="1" applyProtection="1">
      <alignment horizontal="center" vertical="center"/>
      <protection locked="0"/>
    </xf>
    <xf numFmtId="0" fontId="127" fillId="0" borderId="111" xfId="0" applyFont="1" applyBorder="1" applyAlignment="1" applyProtection="1">
      <alignment horizontal="center" vertical="center"/>
      <protection locked="0"/>
    </xf>
    <xf numFmtId="0" fontId="127" fillId="0" borderId="101" xfId="0" applyFont="1" applyBorder="1" applyAlignment="1" applyProtection="1">
      <alignment horizontal="center" vertical="center"/>
      <protection locked="0"/>
    </xf>
    <xf numFmtId="0" fontId="127" fillId="0" borderId="18" xfId="0" applyFont="1" applyBorder="1" applyAlignment="1" applyProtection="1">
      <alignment horizontal="center" vertical="center"/>
      <protection locked="0"/>
    </xf>
    <xf numFmtId="0" fontId="14" fillId="0" borderId="62" xfId="0" applyFont="1" applyFill="1" applyBorder="1" applyAlignment="1" applyProtection="1">
      <alignment vertical="center" wrapText="1"/>
      <protection locked="0"/>
    </xf>
    <xf numFmtId="0" fontId="14" fillId="0" borderId="113" xfId="0" applyFont="1" applyFill="1" applyBorder="1" applyAlignment="1" applyProtection="1">
      <alignment vertical="center" wrapText="1"/>
      <protection locked="0"/>
    </xf>
    <xf numFmtId="0" fontId="9" fillId="0" borderId="116" xfId="0" applyFont="1" applyBorder="1" applyAlignment="1" applyProtection="1">
      <alignment horizontal="center" vertical="center" wrapText="1"/>
      <protection locked="0"/>
    </xf>
    <xf numFmtId="0" fontId="9" fillId="0" borderId="110"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61" xfId="0" applyFont="1" applyFill="1" applyBorder="1" applyAlignment="1" applyProtection="1">
      <alignment vertical="center" wrapText="1"/>
      <protection locked="0"/>
    </xf>
    <xf numFmtId="0" fontId="14" fillId="0" borderId="112" xfId="0" applyFont="1" applyFill="1" applyBorder="1" applyAlignment="1" applyProtection="1">
      <alignment vertical="center" wrapText="1"/>
      <protection locked="0"/>
    </xf>
    <xf numFmtId="0" fontId="14" fillId="0" borderId="15"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27" fillId="0" borderId="15" xfId="0" applyFont="1" applyBorder="1" applyAlignment="1" applyProtection="1">
      <alignment horizontal="center" vertical="center"/>
      <protection locked="0"/>
    </xf>
    <xf numFmtId="0" fontId="127" fillId="0" borderId="19" xfId="0" applyFont="1" applyBorder="1" applyAlignment="1" applyProtection="1">
      <alignment horizontal="center" vertical="center"/>
      <protection locked="0"/>
    </xf>
    <xf numFmtId="0" fontId="14" fillId="0" borderId="14" xfId="0" applyFont="1" applyFill="1" applyBorder="1" applyAlignment="1" applyProtection="1">
      <alignment horizontal="center" vertical="center" wrapText="1"/>
      <protection locked="0"/>
    </xf>
    <xf numFmtId="0" fontId="14" fillId="0" borderId="63" xfId="0" applyFont="1" applyFill="1" applyBorder="1" applyAlignment="1" applyProtection="1">
      <alignment vertical="center" wrapText="1"/>
      <protection locked="0"/>
    </xf>
    <xf numFmtId="0" fontId="14" fillId="0" borderId="114" xfId="0" applyFont="1" applyFill="1" applyBorder="1" applyAlignment="1" applyProtection="1">
      <alignment vertical="center" wrapText="1"/>
      <protection locked="0"/>
    </xf>
    <xf numFmtId="0" fontId="129" fillId="0" borderId="94" xfId="0" applyFont="1" applyBorder="1" applyAlignment="1" applyProtection="1">
      <alignment horizontal="center" vertical="top" wrapText="1"/>
      <protection locked="0"/>
    </xf>
    <xf numFmtId="0" fontId="129" fillId="0" borderId="154" xfId="0" applyFont="1" applyBorder="1" applyAlignment="1" applyProtection="1">
      <alignment horizontal="center" vertical="top" wrapText="1"/>
      <protection locked="0"/>
    </xf>
    <xf numFmtId="0" fontId="129" fillId="0" borderId="10" xfId="0" applyFont="1" applyBorder="1" applyAlignment="1" applyProtection="1">
      <alignment horizontal="center" vertical="center" wrapText="1"/>
      <protection locked="0"/>
    </xf>
    <xf numFmtId="0" fontId="129" fillId="0" borderId="99" xfId="0" applyFont="1" applyBorder="1" applyAlignment="1" applyProtection="1">
      <alignment horizontal="center" vertical="center" wrapText="1"/>
      <protection locked="0"/>
    </xf>
    <xf numFmtId="0" fontId="129" fillId="0" borderId="155" xfId="0" applyFont="1" applyBorder="1" applyAlignment="1" applyProtection="1">
      <alignment horizontal="center" vertical="center" wrapText="1"/>
      <protection locked="0"/>
    </xf>
    <xf numFmtId="0" fontId="129" fillId="0" borderId="103" xfId="0" applyFont="1" applyBorder="1" applyAlignment="1" applyProtection="1">
      <alignment horizontal="center" vertical="center" wrapText="1"/>
      <protection locked="0"/>
    </xf>
    <xf numFmtId="14" fontId="145" fillId="7" borderId="14" xfId="0" applyNumberFormat="1" applyFont="1" applyFill="1" applyBorder="1" applyAlignment="1" applyProtection="1">
      <alignment horizontal="center" vertical="center" wrapText="1"/>
      <protection locked="0"/>
    </xf>
    <xf numFmtId="0" fontId="145" fillId="7" borderId="14" xfId="0" applyFont="1" applyFill="1" applyBorder="1" applyAlignment="1" applyProtection="1">
      <alignment horizontal="center" vertical="center" wrapText="1"/>
      <protection locked="0"/>
    </xf>
    <xf numFmtId="0" fontId="146" fillId="33" borderId="16" xfId="0" applyFont="1" applyFill="1" applyBorder="1" applyAlignment="1" applyProtection="1">
      <alignment horizontal="center" vertical="center" wrapText="1"/>
      <protection locked="0"/>
    </xf>
    <xf numFmtId="0" fontId="146" fillId="33" borderId="30" xfId="0" applyFont="1" applyFill="1" applyBorder="1" applyAlignment="1" applyProtection="1">
      <alignment horizontal="center" vertical="center" wrapText="1"/>
      <protection locked="0"/>
    </xf>
    <xf numFmtId="14" fontId="145" fillId="7" borderId="51" xfId="0" applyNumberFormat="1" applyFont="1" applyFill="1" applyBorder="1" applyAlignment="1" applyProtection="1">
      <alignment horizontal="center" vertical="center" wrapText="1"/>
      <protection locked="0"/>
    </xf>
    <xf numFmtId="0" fontId="145" fillId="7" borderId="51" xfId="0" applyFont="1" applyFill="1" applyBorder="1" applyAlignment="1" applyProtection="1">
      <alignment horizontal="center" vertical="center" wrapText="1"/>
      <protection locked="0"/>
    </xf>
    <xf numFmtId="0" fontId="129" fillId="0" borderId="0" xfId="0" applyFont="1" applyAlignment="1" applyProtection="1">
      <alignment horizontal="left" vertical="center"/>
      <protection locked="0"/>
    </xf>
    <xf numFmtId="0" fontId="129" fillId="0" borderId="156" xfId="0" applyFont="1" applyBorder="1" applyAlignment="1" applyProtection="1">
      <alignment horizontal="center" vertical="center" wrapText="1"/>
      <protection locked="0"/>
    </xf>
    <xf numFmtId="0" fontId="129" fillId="0" borderId="157" xfId="0" applyFont="1" applyBorder="1" applyAlignment="1" applyProtection="1">
      <alignment horizontal="center" vertical="center" wrapText="1"/>
      <protection locked="0"/>
    </xf>
    <xf numFmtId="14" fontId="145" fillId="7" borderId="99" xfId="0" applyNumberFormat="1" applyFont="1" applyFill="1" applyBorder="1" applyAlignment="1" applyProtection="1">
      <alignment horizontal="center" vertical="center" wrapText="1"/>
      <protection locked="0"/>
    </xf>
    <xf numFmtId="0" fontId="145" fillId="7" borderId="99" xfId="0" applyFont="1" applyFill="1" applyBorder="1" applyAlignment="1" applyProtection="1">
      <alignment horizontal="center" vertical="center" wrapText="1"/>
      <protection locked="0"/>
    </xf>
    <xf numFmtId="0" fontId="129" fillId="0" borderId="100" xfId="0" applyFont="1" applyBorder="1" applyAlignment="1" applyProtection="1">
      <alignment horizontal="center" vertical="top" wrapText="1"/>
      <protection locked="0"/>
    </xf>
    <xf numFmtId="0" fontId="146" fillId="33" borderId="158" xfId="0" applyFont="1" applyFill="1" applyBorder="1" applyAlignment="1" applyProtection="1">
      <alignment horizontal="center" vertical="center" wrapText="1"/>
      <protection locked="0"/>
    </xf>
    <xf numFmtId="0" fontId="146" fillId="33" borderId="22" xfId="0" applyFont="1" applyFill="1" applyBorder="1" applyAlignment="1" applyProtection="1">
      <alignment horizontal="center" vertical="center" wrapText="1"/>
      <protection locked="0"/>
    </xf>
    <xf numFmtId="0" fontId="145" fillId="7" borderId="101" xfId="0" applyFont="1" applyFill="1" applyBorder="1" applyAlignment="1" applyProtection="1">
      <alignment horizontal="center" vertical="center" wrapText="1"/>
      <protection locked="0"/>
    </xf>
    <xf numFmtId="14" fontId="145" fillId="7" borderId="48" xfId="0" applyNumberFormat="1" applyFont="1" applyFill="1" applyBorder="1" applyAlignment="1" applyProtection="1">
      <alignment horizontal="center" vertical="center" wrapText="1"/>
      <protection locked="0"/>
    </xf>
    <xf numFmtId="0" fontId="145" fillId="7" borderId="48" xfId="0" applyFont="1" applyFill="1" applyBorder="1" applyAlignment="1" applyProtection="1">
      <alignment horizontal="center" vertical="center" wrapText="1"/>
      <protection locked="0"/>
    </xf>
    <xf numFmtId="0" fontId="129" fillId="0" borderId="130" xfId="0" applyFont="1" applyBorder="1" applyAlignment="1" applyProtection="1">
      <alignment horizontal="center" vertical="center" wrapText="1"/>
      <protection locked="0"/>
    </xf>
    <xf numFmtId="0" fontId="129" fillId="0" borderId="105"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1" fillId="0" borderId="0" xfId="0" applyFont="1" applyAlignment="1" applyProtection="1">
      <alignment horizontal="center" vertical="center"/>
      <protection locked="0"/>
    </xf>
    <xf numFmtId="0" fontId="138" fillId="33" borderId="159" xfId="0" applyFont="1" applyFill="1" applyBorder="1" applyAlignment="1" applyProtection="1">
      <alignment horizontal="center" vertical="center" wrapText="1"/>
      <protection locked="0"/>
    </xf>
    <xf numFmtId="0" fontId="138" fillId="33" borderId="160" xfId="0" applyFont="1" applyFill="1" applyBorder="1" applyAlignment="1" applyProtection="1">
      <alignment horizontal="center" vertical="center" wrapText="1"/>
      <protection locked="0"/>
    </xf>
    <xf numFmtId="0" fontId="153" fillId="33" borderId="159" xfId="0" applyFont="1" applyFill="1" applyBorder="1" applyAlignment="1" applyProtection="1">
      <alignment horizontal="center" vertical="center"/>
      <protection locked="0"/>
    </xf>
    <xf numFmtId="0" fontId="153" fillId="33" borderId="160" xfId="0" applyFont="1" applyFill="1" applyBorder="1" applyAlignment="1" applyProtection="1">
      <alignment horizontal="center" vertical="center"/>
      <protection locked="0"/>
    </xf>
    <xf numFmtId="0" fontId="153" fillId="7" borderId="161" xfId="0" applyFont="1" applyFill="1" applyBorder="1" applyAlignment="1" applyProtection="1">
      <alignment horizontal="left" vertical="center"/>
      <protection/>
    </xf>
    <xf numFmtId="0" fontId="153" fillId="7" borderId="162" xfId="0" applyFont="1" applyFill="1" applyBorder="1" applyAlignment="1" applyProtection="1">
      <alignment horizontal="left" vertical="center"/>
      <protection/>
    </xf>
    <xf numFmtId="0" fontId="153" fillId="7" borderId="163" xfId="0" applyFont="1" applyFill="1" applyBorder="1" applyAlignment="1" applyProtection="1">
      <alignment horizontal="left" vertical="center"/>
      <protection/>
    </xf>
    <xf numFmtId="0" fontId="153" fillId="7" borderId="164" xfId="0" applyFont="1" applyFill="1" applyBorder="1" applyAlignment="1" applyProtection="1">
      <alignment horizontal="left" vertical="center"/>
      <protection/>
    </xf>
    <xf numFmtId="0" fontId="138" fillId="33" borderId="165" xfId="0" applyFont="1" applyFill="1" applyBorder="1" applyAlignment="1" applyProtection="1">
      <alignment horizontal="center" vertical="center" wrapText="1"/>
      <protection locked="0"/>
    </xf>
    <xf numFmtId="0" fontId="138" fillId="33" borderId="166" xfId="0" applyFont="1" applyFill="1" applyBorder="1" applyAlignment="1" applyProtection="1">
      <alignment horizontal="center" vertical="center" wrapText="1"/>
      <protection locked="0"/>
    </xf>
    <xf numFmtId="38" fontId="153" fillId="7" borderId="164" xfId="0" applyNumberFormat="1" applyFont="1" applyFill="1" applyBorder="1" applyAlignment="1" applyProtection="1">
      <alignment horizontal="left" vertical="center"/>
      <protection/>
    </xf>
    <xf numFmtId="38" fontId="153" fillId="7" borderId="162" xfId="0" applyNumberFormat="1" applyFont="1" applyFill="1" applyBorder="1" applyAlignment="1" applyProtection="1">
      <alignment horizontal="left" vertical="center"/>
      <protection/>
    </xf>
    <xf numFmtId="38" fontId="153" fillId="7" borderId="163" xfId="0" applyNumberFormat="1" applyFont="1" applyFill="1" applyBorder="1" applyAlignment="1" applyProtection="1">
      <alignment horizontal="left" vertical="center"/>
      <protection/>
    </xf>
    <xf numFmtId="0" fontId="156" fillId="33" borderId="167" xfId="0" applyFont="1" applyFill="1" applyBorder="1" applyAlignment="1" applyProtection="1">
      <alignment horizontal="center" wrapText="1"/>
      <protection locked="0"/>
    </xf>
    <xf numFmtId="0" fontId="156" fillId="33" borderId="168" xfId="0" applyFont="1" applyFill="1" applyBorder="1" applyAlignment="1" applyProtection="1">
      <alignment horizontal="center"/>
      <protection locked="0"/>
    </xf>
    <xf numFmtId="0" fontId="156" fillId="33" borderId="169" xfId="0" applyFont="1" applyFill="1" applyBorder="1" applyAlignment="1" applyProtection="1">
      <alignment horizontal="center"/>
      <protection locked="0"/>
    </xf>
    <xf numFmtId="0" fontId="156" fillId="33" borderId="133" xfId="0" applyFont="1" applyFill="1" applyBorder="1" applyAlignment="1" applyProtection="1">
      <alignment horizontal="center"/>
      <protection locked="0"/>
    </xf>
    <xf numFmtId="0" fontId="156" fillId="33" borderId="0" xfId="0" applyFont="1" applyFill="1" applyBorder="1" applyAlignment="1" applyProtection="1">
      <alignment horizontal="center"/>
      <protection locked="0"/>
    </xf>
    <xf numFmtId="0" fontId="156" fillId="33" borderId="170" xfId="0" applyFont="1" applyFill="1" applyBorder="1" applyAlignment="1" applyProtection="1">
      <alignment horizontal="center"/>
      <protection locked="0"/>
    </xf>
    <xf numFmtId="0" fontId="156" fillId="33" borderId="158" xfId="0" applyFont="1" applyFill="1" applyBorder="1" applyAlignment="1" applyProtection="1">
      <alignment horizontal="center"/>
      <protection locked="0"/>
    </xf>
    <xf numFmtId="0" fontId="156" fillId="33" borderId="22" xfId="0" applyFont="1" applyFill="1" applyBorder="1" applyAlignment="1" applyProtection="1">
      <alignment horizontal="center"/>
      <protection locked="0"/>
    </xf>
    <xf numFmtId="0" fontId="156" fillId="33" borderId="171" xfId="0" applyFont="1" applyFill="1" applyBorder="1" applyAlignment="1" applyProtection="1">
      <alignment horizontal="center"/>
      <protection locked="0"/>
    </xf>
    <xf numFmtId="0" fontId="153" fillId="7" borderId="164" xfId="0" applyFont="1" applyFill="1" applyBorder="1" applyAlignment="1" applyProtection="1">
      <alignment horizontal="left" vertical="center" wrapText="1"/>
      <protection/>
    </xf>
    <xf numFmtId="0" fontId="153" fillId="7" borderId="162" xfId="0" applyFont="1" applyFill="1" applyBorder="1" applyAlignment="1" applyProtection="1">
      <alignment horizontal="left" vertical="center" wrapText="1"/>
      <protection/>
    </xf>
    <xf numFmtId="0" fontId="153" fillId="7" borderId="172" xfId="0" applyFont="1" applyFill="1" applyBorder="1" applyAlignment="1" applyProtection="1">
      <alignment horizontal="left" vertical="center" wrapText="1"/>
      <protection/>
    </xf>
    <xf numFmtId="0" fontId="153" fillId="33" borderId="164" xfId="0" applyFont="1" applyFill="1" applyBorder="1" applyAlignment="1" applyProtection="1">
      <alignment horizontal="center" vertical="center"/>
      <protection locked="0"/>
    </xf>
    <xf numFmtId="0" fontId="153" fillId="33" borderId="162" xfId="0" applyFont="1" applyFill="1" applyBorder="1" applyAlignment="1" applyProtection="1">
      <alignment horizontal="center" vertical="center"/>
      <protection locked="0"/>
    </xf>
    <xf numFmtId="0" fontId="153" fillId="33" borderId="172" xfId="0" applyFont="1" applyFill="1" applyBorder="1" applyAlignment="1" applyProtection="1">
      <alignment horizontal="center" vertical="center"/>
      <protection locked="0"/>
    </xf>
    <xf numFmtId="0" fontId="153" fillId="33" borderId="16" xfId="0" applyFont="1" applyFill="1" applyBorder="1" applyAlignment="1" applyProtection="1">
      <alignment horizontal="center" vertical="center"/>
      <protection locked="0"/>
    </xf>
    <xf numFmtId="0" fontId="153" fillId="33" borderId="30" xfId="0" applyFont="1" applyFill="1" applyBorder="1" applyAlignment="1" applyProtection="1">
      <alignment horizontal="center" vertical="center"/>
      <protection locked="0"/>
    </xf>
    <xf numFmtId="0" fontId="153" fillId="33" borderId="17" xfId="0" applyFont="1" applyFill="1" applyBorder="1" applyAlignment="1" applyProtection="1">
      <alignment horizontal="center" vertical="center"/>
      <protection locked="0"/>
    </xf>
    <xf numFmtId="0" fontId="138" fillId="0" borderId="165" xfId="0" applyFont="1" applyFill="1" applyBorder="1" applyAlignment="1" applyProtection="1">
      <alignment horizontal="center" vertical="center" wrapText="1"/>
      <protection locked="0"/>
    </xf>
    <xf numFmtId="0" fontId="138" fillId="0" borderId="166" xfId="0" applyFont="1" applyFill="1" applyBorder="1" applyAlignment="1" applyProtection="1">
      <alignment horizontal="center" vertical="center" wrapText="1"/>
      <protection locked="0"/>
    </xf>
    <xf numFmtId="0" fontId="153" fillId="7" borderId="172" xfId="0" applyFont="1" applyFill="1" applyBorder="1" applyAlignment="1" applyProtection="1">
      <alignment horizontal="left" vertical="center"/>
      <protection/>
    </xf>
    <xf numFmtId="0" fontId="153" fillId="0" borderId="0" xfId="0" applyFont="1" applyFill="1" applyAlignment="1" applyProtection="1">
      <alignment horizontal="left" vertical="center"/>
      <protection locked="0"/>
    </xf>
    <xf numFmtId="0" fontId="153" fillId="33" borderId="0" xfId="0" applyFont="1" applyFill="1" applyAlignment="1" applyProtection="1">
      <alignment horizontal="left" vertical="center"/>
      <protection locked="0"/>
    </xf>
    <xf numFmtId="0" fontId="153" fillId="33" borderId="161" xfId="0" applyFont="1" applyFill="1" applyBorder="1" applyAlignment="1" applyProtection="1">
      <alignment horizontal="center" vertical="center"/>
      <protection locked="0"/>
    </xf>
    <xf numFmtId="0" fontId="153" fillId="33" borderId="163" xfId="0" applyFont="1" applyFill="1" applyBorder="1" applyAlignment="1" applyProtection="1">
      <alignment horizontal="center" vertical="center"/>
      <protection locked="0"/>
    </xf>
    <xf numFmtId="38" fontId="153" fillId="7" borderId="172" xfId="0" applyNumberFormat="1" applyFont="1" applyFill="1" applyBorder="1" applyAlignment="1" applyProtection="1">
      <alignment horizontal="left" vertical="center"/>
      <protection/>
    </xf>
    <xf numFmtId="0" fontId="153" fillId="7" borderId="173" xfId="0" applyFont="1" applyFill="1" applyBorder="1" applyAlignment="1" applyProtection="1">
      <alignment horizontal="left" vertical="center"/>
      <protection/>
    </xf>
    <xf numFmtId="0" fontId="153" fillId="7" borderId="94" xfId="0" applyFont="1" applyFill="1" applyBorder="1" applyAlignment="1" applyProtection="1">
      <alignment horizontal="left" vertical="center"/>
      <protection/>
    </xf>
    <xf numFmtId="0" fontId="153" fillId="7" borderId="174" xfId="0" applyFont="1" applyFill="1" applyBorder="1" applyAlignment="1" applyProtection="1">
      <alignment horizontal="left" vertical="center"/>
      <protection/>
    </xf>
    <xf numFmtId="0" fontId="153" fillId="7" borderId="175" xfId="0" applyFont="1" applyFill="1" applyBorder="1" applyAlignment="1" applyProtection="1">
      <alignment horizontal="left" vertical="center"/>
      <protection/>
    </xf>
    <xf numFmtId="0" fontId="153" fillId="7" borderId="155" xfId="0" applyFont="1" applyFill="1" applyBorder="1" applyAlignment="1" applyProtection="1">
      <alignment horizontal="left" vertical="center"/>
      <protection/>
    </xf>
    <xf numFmtId="201" fontId="185" fillId="33" borderId="173" xfId="50" applyNumberFormat="1" applyFont="1" applyFill="1" applyBorder="1" applyAlignment="1" applyProtection="1">
      <alignment horizontal="center" vertical="center"/>
      <protection/>
    </xf>
    <xf numFmtId="201" fontId="185" fillId="33" borderId="155" xfId="50" applyNumberFormat="1" applyFont="1" applyFill="1" applyBorder="1" applyAlignment="1" applyProtection="1">
      <alignment horizontal="center" vertical="center"/>
      <protection/>
    </xf>
    <xf numFmtId="201" fontId="185" fillId="33" borderId="158" xfId="50" applyNumberFormat="1" applyFont="1" applyFill="1" applyBorder="1" applyAlignment="1" applyProtection="1">
      <alignment horizontal="center" vertical="center"/>
      <protection/>
    </xf>
    <xf numFmtId="201" fontId="185" fillId="33" borderId="103" xfId="50" applyNumberFormat="1" applyFont="1" applyFill="1" applyBorder="1" applyAlignment="1" applyProtection="1">
      <alignment horizontal="center" vertical="center"/>
      <protection/>
    </xf>
    <xf numFmtId="58" fontId="199" fillId="7" borderId="0" xfId="0" applyNumberFormat="1" applyFont="1" applyFill="1" applyAlignment="1" applyProtection="1">
      <alignment horizontal="center"/>
      <protection locked="0"/>
    </xf>
    <xf numFmtId="0" fontId="199" fillId="7" borderId="0" xfId="0" applyFont="1" applyFill="1" applyAlignment="1" applyProtection="1">
      <alignment horizontal="center"/>
      <protection locked="0"/>
    </xf>
    <xf numFmtId="0" fontId="199" fillId="0" borderId="0" xfId="0" applyFont="1" applyAlignment="1" applyProtection="1">
      <alignment horizontal="left"/>
      <protection locked="0"/>
    </xf>
    <xf numFmtId="0" fontId="180" fillId="33" borderId="0" xfId="0" applyFont="1" applyFill="1" applyAlignment="1" applyProtection="1">
      <alignment horizontal="left" wrapText="1"/>
      <protection locked="0"/>
    </xf>
    <xf numFmtId="194" fontId="185" fillId="33" borderId="16" xfId="50" applyNumberFormat="1" applyFont="1" applyFill="1" applyBorder="1" applyAlignment="1" applyProtection="1">
      <alignment horizontal="center" vertical="center"/>
      <protection/>
    </xf>
    <xf numFmtId="194" fontId="185" fillId="33" borderId="17" xfId="50" applyNumberFormat="1" applyFont="1" applyFill="1" applyBorder="1" applyAlignment="1" applyProtection="1">
      <alignment horizontal="center" vertical="center"/>
      <protection/>
    </xf>
    <xf numFmtId="38" fontId="117" fillId="33" borderId="22" xfId="50" applyFont="1" applyFill="1" applyBorder="1" applyAlignment="1" applyProtection="1">
      <alignment horizontal="center" vertical="center"/>
      <protection locked="0"/>
    </xf>
    <xf numFmtId="38" fontId="7" fillId="33" borderId="176" xfId="50" applyFont="1" applyFill="1" applyBorder="1" applyAlignment="1" applyProtection="1">
      <alignment horizontal="center" vertical="center"/>
      <protection locked="0"/>
    </xf>
    <xf numFmtId="38" fontId="185" fillId="33" borderId="16" xfId="50" applyFont="1" applyFill="1" applyBorder="1" applyAlignment="1" applyProtection="1">
      <alignment horizontal="center" vertical="center"/>
      <protection/>
    </xf>
    <xf numFmtId="38" fontId="185" fillId="33" borderId="17" xfId="50" applyFont="1" applyFill="1" applyBorder="1" applyAlignment="1" applyProtection="1">
      <alignment horizontal="center" vertical="center"/>
      <protection/>
    </xf>
    <xf numFmtId="38" fontId="185" fillId="33" borderId="16" xfId="0" applyNumberFormat="1" applyFont="1" applyFill="1" applyBorder="1" applyAlignment="1" applyProtection="1">
      <alignment horizontal="center" vertical="center"/>
      <protection/>
    </xf>
    <xf numFmtId="38" fontId="185" fillId="33" borderId="17" xfId="0" applyNumberFormat="1" applyFont="1" applyFill="1" applyBorder="1" applyAlignment="1" applyProtection="1">
      <alignment horizontal="center" vertical="center"/>
      <protection/>
    </xf>
    <xf numFmtId="38" fontId="185" fillId="33" borderId="177" xfId="50" applyFont="1" applyFill="1" applyBorder="1" applyAlignment="1" applyProtection="1">
      <alignment horizontal="center" vertical="center"/>
      <protection/>
    </xf>
    <xf numFmtId="38" fontId="185" fillId="33" borderId="178" xfId="50" applyFont="1" applyFill="1" applyBorder="1" applyAlignment="1" applyProtection="1">
      <alignment horizontal="center" vertical="center"/>
      <protection/>
    </xf>
    <xf numFmtId="0" fontId="130" fillId="0" borderId="139" xfId="0" applyFont="1" applyFill="1" applyBorder="1" applyAlignment="1" applyProtection="1">
      <alignment horizontal="left" vertical="center"/>
      <protection locked="0"/>
    </xf>
    <xf numFmtId="0" fontId="130" fillId="0" borderId="140" xfId="0" applyFont="1" applyFill="1" applyBorder="1" applyAlignment="1" applyProtection="1">
      <alignment horizontal="left"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00" fillId="0" borderId="94" xfId="50" applyFont="1" applyFill="1" applyBorder="1" applyAlignment="1" applyProtection="1">
      <alignment horizontal="right" vertical="center"/>
      <protection locked="0"/>
    </xf>
    <xf numFmtId="38" fontId="200"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27" fillId="33" borderId="22" xfId="0" applyFont="1" applyFill="1" applyBorder="1" applyAlignment="1" applyProtection="1">
      <alignment horizontal="center" vertical="center"/>
      <protection locked="0"/>
    </xf>
    <xf numFmtId="0" fontId="130" fillId="0" borderId="139" xfId="0" applyFont="1" applyFill="1" applyBorder="1" applyAlignment="1" applyProtection="1">
      <alignment horizontal="left" vertical="center" shrinkToFit="1"/>
      <protection locked="0"/>
    </xf>
    <xf numFmtId="0" fontId="130" fillId="0" borderId="140" xfId="0" applyFont="1" applyFill="1" applyBorder="1" applyAlignment="1" applyProtection="1">
      <alignment horizontal="left" vertical="center" shrinkToFit="1"/>
      <protection locked="0"/>
    </xf>
    <xf numFmtId="0" fontId="128" fillId="0" borderId="139" xfId="0" applyFont="1" applyFill="1" applyBorder="1" applyAlignment="1" applyProtection="1">
      <alignment horizontal="left" vertical="center"/>
      <protection locked="0"/>
    </xf>
    <xf numFmtId="0" fontId="128" fillId="0" borderId="140" xfId="0" applyFont="1" applyFill="1" applyBorder="1" applyAlignment="1" applyProtection="1">
      <alignment horizontal="left" vertical="center"/>
      <protection locked="0"/>
    </xf>
    <xf numFmtId="0" fontId="127" fillId="0" borderId="108" xfId="0" applyFont="1" applyFill="1" applyBorder="1" applyAlignment="1" applyProtection="1">
      <alignment horizontal="center" vertical="center"/>
      <protection locked="0"/>
    </xf>
    <xf numFmtId="0" fontId="127" fillId="0" borderId="38" xfId="0" applyFont="1" applyFill="1" applyBorder="1" applyAlignment="1" applyProtection="1">
      <alignment horizontal="center" vertical="center"/>
      <protection locked="0"/>
    </xf>
    <xf numFmtId="0" fontId="127" fillId="4" borderId="158" xfId="0" applyFont="1" applyFill="1" applyBorder="1" applyAlignment="1" applyProtection="1">
      <alignment horizontal="center" vertical="center"/>
      <protection locked="0"/>
    </xf>
    <xf numFmtId="0" fontId="127" fillId="4" borderId="103" xfId="0" applyFont="1" applyFill="1" applyBorder="1" applyAlignment="1" applyProtection="1">
      <alignment horizontal="center" vertical="center"/>
      <protection locked="0"/>
    </xf>
    <xf numFmtId="0" fontId="140" fillId="0" borderId="94" xfId="0" applyFont="1" applyBorder="1" applyAlignment="1" applyProtection="1">
      <alignment vertical="center"/>
      <protection locked="0"/>
    </xf>
    <xf numFmtId="0" fontId="140" fillId="0" borderId="22" xfId="0" applyFont="1"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28" fillId="0" borderId="141" xfId="0" applyFont="1" applyFill="1" applyBorder="1" applyAlignment="1" applyProtection="1">
      <alignment horizontal="left" vertical="center"/>
      <protection locked="0"/>
    </xf>
    <xf numFmtId="0" fontId="128" fillId="0" borderId="142" xfId="0" applyFont="1" applyFill="1" applyBorder="1" applyAlignment="1" applyProtection="1">
      <alignment horizontal="left" vertical="center"/>
      <protection locked="0"/>
    </xf>
    <xf numFmtId="0" fontId="201" fillId="0" borderId="146" xfId="0" applyFont="1" applyBorder="1" applyAlignment="1" applyProtection="1">
      <alignment horizontal="center" vertical="center"/>
      <protection locked="0"/>
    </xf>
    <xf numFmtId="0" fontId="201" fillId="0" borderId="147" xfId="0" applyFont="1" applyBorder="1" applyAlignment="1" applyProtection="1">
      <alignment horizontal="center" vertical="center"/>
      <protection locked="0"/>
    </xf>
    <xf numFmtId="0" fontId="0" fillId="7" borderId="146" xfId="0" applyFill="1" applyBorder="1" applyAlignment="1" applyProtection="1">
      <alignment horizontal="center" vertical="center"/>
      <protection locked="0"/>
    </xf>
    <xf numFmtId="0" fontId="0" fillId="7" borderId="147" xfId="0" applyFill="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5" borderId="53"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127" fillId="0" borderId="54" xfId="0" applyFont="1" applyFill="1" applyBorder="1" applyAlignment="1" applyProtection="1">
      <alignment horizontal="center" vertical="center"/>
      <protection locked="0"/>
    </xf>
    <xf numFmtId="0" fontId="127" fillId="0" borderId="33" xfId="0" applyFont="1" applyFill="1" applyBorder="1" applyAlignment="1" applyProtection="1">
      <alignment horizontal="center" vertical="center"/>
      <protection locked="0"/>
    </xf>
    <xf numFmtId="0" fontId="127" fillId="6" borderId="120" xfId="0" applyFont="1" applyFill="1" applyBorder="1" applyAlignment="1" applyProtection="1">
      <alignment horizontal="center" vertical="center"/>
      <protection locked="0"/>
    </xf>
    <xf numFmtId="0" fontId="127" fillId="6" borderId="102" xfId="0" applyFont="1" applyFill="1" applyBorder="1" applyAlignment="1" applyProtection="1">
      <alignment horizontal="center" vertical="center"/>
      <protection locked="0"/>
    </xf>
    <xf numFmtId="0" fontId="201" fillId="0" borderId="139" xfId="0" applyFont="1" applyBorder="1" applyAlignment="1" applyProtection="1">
      <alignment horizontal="center" vertical="center"/>
      <protection locked="0"/>
    </xf>
    <xf numFmtId="0" fontId="201" fillId="0" borderId="140" xfId="0" applyFont="1" applyBorder="1" applyAlignment="1" applyProtection="1">
      <alignment horizontal="center" vertical="center"/>
      <protection locked="0"/>
    </xf>
    <xf numFmtId="0" fontId="0" fillId="7" borderId="139" xfId="0" applyFill="1" applyBorder="1" applyAlignment="1" applyProtection="1">
      <alignment horizontal="center" vertical="center"/>
      <protection locked="0"/>
    </xf>
    <xf numFmtId="0" fontId="0" fillId="7" borderId="140" xfId="0" applyFill="1" applyBorder="1" applyAlignment="1" applyProtection="1">
      <alignment horizontal="center" vertical="center"/>
      <protection locked="0"/>
    </xf>
    <xf numFmtId="0" fontId="140" fillId="0" borderId="0" xfId="0" applyFont="1" applyAlignment="1" applyProtection="1">
      <alignment horizontal="left" vertical="center"/>
      <protection locked="0"/>
    </xf>
    <xf numFmtId="0" fontId="140" fillId="0" borderId="22" xfId="0" applyFont="1" applyBorder="1" applyAlignment="1" applyProtection="1">
      <alignment horizontal="left" vertical="center"/>
      <protection locked="0"/>
    </xf>
    <xf numFmtId="0" fontId="201" fillId="0" borderId="141" xfId="0" applyFont="1" applyBorder="1" applyAlignment="1" applyProtection="1">
      <alignment horizontal="center" vertical="center"/>
      <protection locked="0"/>
    </xf>
    <xf numFmtId="0" fontId="201" fillId="0" borderId="142" xfId="0" applyFont="1" applyBorder="1" applyAlignment="1" applyProtection="1">
      <alignment horizontal="center" vertical="center"/>
      <protection locked="0"/>
    </xf>
    <xf numFmtId="0" fontId="0" fillId="7" borderId="47" xfId="0" applyFill="1" applyBorder="1" applyAlignment="1" applyProtection="1">
      <alignment horizontal="center" vertical="center"/>
      <protection locked="0"/>
    </xf>
    <xf numFmtId="0" fontId="0" fillId="7" borderId="143" xfId="0" applyFill="1" applyBorder="1" applyAlignment="1" applyProtection="1">
      <alignment horizontal="center" vertical="center"/>
      <protection locked="0"/>
    </xf>
    <xf numFmtId="218" fontId="0" fillId="0" borderId="0" xfId="0" applyNumberFormat="1" applyFont="1" applyAlignment="1">
      <alignment horizontal="right"/>
    </xf>
    <xf numFmtId="0" fontId="162" fillId="0" borderId="35" xfId="0" applyFont="1" applyFill="1" applyBorder="1" applyAlignment="1" applyProtection="1">
      <alignment wrapText="1"/>
      <protection/>
    </xf>
    <xf numFmtId="0" fontId="162" fillId="0" borderId="34" xfId="0" applyFont="1" applyFill="1" applyBorder="1" applyAlignment="1" applyProtection="1">
      <alignment vertical="center"/>
      <protection/>
    </xf>
    <xf numFmtId="58" fontId="162" fillId="0" borderId="34" xfId="0" applyNumberFormat="1"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9">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1153775"/>
          <a:ext cx="942975" cy="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1153775"/>
          <a:ext cx="914400" cy="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1153775"/>
          <a:ext cx="3495675" cy="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1153775"/>
          <a:ext cx="3486150" cy="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46</xdr:row>
      <xdr:rowOff>371475</xdr:rowOff>
    </xdr:from>
    <xdr:to>
      <xdr:col>7</xdr:col>
      <xdr:colOff>609600</xdr:colOff>
      <xdr:row>50</xdr:row>
      <xdr:rowOff>0</xdr:rowOff>
    </xdr:to>
    <xdr:sp>
      <xdr:nvSpPr>
        <xdr:cNvPr id="1" name="左中かっこ 1"/>
        <xdr:cNvSpPr>
          <a:spLocks/>
        </xdr:cNvSpPr>
      </xdr:nvSpPr>
      <xdr:spPr>
        <a:xfrm>
          <a:off x="7905750" y="165925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6536650" y="145827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6555700" y="145827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6574750" y="145827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374475" y="145827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393525" y="145827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47625</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412575" y="145827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24</xdr:row>
      <xdr:rowOff>0</xdr:rowOff>
    </xdr:from>
    <xdr:to>
      <xdr:col>10</xdr:col>
      <xdr:colOff>9525</xdr:colOff>
      <xdr:row>24</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4965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4965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4965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4965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4965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496550" y="8591550"/>
          <a:ext cx="9525" cy="9525"/>
        </a:xfrm>
        <a:prstGeom prst="rect">
          <a:avLst/>
        </a:prstGeom>
        <a:noFill/>
        <a:ln w="9525" cmpd="sng">
          <a:noFill/>
        </a:ln>
      </xdr:spPr>
    </xdr:pic>
    <xdr:clientData/>
  </xdr:twoCellAnchor>
  <xdr:twoCellAnchor>
    <xdr:from>
      <xdr:col>0</xdr:col>
      <xdr:colOff>76200</xdr:colOff>
      <xdr:row>24</xdr:row>
      <xdr:rowOff>0</xdr:rowOff>
    </xdr:from>
    <xdr:to>
      <xdr:col>11</xdr:col>
      <xdr:colOff>28575</xdr:colOff>
      <xdr:row>31</xdr:row>
      <xdr:rowOff>190500</xdr:rowOff>
    </xdr:to>
    <xdr:sp>
      <xdr:nvSpPr>
        <xdr:cNvPr id="7" name="テキスト ボックス 8"/>
        <xdr:cNvSpPr txBox="1">
          <a:spLocks noChangeArrowheads="1"/>
        </xdr:cNvSpPr>
      </xdr:nvSpPr>
      <xdr:spPr>
        <a:xfrm>
          <a:off x="76200" y="8591550"/>
          <a:ext cx="10848975" cy="3295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（注１）費目を使用する場合、補助事業に要する経費欄、補助対象経費欄及び補助金の額欄に数字を必ず記入してください（０円不可）。
 （注２）「一般型」の場合、機械装置費以外の経費については、総額で５００万円（税抜き）までを補助上限額とします。
 （注３）「コンパクト型」で機械装置費を計上する場合、補助対象経費で総額５０万円（税抜き）未満に限り対象とします。
 （注４） 経費区分ごとに、事業に要する経費、補助対象経費、補助金の額（補助金交付申請額）、積算基礎（補助事業に要する経費）を記入してください。
 （注５） 合計のみではなく、経費区分ごとに記載してください。
 （注６） 「補助事業に要する経費」とは、当該事業を遂行するために必要な経費を意味し、ここでは消費税を加算した税込み金額と消費税を抜いた税抜き金額を併記してください。
 （注７）「補助対象経費（税抜き）」とは、「補助事業に要する経費（税込み）」のうちで補助対象となる経費について、消費税を差し引いた金額を記載してください。
         なお、本事業で使用する汎用性があり目的外使用になり得るもの（例えば、事務用のパソコン・プリンタ・タブレット端末・スマートフォン及びデジタル複合機など）については「補助事業に要する経費（税込み）」となりますが、補助対象外であるため、「補助対象経費（税抜き）」にはなりません。
 （注８）「補助金の額（補助金交付申請額）（税抜き）」は、「補助対象経費（税抜き）」のうちで補助金の交付を希望する額で、その限度は、「補助対象経費」に補助率（２／３）を乗じた額（１円未満は切捨て）をいいます。
 （注９）「経費区分」には上限が設定（外注加工費、委託費、知的財産権等関連経費）されているものがありますのでご注意ください。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7"/>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48" t="s">
        <v>848</v>
      </c>
      <c r="D1" s="342"/>
      <c r="E1" s="342"/>
    </row>
    <row r="2" spans="2:5" ht="14.25">
      <c r="B2" s="648"/>
      <c r="D2" s="342"/>
      <c r="E2" s="342"/>
    </row>
    <row r="3" spans="2:5" ht="14.25">
      <c r="B3" t="s">
        <v>902</v>
      </c>
      <c r="C3" s="342"/>
      <c r="D3" s="342"/>
      <c r="E3" s="342"/>
    </row>
    <row r="4" spans="2:3" ht="14.25" thickBot="1">
      <c r="B4" s="649" t="s">
        <v>101</v>
      </c>
      <c r="C4" s="649" t="s">
        <v>849</v>
      </c>
    </row>
    <row r="5" spans="2:3" ht="14.25" thickTop="1">
      <c r="B5" s="650">
        <v>1</v>
      </c>
      <c r="C5" s="651" t="s">
        <v>848</v>
      </c>
    </row>
    <row r="6" spans="2:3" ht="13.5">
      <c r="B6" s="652">
        <v>2</v>
      </c>
      <c r="C6" s="653" t="s">
        <v>969</v>
      </c>
    </row>
    <row r="7" spans="2:3" ht="13.5">
      <c r="B7" s="652">
        <v>3</v>
      </c>
      <c r="C7" s="653" t="s">
        <v>970</v>
      </c>
    </row>
    <row r="8" spans="2:3" ht="13.5">
      <c r="B8" s="652">
        <v>4</v>
      </c>
      <c r="C8" s="653" t="s">
        <v>967</v>
      </c>
    </row>
    <row r="9" spans="2:3" ht="13.5">
      <c r="B9" s="652">
        <v>5</v>
      </c>
      <c r="C9" s="653" t="s">
        <v>850</v>
      </c>
    </row>
    <row r="10" spans="2:3" ht="13.5">
      <c r="B10" s="652">
        <v>6</v>
      </c>
      <c r="C10" s="653" t="s">
        <v>835</v>
      </c>
    </row>
    <row r="11" spans="2:3" ht="13.5">
      <c r="B11" s="652">
        <v>7</v>
      </c>
      <c r="C11" s="653" t="s">
        <v>782</v>
      </c>
    </row>
    <row r="12" spans="2:3" ht="13.5">
      <c r="B12" s="652">
        <v>8</v>
      </c>
      <c r="C12" s="653" t="s">
        <v>851</v>
      </c>
    </row>
    <row r="13" spans="2:3" ht="13.5">
      <c r="B13" s="652">
        <v>9</v>
      </c>
      <c r="C13" s="653" t="s">
        <v>59</v>
      </c>
    </row>
    <row r="14" spans="2:3" ht="13.5">
      <c r="B14" s="652">
        <v>10</v>
      </c>
      <c r="C14" s="653" t="s">
        <v>61</v>
      </c>
    </row>
    <row r="15" spans="2:3" ht="13.5">
      <c r="B15" s="652">
        <v>11</v>
      </c>
      <c r="C15" s="653" t="s">
        <v>60</v>
      </c>
    </row>
    <row r="16" spans="2:3" ht="13.5">
      <c r="B16" s="652">
        <v>12</v>
      </c>
      <c r="C16" s="653" t="s">
        <v>852</v>
      </c>
    </row>
    <row r="17" spans="2:3" ht="13.5">
      <c r="B17" s="652">
        <v>13</v>
      </c>
      <c r="C17" s="653" t="s">
        <v>62</v>
      </c>
    </row>
    <row r="18" spans="2:3" ht="13.5">
      <c r="B18" s="652">
        <v>14</v>
      </c>
      <c r="C18" s="653" t="s">
        <v>783</v>
      </c>
    </row>
    <row r="19" spans="2:3" ht="13.5">
      <c r="B19" s="652">
        <v>15</v>
      </c>
      <c r="C19" s="653" t="s">
        <v>853</v>
      </c>
    </row>
    <row r="20" spans="2:3" ht="13.5">
      <c r="B20" s="652">
        <v>16</v>
      </c>
      <c r="C20" s="653" t="s">
        <v>784</v>
      </c>
    </row>
    <row r="21" spans="2:3" ht="13.5" hidden="1">
      <c r="B21" s="811">
        <v>17</v>
      </c>
      <c r="C21" s="812" t="s">
        <v>854</v>
      </c>
    </row>
    <row r="22" spans="2:5" ht="13.5" hidden="1">
      <c r="B22" s="811">
        <v>18</v>
      </c>
      <c r="C22" s="812" t="s">
        <v>855</v>
      </c>
      <c r="D22" s="586"/>
      <c r="E22" s="586"/>
    </row>
    <row r="23" spans="2:5" ht="13.5" hidden="1">
      <c r="B23" s="811">
        <v>19</v>
      </c>
      <c r="C23" s="812" t="s">
        <v>856</v>
      </c>
      <c r="D23" s="586"/>
      <c r="E23" s="586"/>
    </row>
    <row r="24" spans="2:5" ht="13.5">
      <c r="B24" s="652">
        <v>17</v>
      </c>
      <c r="C24" s="795" t="s">
        <v>900</v>
      </c>
      <c r="D24" s="586"/>
      <c r="E24" s="586"/>
    </row>
    <row r="25" spans="2:5" ht="13.5">
      <c r="B25" s="652">
        <v>18</v>
      </c>
      <c r="C25" s="795" t="s">
        <v>901</v>
      </c>
      <c r="D25" s="586"/>
      <c r="E25" s="586"/>
    </row>
    <row r="26" spans="2:5" ht="13.5" hidden="1">
      <c r="B26" s="811">
        <v>22</v>
      </c>
      <c r="C26" s="812" t="s">
        <v>857</v>
      </c>
      <c r="D26" s="586"/>
      <c r="E26" s="586"/>
    </row>
    <row r="27" spans="2:5" ht="13.5" hidden="1">
      <c r="B27" s="811">
        <v>23</v>
      </c>
      <c r="C27" s="812" t="s">
        <v>858</v>
      </c>
      <c r="D27" s="586"/>
      <c r="E27" s="586"/>
    </row>
    <row r="28" spans="2:5" ht="13.5" hidden="1">
      <c r="B28" s="811">
        <v>24</v>
      </c>
      <c r="C28" s="812" t="s">
        <v>859</v>
      </c>
      <c r="D28" s="586"/>
      <c r="E28" s="586"/>
    </row>
    <row r="29" spans="2:5" ht="13.5" hidden="1">
      <c r="B29" s="811">
        <v>25</v>
      </c>
      <c r="C29" s="812" t="s">
        <v>860</v>
      </c>
      <c r="D29" s="586"/>
      <c r="E29" s="586"/>
    </row>
    <row r="30" spans="2:5" ht="13.5" hidden="1">
      <c r="B30" s="811">
        <v>26</v>
      </c>
      <c r="C30" s="812" t="s">
        <v>861</v>
      </c>
      <c r="D30" s="586"/>
      <c r="E30" s="586"/>
    </row>
    <row r="31" spans="2:5" ht="13.5" hidden="1">
      <c r="B31" s="811">
        <v>27</v>
      </c>
      <c r="C31" s="812" t="s">
        <v>862</v>
      </c>
      <c r="D31" s="586"/>
      <c r="E31" s="586"/>
    </row>
    <row r="32" spans="2:5" ht="13.5" hidden="1">
      <c r="B32" s="811">
        <v>28</v>
      </c>
      <c r="C32" s="812" t="s">
        <v>863</v>
      </c>
      <c r="D32" s="586"/>
      <c r="E32" s="586"/>
    </row>
    <row r="33" spans="2:3" ht="13.5" hidden="1">
      <c r="B33" s="811">
        <v>29</v>
      </c>
      <c r="C33" s="812" t="s">
        <v>864</v>
      </c>
    </row>
    <row r="34" spans="2:3" ht="13.5" hidden="1">
      <c r="B34" s="811">
        <v>30</v>
      </c>
      <c r="C34" s="812" t="s">
        <v>865</v>
      </c>
    </row>
    <row r="35" spans="2:3" ht="13.5" hidden="1">
      <c r="B35" s="811">
        <v>31</v>
      </c>
      <c r="C35" s="812" t="s">
        <v>866</v>
      </c>
    </row>
    <row r="36" spans="2:3" ht="13.5" hidden="1">
      <c r="B36" s="811">
        <v>32</v>
      </c>
      <c r="C36" s="812" t="s">
        <v>867</v>
      </c>
    </row>
    <row r="37" spans="2:3" ht="13.5" hidden="1">
      <c r="B37" s="811">
        <v>33</v>
      </c>
      <c r="C37" s="812" t="s">
        <v>868</v>
      </c>
    </row>
  </sheetData>
  <sheetProtection sheet="1"/>
  <hyperlinks>
    <hyperlink ref="C6" location="'基本情報入力（使い方）'!A1" display="基本情報入力（使い方）"/>
    <hyperlink ref="C7" location="経費明細表チェックリスト!A1" display="経費明細表チェックリスト"/>
    <hyperlink ref="C8" location="'様式第５の別紙　経費明細表　印刷用'!A1" display="様式第５の別紙　経費明細表　印刷用"/>
    <hyperlink ref="C9" location="日本標準産業分類!A1" display="日本標準産業分類"/>
    <hyperlink ref="C10" location="'機械装置費（50万円以上）'!A1" display="機械装置費（50万円以上）"/>
    <hyperlink ref="C11" location="'機械装置費（50万円未満）'!A1" display="機械装置費（50万円未満）"/>
    <hyperlink ref="C12" location="原材料費!A1" display="原材料費"/>
    <hyperlink ref="C13" location="技術導入費!A1" display="技術導入費"/>
    <hyperlink ref="C14" location="外注加工費!A1" display="外注加工費"/>
    <hyperlink ref="C15" location="委託費!A1" display="委託費"/>
    <hyperlink ref="C16" location="知的財産権等関連経費!A1" display="知的財産権等関連経費"/>
    <hyperlink ref="C17" location="運搬費!A1" display="運搬費"/>
    <hyperlink ref="C18" location="専門家経費!A1" display="専門家経費"/>
    <hyperlink ref="C19" location="雑役務費!A1" display="雑役務費"/>
    <hyperlink ref="C20" location="クラウド利用費!A1" display="クラウド利用費"/>
    <hyperlink ref="C21" location="対象者一覧表!A1" display="対象者一覧"/>
    <hyperlink ref="C22" location="'総労働時間算定表(1)'!A1" display="総労働時間算定表（１）"/>
    <hyperlink ref="C23" location="'総労働時間算定表(2)'!A1" display="総労働時間算定表（２）"/>
    <hyperlink ref="C24" location="'直接人件費明細書(1)'!A1" display="直接人件費明細書(1)"/>
    <hyperlink ref="C25" location="'直接人件費明細書(2)'!A1" display="直接人件費明細書(2)"/>
    <hyperlink ref="C26" location="'賃金台帳(1)'!A1" display="賃金台帳（１）"/>
    <hyperlink ref="C27" location="'賃金台帳(2)'!A1" display="賃金台帳（２）"/>
    <hyperlink ref="C28" location="'賃金台帳(3)'!A1" display="賃金台帳（３）"/>
    <hyperlink ref="C29" location="'賃金台帳(4)'!A1" display="賃金台帳（４）"/>
    <hyperlink ref="C30" location="'賃金台帳(5)'!A1" display="賃金台帳（５）"/>
    <hyperlink ref="C31" location="'賃金台帳(6)'!A1" display="賃金台帳（６）"/>
    <hyperlink ref="C32" location="'賃金台帳(7)'!A1" display="賃金台帳（７）"/>
    <hyperlink ref="C33" location="'賃金台帳(8)'!A1" display="賃金台帳（８）"/>
    <hyperlink ref="C34" location="'賃金台帳(9)'!A1" display="賃金台帳（９）"/>
    <hyperlink ref="C35" location="'賃金台帳(10)'!A1" display="賃金台帳（１０）"/>
    <hyperlink ref="C36" location="'賃金台帳(11)'!A1" display="賃金台帳（１１）"/>
    <hyperlink ref="C37"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2" customWidth="1"/>
    <col min="6" max="6" width="16.140625" style="396" customWidth="1"/>
    <col min="7" max="7" width="9.140625" style="8" customWidth="1"/>
    <col min="8" max="8" width="6.421875" style="8" customWidth="1"/>
    <col min="9" max="9" width="11.57421875" style="8" customWidth="1"/>
    <col min="10" max="10" width="11.57421875" style="418" customWidth="1"/>
    <col min="11" max="13" width="15.140625" style="8" customWidth="1"/>
    <col min="14" max="15" width="3.8515625" style="13" customWidth="1"/>
    <col min="16" max="16384" width="9.00390625" style="8" customWidth="1"/>
  </cols>
  <sheetData>
    <row r="1" spans="1:18" ht="13.5">
      <c r="A1" s="13"/>
      <c r="H1" s="13"/>
      <c r="J1" s="8"/>
      <c r="P1" s="13"/>
      <c r="Q1" s="403"/>
      <c r="R1" s="403"/>
    </row>
    <row r="2" spans="1:18" ht="13.5">
      <c r="A2" s="13"/>
      <c r="B2" s="802" t="s">
        <v>899</v>
      </c>
      <c r="H2" s="13"/>
      <c r="J2" s="8"/>
      <c r="P2" s="13"/>
      <c r="Q2" s="403"/>
      <c r="R2" s="403"/>
    </row>
    <row r="3" spans="1:18" ht="13.5">
      <c r="A3" s="13"/>
      <c r="H3" s="13"/>
      <c r="J3" s="8"/>
      <c r="P3" s="13"/>
      <c r="Q3" s="403"/>
      <c r="R3" s="403"/>
    </row>
    <row r="4" spans="1:6" ht="13.5" customHeight="1">
      <c r="A4" s="972" t="s">
        <v>976</v>
      </c>
      <c r="B4" s="972"/>
      <c r="C4" s="972"/>
      <c r="D4" s="972"/>
      <c r="E4" s="972"/>
      <c r="F4" s="13"/>
    </row>
    <row r="5" spans="1:14" ht="13.5" customHeight="1">
      <c r="A5" s="80"/>
      <c r="B5" s="80"/>
      <c r="C5" s="80"/>
      <c r="D5" s="80"/>
      <c r="E5" s="430"/>
      <c r="F5" s="13"/>
      <c r="N5" s="80"/>
    </row>
    <row r="6" spans="1:14" ht="13.5" customHeight="1">
      <c r="A6" s="80"/>
      <c r="B6" s="80" t="s">
        <v>29</v>
      </c>
      <c r="C6" s="404" t="s">
        <v>33</v>
      </c>
      <c r="D6" s="80"/>
      <c r="E6" s="430"/>
      <c r="F6" s="405" t="s">
        <v>28</v>
      </c>
      <c r="N6" s="80"/>
    </row>
    <row r="7" spans="1:14" ht="13.5" customHeight="1">
      <c r="A7" s="80"/>
      <c r="B7" s="80"/>
      <c r="C7" s="80"/>
      <c r="D7" s="80"/>
      <c r="E7" s="430"/>
      <c r="F7" s="566" t="s">
        <v>61</v>
      </c>
      <c r="N7" s="80"/>
    </row>
    <row r="8" spans="1:15" ht="13.5" customHeight="1">
      <c r="A8" s="80"/>
      <c r="B8" s="80"/>
      <c r="C8" s="80"/>
      <c r="D8" s="80"/>
      <c r="E8" s="430"/>
      <c r="F8" s="13"/>
      <c r="M8" s="8" t="s">
        <v>37</v>
      </c>
      <c r="N8" s="80"/>
      <c r="O8" s="406"/>
    </row>
    <row r="9" spans="1:14" ht="13.5" customHeight="1">
      <c r="A9" s="407"/>
      <c r="F9" s="13"/>
      <c r="K9" s="9" t="s">
        <v>114</v>
      </c>
      <c r="L9" s="45" t="str">
        <f>IF('基本情報入力（使い方）'!$C$10="","",'基本情報入力（使い方）'!$C$10)</f>
        <v>Ｂ金属株式会社</v>
      </c>
      <c r="N9" s="80"/>
    </row>
    <row r="10" spans="1:14" ht="13.5" customHeight="1" thickBot="1">
      <c r="A10" s="407"/>
      <c r="F10" s="13"/>
      <c r="N10" s="80"/>
    </row>
    <row r="11" spans="1:15" ht="27" customHeight="1">
      <c r="A11" s="973" t="s">
        <v>13</v>
      </c>
      <c r="B11" s="960" t="s">
        <v>14</v>
      </c>
      <c r="C11" s="960"/>
      <c r="D11" s="961"/>
      <c r="E11" s="431" t="s">
        <v>15</v>
      </c>
      <c r="F11" s="10" t="s">
        <v>16</v>
      </c>
      <c r="G11" s="10" t="s">
        <v>17</v>
      </c>
      <c r="H11" s="10" t="s">
        <v>18</v>
      </c>
      <c r="I11" s="10" t="s">
        <v>7</v>
      </c>
      <c r="J11" s="419" t="s">
        <v>7</v>
      </c>
      <c r="K11" s="977" t="s">
        <v>19</v>
      </c>
      <c r="L11" s="961"/>
      <c r="M11" s="399" t="s">
        <v>20</v>
      </c>
      <c r="N11" s="962" t="s">
        <v>13</v>
      </c>
      <c r="O11" s="964" t="s">
        <v>132</v>
      </c>
    </row>
    <row r="12" spans="1:15" ht="42" customHeight="1" thickBot="1">
      <c r="A12" s="974"/>
      <c r="B12" s="409" t="s">
        <v>21</v>
      </c>
      <c r="C12" s="409" t="s">
        <v>22</v>
      </c>
      <c r="D12" s="410" t="s">
        <v>23</v>
      </c>
      <c r="E12" s="432"/>
      <c r="F12" s="412"/>
      <c r="G12" s="397"/>
      <c r="H12" s="397"/>
      <c r="I12" s="397" t="s">
        <v>24</v>
      </c>
      <c r="J12" s="421" t="s">
        <v>41</v>
      </c>
      <c r="K12" s="397" t="s">
        <v>25</v>
      </c>
      <c r="L12" s="11" t="s">
        <v>39</v>
      </c>
      <c r="M12" s="11" t="s">
        <v>26</v>
      </c>
      <c r="N12" s="963"/>
      <c r="O12" s="965"/>
    </row>
    <row r="13" spans="1:15" ht="30.75" customHeight="1">
      <c r="A13" s="85">
        <v>1</v>
      </c>
      <c r="B13" s="966"/>
      <c r="C13" s="967"/>
      <c r="D13" s="967"/>
      <c r="E13" s="378"/>
      <c r="F13" s="379"/>
      <c r="G13" s="690"/>
      <c r="H13" s="680"/>
      <c r="I13" s="662">
        <f>IF(J13="","",ROUNDDOWN(J13*(1+O13/100),0))</f>
      </c>
      <c r="J13" s="664"/>
      <c r="K13" s="662">
        <f>IF(L13="","",ROUNDDOWN(L13*(1+O13/100),0))</f>
      </c>
      <c r="L13" s="662">
        <f>IF(OR(J13="",G13=""),"",ROUNDDOWN(J13*G13,0))</f>
      </c>
      <c r="M13" s="663">
        <f aca="true" t="shared" si="0" ref="M13:M32">L13</f>
      </c>
      <c r="N13" s="81">
        <v>1</v>
      </c>
      <c r="O13" s="433">
        <v>8</v>
      </c>
    </row>
    <row r="14" spans="1:15" ht="30.75" customHeight="1">
      <c r="A14" s="86">
        <v>2</v>
      </c>
      <c r="B14" s="966"/>
      <c r="C14" s="967"/>
      <c r="D14" s="967"/>
      <c r="E14" s="380"/>
      <c r="F14" s="379"/>
      <c r="G14" s="690"/>
      <c r="H14" s="680"/>
      <c r="I14" s="662">
        <f aca="true" t="shared" si="1" ref="I14:I32">IF(J14="","",ROUNDDOWN(J14*(1+O14/100),0))</f>
      </c>
      <c r="J14" s="664"/>
      <c r="K14" s="662">
        <f aca="true" t="shared" si="2" ref="K14:K32">IF(L14="","",ROUNDDOWN(L14*(1+O14/100),0))</f>
      </c>
      <c r="L14" s="662">
        <f aca="true" t="shared" si="3" ref="L14:L32">IF(OR(J14="",G14=""),"",ROUNDDOWN(J14*G14,0))</f>
      </c>
      <c r="M14" s="663">
        <f t="shared" si="0"/>
      </c>
      <c r="N14" s="82">
        <v>2</v>
      </c>
      <c r="O14" s="433">
        <v>8</v>
      </c>
    </row>
    <row r="15" spans="1:15" ht="30.75" customHeight="1">
      <c r="A15" s="85">
        <v>3</v>
      </c>
      <c r="B15" s="966"/>
      <c r="C15" s="967"/>
      <c r="D15" s="967"/>
      <c r="E15" s="380"/>
      <c r="F15" s="380"/>
      <c r="G15" s="690"/>
      <c r="H15" s="680"/>
      <c r="I15" s="662">
        <f t="shared" si="1"/>
      </c>
      <c r="J15" s="664"/>
      <c r="K15" s="662">
        <f t="shared" si="2"/>
      </c>
      <c r="L15" s="662">
        <f t="shared" si="3"/>
      </c>
      <c r="M15" s="663">
        <f t="shared" si="0"/>
      </c>
      <c r="N15" s="81">
        <v>3</v>
      </c>
      <c r="O15" s="433">
        <v>8</v>
      </c>
    </row>
    <row r="16" spans="1:15" s="77" customFormat="1" ht="30.75" customHeight="1">
      <c r="A16" s="86">
        <v>4</v>
      </c>
      <c r="B16" s="966"/>
      <c r="C16" s="967"/>
      <c r="D16" s="967"/>
      <c r="E16" s="380"/>
      <c r="F16" s="380"/>
      <c r="G16" s="690"/>
      <c r="H16" s="680"/>
      <c r="I16" s="662">
        <f t="shared" si="1"/>
      </c>
      <c r="J16" s="664"/>
      <c r="K16" s="662">
        <f t="shared" si="2"/>
      </c>
      <c r="L16" s="662">
        <f t="shared" si="3"/>
      </c>
      <c r="M16" s="663">
        <f t="shared" si="0"/>
      </c>
      <c r="N16" s="87">
        <v>4</v>
      </c>
      <c r="O16" s="433">
        <v>8</v>
      </c>
    </row>
    <row r="17" spans="1:15" s="77" customFormat="1" ht="30.75" customHeight="1">
      <c r="A17" s="85">
        <v>5</v>
      </c>
      <c r="B17" s="966"/>
      <c r="C17" s="967"/>
      <c r="D17" s="967"/>
      <c r="E17" s="380"/>
      <c r="F17" s="380"/>
      <c r="G17" s="690"/>
      <c r="H17" s="680"/>
      <c r="I17" s="662">
        <f t="shared" si="1"/>
      </c>
      <c r="J17" s="664"/>
      <c r="K17" s="662">
        <f t="shared" si="2"/>
      </c>
      <c r="L17" s="662">
        <f t="shared" si="3"/>
      </c>
      <c r="M17" s="663">
        <f t="shared" si="0"/>
      </c>
      <c r="N17" s="88">
        <v>5</v>
      </c>
      <c r="O17" s="433">
        <v>8</v>
      </c>
    </row>
    <row r="18" spans="1:15" ht="30.75" customHeight="1">
      <c r="A18" s="86">
        <v>6</v>
      </c>
      <c r="B18" s="966"/>
      <c r="C18" s="967"/>
      <c r="D18" s="967"/>
      <c r="E18" s="380"/>
      <c r="F18" s="380"/>
      <c r="G18" s="690"/>
      <c r="H18" s="680"/>
      <c r="I18" s="662">
        <f t="shared" si="1"/>
      </c>
      <c r="J18" s="664"/>
      <c r="K18" s="662">
        <f t="shared" si="2"/>
      </c>
      <c r="L18" s="662">
        <f t="shared" si="3"/>
      </c>
      <c r="M18" s="663">
        <f t="shared" si="0"/>
      </c>
      <c r="N18" s="82">
        <v>6</v>
      </c>
      <c r="O18" s="433">
        <v>8</v>
      </c>
    </row>
    <row r="19" spans="1:15" ht="30.75" customHeight="1">
      <c r="A19" s="85">
        <v>7</v>
      </c>
      <c r="B19" s="966"/>
      <c r="C19" s="967"/>
      <c r="D19" s="967"/>
      <c r="E19" s="380"/>
      <c r="F19" s="415"/>
      <c r="G19" s="690"/>
      <c r="H19" s="680"/>
      <c r="I19" s="662">
        <f t="shared" si="1"/>
      </c>
      <c r="J19" s="664"/>
      <c r="K19" s="662">
        <f t="shared" si="2"/>
      </c>
      <c r="L19" s="662">
        <f t="shared" si="3"/>
      </c>
      <c r="M19" s="663">
        <f t="shared" si="0"/>
      </c>
      <c r="N19" s="81">
        <v>7</v>
      </c>
      <c r="O19" s="433">
        <v>8</v>
      </c>
    </row>
    <row r="20" spans="1:15" ht="30.75" customHeight="1">
      <c r="A20" s="86">
        <v>8</v>
      </c>
      <c r="B20" s="966"/>
      <c r="C20" s="967"/>
      <c r="D20" s="967"/>
      <c r="E20" s="380"/>
      <c r="F20" s="380"/>
      <c r="G20" s="690"/>
      <c r="H20" s="680"/>
      <c r="I20" s="662">
        <f t="shared" si="1"/>
      </c>
      <c r="J20" s="664"/>
      <c r="K20" s="662">
        <f t="shared" si="2"/>
      </c>
      <c r="L20" s="662">
        <f t="shared" si="3"/>
      </c>
      <c r="M20" s="663">
        <f t="shared" si="0"/>
      </c>
      <c r="N20" s="82">
        <v>8</v>
      </c>
      <c r="O20" s="433">
        <v>8</v>
      </c>
    </row>
    <row r="21" spans="1:15" ht="30.75" customHeight="1">
      <c r="A21" s="85">
        <v>9</v>
      </c>
      <c r="B21" s="966"/>
      <c r="C21" s="967"/>
      <c r="D21" s="967"/>
      <c r="E21" s="380"/>
      <c r="F21" s="380"/>
      <c r="G21" s="690"/>
      <c r="H21" s="680"/>
      <c r="I21" s="662">
        <f t="shared" si="1"/>
      </c>
      <c r="J21" s="664"/>
      <c r="K21" s="662">
        <f t="shared" si="2"/>
      </c>
      <c r="L21" s="662">
        <f t="shared" si="3"/>
      </c>
      <c r="M21" s="663">
        <f t="shared" si="0"/>
      </c>
      <c r="N21" s="81">
        <v>9</v>
      </c>
      <c r="O21" s="433">
        <v>8</v>
      </c>
    </row>
    <row r="22" spans="1:15" ht="30.75" customHeight="1">
      <c r="A22" s="86">
        <v>10</v>
      </c>
      <c r="B22" s="966"/>
      <c r="C22" s="967"/>
      <c r="D22" s="967"/>
      <c r="E22" s="380"/>
      <c r="F22" s="380"/>
      <c r="G22" s="690"/>
      <c r="H22" s="680"/>
      <c r="I22" s="662">
        <f t="shared" si="1"/>
      </c>
      <c r="J22" s="664"/>
      <c r="K22" s="662">
        <f t="shared" si="2"/>
      </c>
      <c r="L22" s="662">
        <f t="shared" si="3"/>
      </c>
      <c r="M22" s="663">
        <f t="shared" si="0"/>
      </c>
      <c r="N22" s="82">
        <v>10</v>
      </c>
      <c r="O22" s="433">
        <v>8</v>
      </c>
    </row>
    <row r="23" spans="1:16" ht="30.75" customHeight="1">
      <c r="A23" s="85">
        <v>11</v>
      </c>
      <c r="B23" s="966"/>
      <c r="C23" s="967"/>
      <c r="D23" s="967"/>
      <c r="E23" s="380"/>
      <c r="F23" s="380"/>
      <c r="G23" s="690"/>
      <c r="H23" s="680"/>
      <c r="I23" s="662">
        <f t="shared" si="1"/>
      </c>
      <c r="J23" s="664"/>
      <c r="K23" s="662">
        <f t="shared" si="2"/>
      </c>
      <c r="L23" s="662">
        <f t="shared" si="3"/>
      </c>
      <c r="M23" s="663">
        <f t="shared" si="0"/>
      </c>
      <c r="N23" s="81">
        <v>11</v>
      </c>
      <c r="O23" s="433">
        <v>8</v>
      </c>
      <c r="P23" s="403"/>
    </row>
    <row r="24" spans="1:15" ht="30.75" customHeight="1">
      <c r="A24" s="86">
        <v>12</v>
      </c>
      <c r="B24" s="966"/>
      <c r="C24" s="967"/>
      <c r="D24" s="967"/>
      <c r="E24" s="380"/>
      <c r="F24" s="380"/>
      <c r="G24" s="690"/>
      <c r="H24" s="680"/>
      <c r="I24" s="662">
        <f t="shared" si="1"/>
      </c>
      <c r="J24" s="664"/>
      <c r="K24" s="662">
        <f t="shared" si="2"/>
      </c>
      <c r="L24" s="662">
        <f t="shared" si="3"/>
      </c>
      <c r="M24" s="663">
        <f t="shared" si="0"/>
      </c>
      <c r="N24" s="82">
        <v>12</v>
      </c>
      <c r="O24" s="433">
        <v>8</v>
      </c>
    </row>
    <row r="25" spans="1:15" ht="30.75" customHeight="1">
      <c r="A25" s="85">
        <v>13</v>
      </c>
      <c r="B25" s="966"/>
      <c r="C25" s="967"/>
      <c r="D25" s="967"/>
      <c r="E25" s="380"/>
      <c r="F25" s="380"/>
      <c r="G25" s="690"/>
      <c r="H25" s="680"/>
      <c r="I25" s="662">
        <f t="shared" si="1"/>
      </c>
      <c r="J25" s="664"/>
      <c r="K25" s="662">
        <f t="shared" si="2"/>
      </c>
      <c r="L25" s="662">
        <f t="shared" si="3"/>
      </c>
      <c r="M25" s="663">
        <f t="shared" si="0"/>
      </c>
      <c r="N25" s="81">
        <v>13</v>
      </c>
      <c r="O25" s="433">
        <v>8</v>
      </c>
    </row>
    <row r="26" spans="1:15" ht="30.75" customHeight="1">
      <c r="A26" s="86">
        <v>14</v>
      </c>
      <c r="B26" s="966"/>
      <c r="C26" s="967"/>
      <c r="D26" s="967"/>
      <c r="E26" s="381"/>
      <c r="F26" s="380"/>
      <c r="G26" s="690"/>
      <c r="H26" s="680"/>
      <c r="I26" s="662">
        <f t="shared" si="1"/>
      </c>
      <c r="J26" s="664"/>
      <c r="K26" s="662">
        <f t="shared" si="2"/>
      </c>
      <c r="L26" s="662">
        <f t="shared" si="3"/>
      </c>
      <c r="M26" s="663">
        <f t="shared" si="0"/>
      </c>
      <c r="N26" s="82">
        <v>14</v>
      </c>
      <c r="O26" s="433">
        <v>8</v>
      </c>
    </row>
    <row r="27" spans="1:15" ht="30.75" customHeight="1">
      <c r="A27" s="85">
        <v>15</v>
      </c>
      <c r="B27" s="966"/>
      <c r="C27" s="967"/>
      <c r="D27" s="967"/>
      <c r="E27" s="381"/>
      <c r="F27" s="380"/>
      <c r="G27" s="690"/>
      <c r="H27" s="680"/>
      <c r="I27" s="662">
        <f t="shared" si="1"/>
      </c>
      <c r="J27" s="664"/>
      <c r="K27" s="662">
        <f t="shared" si="2"/>
      </c>
      <c r="L27" s="662">
        <f t="shared" si="3"/>
      </c>
      <c r="M27" s="663">
        <f t="shared" si="0"/>
      </c>
      <c r="N27" s="81">
        <v>15</v>
      </c>
      <c r="O27" s="433">
        <v>8</v>
      </c>
    </row>
    <row r="28" spans="1:15" ht="30.75" customHeight="1">
      <c r="A28" s="86">
        <v>16</v>
      </c>
      <c r="B28" s="966"/>
      <c r="C28" s="967"/>
      <c r="D28" s="967"/>
      <c r="E28" s="380"/>
      <c r="F28" s="380"/>
      <c r="G28" s="690"/>
      <c r="H28" s="680"/>
      <c r="I28" s="662">
        <f t="shared" si="1"/>
      </c>
      <c r="J28" s="664"/>
      <c r="K28" s="662">
        <f t="shared" si="2"/>
      </c>
      <c r="L28" s="662">
        <f t="shared" si="3"/>
      </c>
      <c r="M28" s="663">
        <f t="shared" si="0"/>
      </c>
      <c r="N28" s="82">
        <v>16</v>
      </c>
      <c r="O28" s="433">
        <v>8</v>
      </c>
    </row>
    <row r="29" spans="1:15" ht="30.75" customHeight="1">
      <c r="A29" s="85">
        <v>17</v>
      </c>
      <c r="B29" s="966"/>
      <c r="C29" s="967"/>
      <c r="D29" s="967"/>
      <c r="E29" s="380"/>
      <c r="F29" s="380"/>
      <c r="G29" s="690"/>
      <c r="H29" s="680"/>
      <c r="I29" s="662">
        <f t="shared" si="1"/>
      </c>
      <c r="J29" s="664"/>
      <c r="K29" s="662">
        <f t="shared" si="2"/>
      </c>
      <c r="L29" s="662">
        <f t="shared" si="3"/>
      </c>
      <c r="M29" s="663">
        <f t="shared" si="0"/>
      </c>
      <c r="N29" s="81">
        <v>17</v>
      </c>
      <c r="O29" s="433">
        <v>8</v>
      </c>
    </row>
    <row r="30" spans="1:15" ht="30.75" customHeight="1">
      <c r="A30" s="86">
        <v>18</v>
      </c>
      <c r="B30" s="966"/>
      <c r="C30" s="967"/>
      <c r="D30" s="967"/>
      <c r="E30" s="380"/>
      <c r="F30" s="380"/>
      <c r="G30" s="690"/>
      <c r="H30" s="680"/>
      <c r="I30" s="662">
        <f t="shared" si="1"/>
      </c>
      <c r="J30" s="664"/>
      <c r="K30" s="662">
        <f t="shared" si="2"/>
      </c>
      <c r="L30" s="662">
        <f t="shared" si="3"/>
      </c>
      <c r="M30" s="663">
        <f t="shared" si="0"/>
      </c>
      <c r="N30" s="82">
        <v>18</v>
      </c>
      <c r="O30" s="433">
        <v>8</v>
      </c>
    </row>
    <row r="31" spans="1:15" ht="30.75" customHeight="1">
      <c r="A31" s="85">
        <v>19</v>
      </c>
      <c r="B31" s="966"/>
      <c r="C31" s="967"/>
      <c r="D31" s="967"/>
      <c r="E31" s="381"/>
      <c r="F31" s="380"/>
      <c r="G31" s="690"/>
      <c r="H31" s="680"/>
      <c r="I31" s="662">
        <f t="shared" si="1"/>
      </c>
      <c r="J31" s="664"/>
      <c r="K31" s="662">
        <f t="shared" si="2"/>
      </c>
      <c r="L31" s="662">
        <f t="shared" si="3"/>
      </c>
      <c r="M31" s="663">
        <f t="shared" si="0"/>
      </c>
      <c r="N31" s="81">
        <v>19</v>
      </c>
      <c r="O31" s="433">
        <v>8</v>
      </c>
    </row>
    <row r="32" spans="1:15" ht="30.75" customHeight="1" thickBot="1">
      <c r="A32" s="149">
        <v>20</v>
      </c>
      <c r="B32" s="975"/>
      <c r="C32" s="976"/>
      <c r="D32" s="976"/>
      <c r="E32" s="384"/>
      <c r="F32" s="384"/>
      <c r="G32" s="693"/>
      <c r="H32" s="682"/>
      <c r="I32" s="665">
        <f t="shared" si="1"/>
      </c>
      <c r="J32" s="666"/>
      <c r="K32" s="665">
        <f t="shared" si="2"/>
      </c>
      <c r="L32" s="665">
        <f t="shared" si="3"/>
      </c>
      <c r="M32" s="667">
        <f t="shared" si="0"/>
      </c>
      <c r="N32" s="150">
        <v>20</v>
      </c>
      <c r="O32" s="434">
        <v>8</v>
      </c>
    </row>
    <row r="33" spans="1:14" ht="21" customHeight="1" thickBot="1">
      <c r="A33" s="968" t="s">
        <v>27</v>
      </c>
      <c r="B33" s="969"/>
      <c r="C33" s="969"/>
      <c r="D33" s="969"/>
      <c r="E33" s="969"/>
      <c r="F33" s="969"/>
      <c r="G33" s="969"/>
      <c r="H33" s="969"/>
      <c r="I33" s="969"/>
      <c r="J33" s="89"/>
      <c r="K33" s="674">
        <f>SUM(K13:K32)</f>
        <v>0</v>
      </c>
      <c r="L33" s="674">
        <f>SUM(L13:L32)</f>
        <v>0</v>
      </c>
      <c r="M33" s="675">
        <f>SUM(M13:M32)</f>
        <v>0</v>
      </c>
      <c r="N33" s="83"/>
    </row>
    <row r="34" spans="1:14" ht="13.5" customHeight="1">
      <c r="A34" s="407"/>
      <c r="N34" s="80"/>
    </row>
    <row r="35" spans="2:14" ht="13.5" customHeight="1">
      <c r="B35" s="8" t="s">
        <v>34</v>
      </c>
      <c r="D35" s="407"/>
      <c r="E35" s="396" t="s">
        <v>115</v>
      </c>
      <c r="N35" s="80"/>
    </row>
    <row r="36" spans="1:15" s="396" customFormat="1" ht="13.5" customHeight="1">
      <c r="A36" s="8"/>
      <c r="B36" s="8"/>
      <c r="C36" s="8"/>
      <c r="D36" s="8"/>
      <c r="E36" s="396" t="s">
        <v>116</v>
      </c>
      <c r="G36" s="8"/>
      <c r="H36" s="8"/>
      <c r="I36" s="8"/>
      <c r="J36" s="418"/>
      <c r="K36" s="8"/>
      <c r="L36" s="8"/>
      <c r="M36" s="8"/>
      <c r="N36" s="84"/>
      <c r="O36" s="13"/>
    </row>
    <row r="37" spans="1:15" s="396" customFormat="1" ht="13.5" customHeight="1">
      <c r="A37" s="8"/>
      <c r="B37" s="8" t="s">
        <v>35</v>
      </c>
      <c r="C37" s="8"/>
      <c r="D37" s="8"/>
      <c r="E37" s="396" t="s">
        <v>117</v>
      </c>
      <c r="G37" s="8"/>
      <c r="H37" s="8"/>
      <c r="I37" s="8"/>
      <c r="J37" s="418"/>
      <c r="K37" s="8"/>
      <c r="L37" s="8"/>
      <c r="M37" s="8"/>
      <c r="N37" s="13"/>
      <c r="O37" s="13"/>
    </row>
    <row r="38" spans="1:15" s="396" customFormat="1" ht="13.5" customHeight="1">
      <c r="A38" s="8"/>
      <c r="B38" s="8" t="s">
        <v>36</v>
      </c>
      <c r="C38" s="8"/>
      <c r="D38" s="8"/>
      <c r="E38" s="396" t="s">
        <v>118</v>
      </c>
      <c r="G38" s="8"/>
      <c r="H38" s="8"/>
      <c r="I38" s="8"/>
      <c r="J38" s="418"/>
      <c r="K38" s="8"/>
      <c r="L38" s="8"/>
      <c r="M38" s="8"/>
      <c r="N38" s="13"/>
      <c r="O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6"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2"/>
      <c r="H1" s="13"/>
      <c r="P1" s="13"/>
      <c r="Q1" s="403"/>
      <c r="R1" s="403"/>
    </row>
    <row r="2" spans="1:18" ht="13.5">
      <c r="A2" s="13"/>
      <c r="B2" s="802" t="s">
        <v>899</v>
      </c>
      <c r="E2" s="402"/>
      <c r="H2" s="13"/>
      <c r="P2" s="13"/>
      <c r="Q2" s="403"/>
      <c r="R2" s="403"/>
    </row>
    <row r="3" spans="1:18" ht="13.5">
      <c r="A3" s="13"/>
      <c r="E3" s="402"/>
      <c r="H3" s="13"/>
      <c r="P3" s="13"/>
      <c r="Q3" s="403"/>
      <c r="R3" s="403"/>
    </row>
    <row r="4" spans="1:6" ht="13.5" customHeight="1">
      <c r="A4" s="972" t="s">
        <v>973</v>
      </c>
      <c r="B4" s="972"/>
      <c r="C4" s="972"/>
      <c r="D4" s="972"/>
      <c r="E4" s="972"/>
      <c r="F4" s="13"/>
    </row>
    <row r="5" spans="1:14" ht="13.5" customHeight="1">
      <c r="A5" s="80"/>
      <c r="B5" s="80"/>
      <c r="C5" s="80"/>
      <c r="D5" s="80"/>
      <c r="E5" s="404"/>
      <c r="F5" s="13"/>
      <c r="N5" s="80"/>
    </row>
    <row r="6" spans="1:14" ht="13.5" customHeight="1">
      <c r="A6" s="80"/>
      <c r="B6" s="80" t="s">
        <v>29</v>
      </c>
      <c r="C6" s="404" t="s">
        <v>33</v>
      </c>
      <c r="D6" s="80"/>
      <c r="E6" s="404"/>
      <c r="F6" s="405" t="s">
        <v>28</v>
      </c>
      <c r="N6" s="80"/>
    </row>
    <row r="7" spans="1:14" ht="13.5" customHeight="1">
      <c r="A7" s="80"/>
      <c r="B7" s="80"/>
      <c r="C7" s="80"/>
      <c r="D7" s="80"/>
      <c r="E7" s="404"/>
      <c r="F7" s="566" t="s">
        <v>60</v>
      </c>
      <c r="N7" s="404"/>
    </row>
    <row r="8" spans="1:15" ht="13.5" customHeight="1">
      <c r="A8" s="80"/>
      <c r="B8" s="80"/>
      <c r="C8" s="80"/>
      <c r="D8" s="80"/>
      <c r="E8" s="404"/>
      <c r="F8" s="13"/>
      <c r="M8" s="8" t="s">
        <v>37</v>
      </c>
      <c r="N8" s="80"/>
      <c r="O8" s="406"/>
    </row>
    <row r="9" spans="1:14" ht="13.5" customHeight="1">
      <c r="A9" s="407"/>
      <c r="F9" s="13"/>
      <c r="I9" s="9" t="s">
        <v>669</v>
      </c>
      <c r="J9" s="396" t="str">
        <f>IF('基本情報入力（使い方）'!$C$10="","",'基本情報入力（使い方）'!$C$10)</f>
        <v>Ｂ金属株式会社</v>
      </c>
      <c r="K9" s="9"/>
      <c r="L9" s="45"/>
      <c r="M9" s="340"/>
      <c r="N9" s="80"/>
    </row>
    <row r="10" spans="1:14" ht="13.5" customHeight="1" thickBot="1">
      <c r="A10" s="407"/>
      <c r="F10" s="13"/>
      <c r="N10" s="80"/>
    </row>
    <row r="11" spans="1:15" ht="27" customHeight="1">
      <c r="A11" s="973" t="s">
        <v>13</v>
      </c>
      <c r="B11" s="960" t="s">
        <v>14</v>
      </c>
      <c r="C11" s="960"/>
      <c r="D11" s="961"/>
      <c r="E11" s="10" t="s">
        <v>15</v>
      </c>
      <c r="F11" s="10" t="s">
        <v>16</v>
      </c>
      <c r="G11" s="10" t="s">
        <v>17</v>
      </c>
      <c r="H11" s="10" t="s">
        <v>18</v>
      </c>
      <c r="I11" s="10" t="s">
        <v>7</v>
      </c>
      <c r="J11" s="10" t="s">
        <v>7</v>
      </c>
      <c r="K11" s="977" t="s">
        <v>19</v>
      </c>
      <c r="L11" s="961"/>
      <c r="M11" s="399" t="s">
        <v>20</v>
      </c>
      <c r="N11" s="962" t="s">
        <v>13</v>
      </c>
      <c r="O11" s="964" t="s">
        <v>132</v>
      </c>
    </row>
    <row r="12" spans="1:15" ht="42" customHeight="1" thickBot="1">
      <c r="A12" s="974"/>
      <c r="B12" s="409" t="s">
        <v>21</v>
      </c>
      <c r="C12" s="409" t="s">
        <v>22</v>
      </c>
      <c r="D12" s="410" t="s">
        <v>23</v>
      </c>
      <c r="E12" s="411"/>
      <c r="F12" s="412"/>
      <c r="G12" s="397"/>
      <c r="H12" s="397"/>
      <c r="I12" s="397" t="s">
        <v>24</v>
      </c>
      <c r="J12" s="397" t="s">
        <v>41</v>
      </c>
      <c r="K12" s="397" t="s">
        <v>25</v>
      </c>
      <c r="L12" s="11" t="s">
        <v>39</v>
      </c>
      <c r="M12" s="11" t="s">
        <v>26</v>
      </c>
      <c r="N12" s="963"/>
      <c r="O12" s="965"/>
    </row>
    <row r="13" spans="1:15" ht="30.75" customHeight="1">
      <c r="A13" s="85">
        <v>1</v>
      </c>
      <c r="B13" s="970"/>
      <c r="C13" s="971"/>
      <c r="D13" s="971"/>
      <c r="E13" s="413" t="s">
        <v>927</v>
      </c>
      <c r="F13" s="379" t="s">
        <v>928</v>
      </c>
      <c r="G13" s="690">
        <v>1</v>
      </c>
      <c r="H13" s="680" t="s">
        <v>926</v>
      </c>
      <c r="I13" s="662">
        <f>IF(J13="","",ROUNDDOWN(J13*(1+O13/100),0))</f>
        <v>583200</v>
      </c>
      <c r="J13" s="664">
        <v>540000</v>
      </c>
      <c r="K13" s="662">
        <f>IF(L13="","",ROUNDDOWN(L13*(1+O13/100),0))</f>
        <v>583200</v>
      </c>
      <c r="L13" s="662">
        <f>IF(OR(J13="",G13=""),"",ROUNDDOWN(J13*G13,0))</f>
        <v>540000</v>
      </c>
      <c r="M13" s="672">
        <f aca="true" t="shared" si="0" ref="M13:M32">L13</f>
        <v>540000</v>
      </c>
      <c r="N13" s="425">
        <v>1</v>
      </c>
      <c r="O13" s="426">
        <v>8</v>
      </c>
    </row>
    <row r="14" spans="1:15" ht="30.75" customHeight="1">
      <c r="A14" s="86">
        <v>2</v>
      </c>
      <c r="B14" s="966"/>
      <c r="C14" s="967"/>
      <c r="D14" s="967"/>
      <c r="E14" s="414"/>
      <c r="F14" s="380"/>
      <c r="G14" s="690"/>
      <c r="H14" s="680"/>
      <c r="I14" s="662">
        <f aca="true" t="shared" si="1" ref="I14:I32">IF(J14="","",ROUNDDOWN(J14*(1+O14/100),0))</f>
      </c>
      <c r="J14" s="664"/>
      <c r="K14" s="662">
        <f aca="true" t="shared" si="2" ref="K14:K32">IF(L14="","",ROUNDDOWN(L14*(1+O14/100),0))</f>
      </c>
      <c r="L14" s="662">
        <f aca="true" t="shared" si="3" ref="L14:L32">IF(OR(J14="",G14=""),"",ROUNDDOWN(J14*G14,0))</f>
      </c>
      <c r="M14" s="672">
        <f t="shared" si="0"/>
      </c>
      <c r="N14" s="427">
        <v>2</v>
      </c>
      <c r="O14" s="426">
        <v>8</v>
      </c>
    </row>
    <row r="15" spans="1:15" ht="30.75" customHeight="1">
      <c r="A15" s="86">
        <v>3</v>
      </c>
      <c r="B15" s="966"/>
      <c r="C15" s="967"/>
      <c r="D15" s="967"/>
      <c r="E15" s="414"/>
      <c r="F15" s="380"/>
      <c r="G15" s="690"/>
      <c r="H15" s="680"/>
      <c r="I15" s="662">
        <f t="shared" si="1"/>
      </c>
      <c r="J15" s="664"/>
      <c r="K15" s="662">
        <f t="shared" si="2"/>
      </c>
      <c r="L15" s="662">
        <f t="shared" si="3"/>
      </c>
      <c r="M15" s="672">
        <f t="shared" si="0"/>
      </c>
      <c r="N15" s="425">
        <v>3</v>
      </c>
      <c r="O15" s="426">
        <v>8</v>
      </c>
    </row>
    <row r="16" spans="1:15" ht="30.75" customHeight="1">
      <c r="A16" s="86">
        <v>4</v>
      </c>
      <c r="B16" s="966"/>
      <c r="C16" s="967"/>
      <c r="D16" s="967"/>
      <c r="E16" s="414"/>
      <c r="F16" s="380"/>
      <c r="G16" s="690"/>
      <c r="H16" s="680"/>
      <c r="I16" s="662">
        <f t="shared" si="1"/>
      </c>
      <c r="J16" s="664"/>
      <c r="K16" s="662">
        <f t="shared" si="2"/>
      </c>
      <c r="L16" s="662">
        <f t="shared" si="3"/>
      </c>
      <c r="M16" s="672">
        <f t="shared" si="0"/>
      </c>
      <c r="N16" s="427">
        <v>4</v>
      </c>
      <c r="O16" s="426">
        <v>8</v>
      </c>
    </row>
    <row r="17" spans="1:15" ht="30.75" customHeight="1">
      <c r="A17" s="86">
        <v>5</v>
      </c>
      <c r="B17" s="966"/>
      <c r="C17" s="967"/>
      <c r="D17" s="967"/>
      <c r="E17" s="414"/>
      <c r="F17" s="380"/>
      <c r="G17" s="690"/>
      <c r="H17" s="680"/>
      <c r="I17" s="662">
        <f t="shared" si="1"/>
      </c>
      <c r="J17" s="664"/>
      <c r="K17" s="662">
        <f t="shared" si="2"/>
      </c>
      <c r="L17" s="662">
        <f t="shared" si="3"/>
      </c>
      <c r="M17" s="672">
        <f t="shared" si="0"/>
      </c>
      <c r="N17" s="425">
        <v>5</v>
      </c>
      <c r="O17" s="426">
        <v>8</v>
      </c>
    </row>
    <row r="18" spans="1:15" ht="30.75" customHeight="1">
      <c r="A18" s="86">
        <v>6</v>
      </c>
      <c r="B18" s="966"/>
      <c r="C18" s="967"/>
      <c r="D18" s="967"/>
      <c r="E18" s="414"/>
      <c r="F18" s="380"/>
      <c r="G18" s="690"/>
      <c r="H18" s="680"/>
      <c r="I18" s="662">
        <f t="shared" si="1"/>
      </c>
      <c r="J18" s="664"/>
      <c r="K18" s="662">
        <f t="shared" si="2"/>
      </c>
      <c r="L18" s="662">
        <f t="shared" si="3"/>
      </c>
      <c r="M18" s="672">
        <f t="shared" si="0"/>
      </c>
      <c r="N18" s="427">
        <v>6</v>
      </c>
      <c r="O18" s="426">
        <v>8</v>
      </c>
    </row>
    <row r="19" spans="1:15" ht="30.75" customHeight="1">
      <c r="A19" s="86">
        <v>7</v>
      </c>
      <c r="B19" s="966"/>
      <c r="C19" s="967"/>
      <c r="D19" s="967"/>
      <c r="E19" s="414"/>
      <c r="F19" s="415"/>
      <c r="G19" s="690"/>
      <c r="H19" s="680"/>
      <c r="I19" s="662">
        <f t="shared" si="1"/>
      </c>
      <c r="J19" s="664"/>
      <c r="K19" s="662">
        <f t="shared" si="2"/>
      </c>
      <c r="L19" s="662">
        <f t="shared" si="3"/>
      </c>
      <c r="M19" s="672">
        <f t="shared" si="0"/>
      </c>
      <c r="N19" s="425">
        <v>7</v>
      </c>
      <c r="O19" s="426">
        <v>8</v>
      </c>
    </row>
    <row r="20" spans="1:15" ht="30.75" customHeight="1">
      <c r="A20" s="86">
        <v>8</v>
      </c>
      <c r="B20" s="966"/>
      <c r="C20" s="967"/>
      <c r="D20" s="967"/>
      <c r="E20" s="414"/>
      <c r="F20" s="380"/>
      <c r="G20" s="690"/>
      <c r="H20" s="680"/>
      <c r="I20" s="662">
        <f t="shared" si="1"/>
      </c>
      <c r="J20" s="664"/>
      <c r="K20" s="662">
        <f t="shared" si="2"/>
      </c>
      <c r="L20" s="662">
        <f t="shared" si="3"/>
      </c>
      <c r="M20" s="672">
        <f t="shared" si="0"/>
      </c>
      <c r="N20" s="427">
        <v>8</v>
      </c>
      <c r="O20" s="426">
        <v>8</v>
      </c>
    </row>
    <row r="21" spans="1:15" ht="30.75" customHeight="1">
      <c r="A21" s="86">
        <v>9</v>
      </c>
      <c r="B21" s="966"/>
      <c r="C21" s="967"/>
      <c r="D21" s="967"/>
      <c r="E21" s="414"/>
      <c r="F21" s="380"/>
      <c r="G21" s="690"/>
      <c r="H21" s="680"/>
      <c r="I21" s="662">
        <f t="shared" si="1"/>
      </c>
      <c r="J21" s="664"/>
      <c r="K21" s="662">
        <f t="shared" si="2"/>
      </c>
      <c r="L21" s="662">
        <f t="shared" si="3"/>
      </c>
      <c r="M21" s="672">
        <f t="shared" si="0"/>
      </c>
      <c r="N21" s="425">
        <v>9</v>
      </c>
      <c r="O21" s="426">
        <v>8</v>
      </c>
    </row>
    <row r="22" spans="1:15" ht="30.75" customHeight="1">
      <c r="A22" s="86">
        <v>10</v>
      </c>
      <c r="B22" s="966"/>
      <c r="C22" s="967"/>
      <c r="D22" s="967"/>
      <c r="E22" s="414"/>
      <c r="F22" s="380"/>
      <c r="G22" s="690"/>
      <c r="H22" s="680"/>
      <c r="I22" s="662">
        <f t="shared" si="1"/>
      </c>
      <c r="J22" s="664"/>
      <c r="K22" s="662">
        <f t="shared" si="2"/>
      </c>
      <c r="L22" s="662">
        <f t="shared" si="3"/>
      </c>
      <c r="M22" s="672">
        <f t="shared" si="0"/>
      </c>
      <c r="N22" s="427">
        <v>10</v>
      </c>
      <c r="O22" s="426">
        <v>8</v>
      </c>
    </row>
    <row r="23" spans="1:15" ht="30.75" customHeight="1">
      <c r="A23" s="86">
        <v>11</v>
      </c>
      <c r="B23" s="966"/>
      <c r="C23" s="967"/>
      <c r="D23" s="967"/>
      <c r="E23" s="414"/>
      <c r="F23" s="380"/>
      <c r="G23" s="690"/>
      <c r="H23" s="680"/>
      <c r="I23" s="662">
        <f t="shared" si="1"/>
      </c>
      <c r="J23" s="664"/>
      <c r="K23" s="662">
        <f t="shared" si="2"/>
      </c>
      <c r="L23" s="662">
        <f t="shared" si="3"/>
      </c>
      <c r="M23" s="672">
        <f t="shared" si="0"/>
      </c>
      <c r="N23" s="425">
        <v>11</v>
      </c>
      <c r="O23" s="426">
        <v>8</v>
      </c>
    </row>
    <row r="24" spans="1:15" ht="30.75" customHeight="1">
      <c r="A24" s="86">
        <v>12</v>
      </c>
      <c r="B24" s="966"/>
      <c r="C24" s="967"/>
      <c r="D24" s="967"/>
      <c r="E24" s="414"/>
      <c r="F24" s="380"/>
      <c r="G24" s="690"/>
      <c r="H24" s="680"/>
      <c r="I24" s="662">
        <f t="shared" si="1"/>
      </c>
      <c r="J24" s="664"/>
      <c r="K24" s="662">
        <f t="shared" si="2"/>
      </c>
      <c r="L24" s="662">
        <f t="shared" si="3"/>
      </c>
      <c r="M24" s="672">
        <f t="shared" si="0"/>
      </c>
      <c r="N24" s="427">
        <v>12</v>
      </c>
      <c r="O24" s="426">
        <v>8</v>
      </c>
    </row>
    <row r="25" spans="1:15" ht="30.75" customHeight="1">
      <c r="A25" s="86">
        <v>13</v>
      </c>
      <c r="B25" s="966"/>
      <c r="C25" s="967"/>
      <c r="D25" s="967"/>
      <c r="E25" s="414"/>
      <c r="F25" s="380"/>
      <c r="G25" s="690"/>
      <c r="H25" s="680"/>
      <c r="I25" s="662">
        <f t="shared" si="1"/>
      </c>
      <c r="J25" s="664"/>
      <c r="K25" s="662">
        <f t="shared" si="2"/>
      </c>
      <c r="L25" s="662">
        <f t="shared" si="3"/>
      </c>
      <c r="M25" s="672">
        <f t="shared" si="0"/>
      </c>
      <c r="N25" s="425">
        <v>13</v>
      </c>
      <c r="O25" s="426">
        <v>8</v>
      </c>
    </row>
    <row r="26" spans="1:15" ht="30.75" customHeight="1">
      <c r="A26" s="86">
        <v>14</v>
      </c>
      <c r="B26" s="966"/>
      <c r="C26" s="967"/>
      <c r="D26" s="967"/>
      <c r="E26" s="416"/>
      <c r="F26" s="380"/>
      <c r="G26" s="690"/>
      <c r="H26" s="680"/>
      <c r="I26" s="662">
        <f t="shared" si="1"/>
      </c>
      <c r="J26" s="664"/>
      <c r="K26" s="662">
        <f t="shared" si="2"/>
      </c>
      <c r="L26" s="662">
        <f t="shared" si="3"/>
      </c>
      <c r="M26" s="672">
        <f t="shared" si="0"/>
      </c>
      <c r="N26" s="427">
        <v>14</v>
      </c>
      <c r="O26" s="426">
        <v>8</v>
      </c>
    </row>
    <row r="27" spans="1:15" ht="30.75" customHeight="1">
      <c r="A27" s="86">
        <v>15</v>
      </c>
      <c r="B27" s="966"/>
      <c r="C27" s="967"/>
      <c r="D27" s="967"/>
      <c r="E27" s="416"/>
      <c r="F27" s="380"/>
      <c r="G27" s="690"/>
      <c r="H27" s="680"/>
      <c r="I27" s="662">
        <f t="shared" si="1"/>
      </c>
      <c r="J27" s="664"/>
      <c r="K27" s="662">
        <f t="shared" si="2"/>
      </c>
      <c r="L27" s="662">
        <f t="shared" si="3"/>
      </c>
      <c r="M27" s="672">
        <f t="shared" si="0"/>
      </c>
      <c r="N27" s="425">
        <v>15</v>
      </c>
      <c r="O27" s="426">
        <v>8</v>
      </c>
    </row>
    <row r="28" spans="1:15" ht="30.75" customHeight="1">
      <c r="A28" s="86">
        <v>16</v>
      </c>
      <c r="B28" s="966"/>
      <c r="C28" s="967"/>
      <c r="D28" s="967"/>
      <c r="E28" s="414"/>
      <c r="F28" s="380"/>
      <c r="G28" s="690"/>
      <c r="H28" s="680"/>
      <c r="I28" s="662">
        <f t="shared" si="1"/>
      </c>
      <c r="J28" s="664"/>
      <c r="K28" s="662">
        <f t="shared" si="2"/>
      </c>
      <c r="L28" s="662">
        <f t="shared" si="3"/>
      </c>
      <c r="M28" s="672">
        <f t="shared" si="0"/>
      </c>
      <c r="N28" s="427">
        <v>16</v>
      </c>
      <c r="O28" s="426">
        <v>8</v>
      </c>
    </row>
    <row r="29" spans="1:15" ht="30.75" customHeight="1">
      <c r="A29" s="86">
        <v>17</v>
      </c>
      <c r="B29" s="966"/>
      <c r="C29" s="967"/>
      <c r="D29" s="967"/>
      <c r="E29" s="414"/>
      <c r="F29" s="380"/>
      <c r="G29" s="690"/>
      <c r="H29" s="680"/>
      <c r="I29" s="662">
        <f t="shared" si="1"/>
      </c>
      <c r="J29" s="664"/>
      <c r="K29" s="662">
        <f t="shared" si="2"/>
      </c>
      <c r="L29" s="662">
        <f t="shared" si="3"/>
      </c>
      <c r="M29" s="672">
        <f t="shared" si="0"/>
      </c>
      <c r="N29" s="425">
        <v>17</v>
      </c>
      <c r="O29" s="426">
        <v>8</v>
      </c>
    </row>
    <row r="30" spans="1:15" ht="30.75" customHeight="1">
      <c r="A30" s="86">
        <v>18</v>
      </c>
      <c r="B30" s="966"/>
      <c r="C30" s="967"/>
      <c r="D30" s="967"/>
      <c r="E30" s="414"/>
      <c r="F30" s="380"/>
      <c r="G30" s="690"/>
      <c r="H30" s="680"/>
      <c r="I30" s="662">
        <f t="shared" si="1"/>
      </c>
      <c r="J30" s="664"/>
      <c r="K30" s="662">
        <f t="shared" si="2"/>
      </c>
      <c r="L30" s="662">
        <f t="shared" si="3"/>
      </c>
      <c r="M30" s="672">
        <f t="shared" si="0"/>
      </c>
      <c r="N30" s="427">
        <v>18</v>
      </c>
      <c r="O30" s="426">
        <v>8</v>
      </c>
    </row>
    <row r="31" spans="1:15" ht="30.75" customHeight="1">
      <c r="A31" s="86">
        <v>19</v>
      </c>
      <c r="B31" s="966"/>
      <c r="C31" s="967"/>
      <c r="D31" s="967"/>
      <c r="E31" s="416"/>
      <c r="F31" s="380"/>
      <c r="G31" s="690"/>
      <c r="H31" s="680"/>
      <c r="I31" s="662">
        <f t="shared" si="1"/>
      </c>
      <c r="J31" s="664"/>
      <c r="K31" s="662">
        <f t="shared" si="2"/>
      </c>
      <c r="L31" s="662">
        <f t="shared" si="3"/>
      </c>
      <c r="M31" s="672">
        <f t="shared" si="0"/>
      </c>
      <c r="N31" s="425">
        <v>19</v>
      </c>
      <c r="O31" s="426">
        <v>8</v>
      </c>
    </row>
    <row r="32" spans="1:15" ht="30.75" customHeight="1" thickBot="1">
      <c r="A32" s="149">
        <v>20</v>
      </c>
      <c r="B32" s="975"/>
      <c r="C32" s="976"/>
      <c r="D32" s="976"/>
      <c r="E32" s="417"/>
      <c r="F32" s="384"/>
      <c r="G32" s="693"/>
      <c r="H32" s="682"/>
      <c r="I32" s="665">
        <f t="shared" si="1"/>
      </c>
      <c r="J32" s="666"/>
      <c r="K32" s="665">
        <f t="shared" si="2"/>
      </c>
      <c r="L32" s="665">
        <f t="shared" si="3"/>
      </c>
      <c r="M32" s="673">
        <f t="shared" si="0"/>
      </c>
      <c r="N32" s="428">
        <v>20</v>
      </c>
      <c r="O32" s="429">
        <v>8</v>
      </c>
    </row>
    <row r="33" spans="1:14" ht="21" customHeight="1" thickBot="1">
      <c r="A33" s="978" t="s">
        <v>27</v>
      </c>
      <c r="B33" s="979"/>
      <c r="C33" s="979"/>
      <c r="D33" s="979"/>
      <c r="E33" s="979"/>
      <c r="F33" s="979"/>
      <c r="G33" s="979"/>
      <c r="H33" s="979"/>
      <c r="I33" s="979"/>
      <c r="J33" s="398"/>
      <c r="K33" s="661">
        <f>SUM(K13:K32)</f>
        <v>583200</v>
      </c>
      <c r="L33" s="661">
        <f>SUM(L13:L32)</f>
        <v>540000</v>
      </c>
      <c r="M33" s="655">
        <f>SUM(M13:M32)</f>
        <v>540000</v>
      </c>
      <c r="N33" s="83"/>
    </row>
    <row r="34" spans="1:14" ht="13.5" customHeight="1">
      <c r="A34" s="407"/>
      <c r="N34" s="80"/>
    </row>
    <row r="35" spans="1:14" ht="13.5" customHeight="1">
      <c r="A35" s="407"/>
      <c r="B35" s="8" t="s">
        <v>34</v>
      </c>
      <c r="D35" s="407"/>
      <c r="E35" s="396" t="s">
        <v>115</v>
      </c>
      <c r="N35" s="80"/>
    </row>
    <row r="36" ht="13.5" customHeight="1">
      <c r="E36" s="396" t="s">
        <v>116</v>
      </c>
    </row>
    <row r="37" spans="2:5" ht="13.5" customHeight="1">
      <c r="B37" s="8" t="s">
        <v>35</v>
      </c>
      <c r="E37" s="396" t="s">
        <v>117</v>
      </c>
    </row>
    <row r="38" spans="2:5" ht="13.5" customHeight="1">
      <c r="B38" s="8" t="s">
        <v>36</v>
      </c>
      <c r="E38" s="396" t="s">
        <v>118</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6"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2"/>
      <c r="H1" s="13"/>
      <c r="P1" s="13"/>
      <c r="Q1" s="403"/>
      <c r="R1" s="403"/>
    </row>
    <row r="2" spans="1:18" ht="13.5">
      <c r="A2" s="13"/>
      <c r="B2" s="802" t="s">
        <v>899</v>
      </c>
      <c r="E2" s="402"/>
      <c r="H2" s="13"/>
      <c r="P2" s="13"/>
      <c r="Q2" s="403"/>
      <c r="R2" s="403"/>
    </row>
    <row r="3" spans="1:18" ht="13.5">
      <c r="A3" s="13"/>
      <c r="E3" s="402"/>
      <c r="H3" s="13"/>
      <c r="P3" s="13"/>
      <c r="Q3" s="403"/>
      <c r="R3" s="403"/>
    </row>
    <row r="4" spans="1:6" ht="13.5" customHeight="1">
      <c r="A4" s="972" t="s">
        <v>976</v>
      </c>
      <c r="B4" s="972"/>
      <c r="C4" s="972"/>
      <c r="D4" s="972"/>
      <c r="E4" s="972"/>
      <c r="F4" s="13"/>
    </row>
    <row r="5" spans="1:14" ht="13.5" customHeight="1">
      <c r="A5" s="80"/>
      <c r="B5" s="80"/>
      <c r="C5" s="80"/>
      <c r="D5" s="80"/>
      <c r="E5" s="404"/>
      <c r="F5" s="13"/>
      <c r="N5" s="80"/>
    </row>
    <row r="6" spans="1:14" ht="13.5" customHeight="1">
      <c r="A6" s="80"/>
      <c r="B6" s="80" t="s">
        <v>29</v>
      </c>
      <c r="C6" s="404" t="s">
        <v>33</v>
      </c>
      <c r="D6" s="80"/>
      <c r="E6" s="404"/>
      <c r="F6" s="405" t="s">
        <v>28</v>
      </c>
      <c r="N6" s="80"/>
    </row>
    <row r="7" spans="1:14" ht="13.5" customHeight="1">
      <c r="A7" s="80"/>
      <c r="B7" s="80"/>
      <c r="C7" s="80"/>
      <c r="D7" s="80"/>
      <c r="E7" s="404"/>
      <c r="F7" s="566" t="s">
        <v>165</v>
      </c>
      <c r="N7" s="80"/>
    </row>
    <row r="8" spans="1:15" ht="13.5" customHeight="1">
      <c r="A8" s="80"/>
      <c r="B8" s="80"/>
      <c r="C8" s="80"/>
      <c r="D8" s="80"/>
      <c r="E8" s="404"/>
      <c r="F8" s="13"/>
      <c r="M8" s="8" t="s">
        <v>37</v>
      </c>
      <c r="N8" s="80"/>
      <c r="O8" s="406"/>
    </row>
    <row r="9" spans="1:14" ht="13.5" customHeight="1">
      <c r="A9" s="407"/>
      <c r="F9" s="13"/>
      <c r="I9" s="9" t="s">
        <v>669</v>
      </c>
      <c r="J9" s="396" t="str">
        <f>IF('基本情報入力（使い方）'!$C$10="","",'基本情報入力（使い方）'!$C$10)</f>
        <v>Ｂ金属株式会社</v>
      </c>
      <c r="K9" s="9"/>
      <c r="L9" s="45"/>
      <c r="M9" s="340"/>
      <c r="N9" s="80"/>
    </row>
    <row r="10" spans="1:14" ht="13.5" customHeight="1" thickBot="1">
      <c r="A10" s="407"/>
      <c r="F10" s="13"/>
      <c r="N10" s="80"/>
    </row>
    <row r="11" spans="1:15" ht="27" customHeight="1">
      <c r="A11" s="973" t="s">
        <v>13</v>
      </c>
      <c r="B11" s="960" t="s">
        <v>14</v>
      </c>
      <c r="C11" s="960"/>
      <c r="D11" s="961"/>
      <c r="E11" s="10" t="s">
        <v>15</v>
      </c>
      <c r="F11" s="10" t="s">
        <v>16</v>
      </c>
      <c r="G11" s="10" t="s">
        <v>17</v>
      </c>
      <c r="H11" s="10" t="s">
        <v>18</v>
      </c>
      <c r="I11" s="10" t="s">
        <v>7</v>
      </c>
      <c r="J11" s="10" t="s">
        <v>7</v>
      </c>
      <c r="K11" s="977" t="s">
        <v>19</v>
      </c>
      <c r="L11" s="961"/>
      <c r="M11" s="399" t="s">
        <v>20</v>
      </c>
      <c r="N11" s="962" t="s">
        <v>13</v>
      </c>
      <c r="O11" s="964" t="s">
        <v>132</v>
      </c>
    </row>
    <row r="12" spans="1:15" ht="42" customHeight="1" thickBot="1">
      <c r="A12" s="974"/>
      <c r="B12" s="409" t="s">
        <v>21</v>
      </c>
      <c r="C12" s="409" t="s">
        <v>22</v>
      </c>
      <c r="D12" s="410" t="s">
        <v>23</v>
      </c>
      <c r="E12" s="411"/>
      <c r="F12" s="412"/>
      <c r="G12" s="397"/>
      <c r="H12" s="397"/>
      <c r="I12" s="397" t="s">
        <v>24</v>
      </c>
      <c r="J12" s="397" t="s">
        <v>41</v>
      </c>
      <c r="K12" s="397" t="s">
        <v>25</v>
      </c>
      <c r="L12" s="11" t="s">
        <v>39</v>
      </c>
      <c r="M12" s="11" t="s">
        <v>26</v>
      </c>
      <c r="N12" s="963"/>
      <c r="O12" s="965"/>
    </row>
    <row r="13" spans="1:15" ht="30.75" customHeight="1">
      <c r="A13" s="85">
        <v>1</v>
      </c>
      <c r="B13" s="966"/>
      <c r="C13" s="967"/>
      <c r="D13" s="980"/>
      <c r="E13" s="378"/>
      <c r="F13" s="378"/>
      <c r="G13" s="694"/>
      <c r="H13" s="686"/>
      <c r="I13" s="670">
        <f>IF(J13="","",ROUNDDOWN(J13*(1+O13/100),0))</f>
      </c>
      <c r="J13" s="671"/>
      <c r="K13" s="670">
        <f>IF(L13="","",ROUNDDOWN(L13*(1+O13/100),0))</f>
      </c>
      <c r="L13" s="670">
        <f>IF(OR(J13="",G13=""),"",ROUNDDOWN(J13*G13,0))</f>
      </c>
      <c r="M13" s="670">
        <f aca="true" t="shared" si="0" ref="M13:M32">L13</f>
      </c>
      <c r="N13" s="81">
        <v>1</v>
      </c>
      <c r="O13" s="433">
        <v>8</v>
      </c>
    </row>
    <row r="14" spans="1:15" ht="30.75" customHeight="1">
      <c r="A14" s="86">
        <v>2</v>
      </c>
      <c r="B14" s="966"/>
      <c r="C14" s="967"/>
      <c r="D14" s="980"/>
      <c r="E14" s="380"/>
      <c r="F14" s="380"/>
      <c r="G14" s="690"/>
      <c r="H14" s="680"/>
      <c r="I14" s="662">
        <f aca="true" t="shared" si="1" ref="I14:I32">IF(J14="","",ROUNDDOWN(J14*(1+O14/100),0))</f>
      </c>
      <c r="J14" s="664"/>
      <c r="K14" s="662">
        <f aca="true" t="shared" si="2" ref="K14:K32">IF(L14="","",ROUNDDOWN(L14*(1+O14/100),0))</f>
      </c>
      <c r="L14" s="662">
        <f aca="true" t="shared" si="3" ref="L14:L32">IF(OR(J14="",G14=""),"",ROUNDDOWN(J14*G14,0))</f>
      </c>
      <c r="M14" s="663">
        <f t="shared" si="0"/>
      </c>
      <c r="N14" s="82">
        <v>2</v>
      </c>
      <c r="O14" s="433">
        <v>8</v>
      </c>
    </row>
    <row r="15" spans="1:15" ht="30.75" customHeight="1">
      <c r="A15" s="86">
        <v>3</v>
      </c>
      <c r="B15" s="966"/>
      <c r="C15" s="967"/>
      <c r="D15" s="980"/>
      <c r="E15" s="380"/>
      <c r="F15" s="380"/>
      <c r="G15" s="690"/>
      <c r="H15" s="680"/>
      <c r="I15" s="662">
        <f t="shared" si="1"/>
      </c>
      <c r="J15" s="664"/>
      <c r="K15" s="662">
        <f t="shared" si="2"/>
      </c>
      <c r="L15" s="662">
        <f t="shared" si="3"/>
      </c>
      <c r="M15" s="663">
        <f t="shared" si="0"/>
      </c>
      <c r="N15" s="81">
        <v>3</v>
      </c>
      <c r="O15" s="433">
        <v>8</v>
      </c>
    </row>
    <row r="16" spans="1:15" ht="30.75" customHeight="1">
      <c r="A16" s="86">
        <v>4</v>
      </c>
      <c r="B16" s="966"/>
      <c r="C16" s="967"/>
      <c r="D16" s="980"/>
      <c r="E16" s="380"/>
      <c r="F16" s="380"/>
      <c r="G16" s="690"/>
      <c r="H16" s="680"/>
      <c r="I16" s="662">
        <f t="shared" si="1"/>
      </c>
      <c r="J16" s="664"/>
      <c r="K16" s="662">
        <f t="shared" si="2"/>
      </c>
      <c r="L16" s="662">
        <f t="shared" si="3"/>
      </c>
      <c r="M16" s="663">
        <f t="shared" si="0"/>
      </c>
      <c r="N16" s="82">
        <v>4</v>
      </c>
      <c r="O16" s="433">
        <v>8</v>
      </c>
    </row>
    <row r="17" spans="1:15" ht="30.75" customHeight="1">
      <c r="A17" s="86">
        <v>5</v>
      </c>
      <c r="B17" s="966"/>
      <c r="C17" s="967"/>
      <c r="D17" s="980"/>
      <c r="E17" s="380"/>
      <c r="F17" s="380"/>
      <c r="G17" s="690"/>
      <c r="H17" s="680"/>
      <c r="I17" s="662">
        <f t="shared" si="1"/>
      </c>
      <c r="J17" s="664"/>
      <c r="K17" s="662">
        <f t="shared" si="2"/>
      </c>
      <c r="L17" s="662">
        <f t="shared" si="3"/>
      </c>
      <c r="M17" s="663">
        <f t="shared" si="0"/>
      </c>
      <c r="N17" s="81">
        <v>5</v>
      </c>
      <c r="O17" s="433">
        <v>8</v>
      </c>
    </row>
    <row r="18" spans="1:15" ht="30.75" customHeight="1">
      <c r="A18" s="86">
        <v>6</v>
      </c>
      <c r="B18" s="966"/>
      <c r="C18" s="967"/>
      <c r="D18" s="980"/>
      <c r="E18" s="380"/>
      <c r="F18" s="380"/>
      <c r="G18" s="690"/>
      <c r="H18" s="680"/>
      <c r="I18" s="662">
        <f t="shared" si="1"/>
      </c>
      <c r="J18" s="664"/>
      <c r="K18" s="662">
        <f t="shared" si="2"/>
      </c>
      <c r="L18" s="662">
        <f t="shared" si="3"/>
      </c>
      <c r="M18" s="663">
        <f t="shared" si="0"/>
      </c>
      <c r="N18" s="82">
        <v>6</v>
      </c>
      <c r="O18" s="433">
        <v>8</v>
      </c>
    </row>
    <row r="19" spans="1:15" ht="30.75" customHeight="1">
      <c r="A19" s="86">
        <v>7</v>
      </c>
      <c r="B19" s="966"/>
      <c r="C19" s="967"/>
      <c r="D19" s="980"/>
      <c r="E19" s="380"/>
      <c r="F19" s="415"/>
      <c r="G19" s="690"/>
      <c r="H19" s="680"/>
      <c r="I19" s="662">
        <f t="shared" si="1"/>
      </c>
      <c r="J19" s="664"/>
      <c r="K19" s="662">
        <f t="shared" si="2"/>
      </c>
      <c r="L19" s="662">
        <f t="shared" si="3"/>
      </c>
      <c r="M19" s="663">
        <f t="shared" si="0"/>
      </c>
      <c r="N19" s="81">
        <v>7</v>
      </c>
      <c r="O19" s="433">
        <v>8</v>
      </c>
    </row>
    <row r="20" spans="1:15" ht="30.75" customHeight="1">
      <c r="A20" s="86">
        <v>8</v>
      </c>
      <c r="B20" s="966"/>
      <c r="C20" s="967"/>
      <c r="D20" s="980"/>
      <c r="E20" s="380"/>
      <c r="F20" s="380"/>
      <c r="G20" s="690"/>
      <c r="H20" s="680"/>
      <c r="I20" s="662">
        <f t="shared" si="1"/>
      </c>
      <c r="J20" s="664"/>
      <c r="K20" s="662">
        <f t="shared" si="2"/>
      </c>
      <c r="L20" s="662">
        <f t="shared" si="3"/>
      </c>
      <c r="M20" s="663">
        <f t="shared" si="0"/>
      </c>
      <c r="N20" s="82">
        <v>8</v>
      </c>
      <c r="O20" s="433">
        <v>8</v>
      </c>
    </row>
    <row r="21" spans="1:15" ht="30.75" customHeight="1">
      <c r="A21" s="86">
        <v>9</v>
      </c>
      <c r="B21" s="966"/>
      <c r="C21" s="967"/>
      <c r="D21" s="980"/>
      <c r="E21" s="380"/>
      <c r="F21" s="380"/>
      <c r="G21" s="690"/>
      <c r="H21" s="680"/>
      <c r="I21" s="662">
        <f t="shared" si="1"/>
      </c>
      <c r="J21" s="664"/>
      <c r="K21" s="662">
        <f t="shared" si="2"/>
      </c>
      <c r="L21" s="662">
        <f t="shared" si="3"/>
      </c>
      <c r="M21" s="663">
        <f t="shared" si="0"/>
      </c>
      <c r="N21" s="81">
        <v>9</v>
      </c>
      <c r="O21" s="433">
        <v>8</v>
      </c>
    </row>
    <row r="22" spans="1:15" ht="30.75" customHeight="1">
      <c r="A22" s="86">
        <v>10</v>
      </c>
      <c r="B22" s="966"/>
      <c r="C22" s="967"/>
      <c r="D22" s="980"/>
      <c r="E22" s="380"/>
      <c r="F22" s="380"/>
      <c r="G22" s="690"/>
      <c r="H22" s="680"/>
      <c r="I22" s="662">
        <f t="shared" si="1"/>
      </c>
      <c r="J22" s="664"/>
      <c r="K22" s="662">
        <f t="shared" si="2"/>
      </c>
      <c r="L22" s="662">
        <f t="shared" si="3"/>
      </c>
      <c r="M22" s="663">
        <f t="shared" si="0"/>
      </c>
      <c r="N22" s="82">
        <v>10</v>
      </c>
      <c r="O22" s="433">
        <v>8</v>
      </c>
    </row>
    <row r="23" spans="1:15" ht="30.75" customHeight="1">
      <c r="A23" s="86">
        <v>11</v>
      </c>
      <c r="B23" s="966"/>
      <c r="C23" s="967"/>
      <c r="D23" s="980"/>
      <c r="E23" s="380"/>
      <c r="F23" s="380"/>
      <c r="G23" s="690"/>
      <c r="H23" s="680"/>
      <c r="I23" s="662">
        <f t="shared" si="1"/>
      </c>
      <c r="J23" s="664"/>
      <c r="K23" s="662">
        <f t="shared" si="2"/>
      </c>
      <c r="L23" s="662">
        <f t="shared" si="3"/>
      </c>
      <c r="M23" s="663">
        <f t="shared" si="0"/>
      </c>
      <c r="N23" s="81">
        <v>11</v>
      </c>
      <c r="O23" s="433">
        <v>8</v>
      </c>
    </row>
    <row r="24" spans="1:15" ht="30.75" customHeight="1">
      <c r="A24" s="86">
        <v>12</v>
      </c>
      <c r="B24" s="966"/>
      <c r="C24" s="967"/>
      <c r="D24" s="980"/>
      <c r="E24" s="380"/>
      <c r="F24" s="380"/>
      <c r="G24" s="690"/>
      <c r="H24" s="680"/>
      <c r="I24" s="662">
        <f t="shared" si="1"/>
      </c>
      <c r="J24" s="664"/>
      <c r="K24" s="662">
        <f t="shared" si="2"/>
      </c>
      <c r="L24" s="662">
        <f t="shared" si="3"/>
      </c>
      <c r="M24" s="663">
        <f t="shared" si="0"/>
      </c>
      <c r="N24" s="82">
        <v>12</v>
      </c>
      <c r="O24" s="433">
        <v>8</v>
      </c>
    </row>
    <row r="25" spans="1:15" ht="30.75" customHeight="1">
      <c r="A25" s="86">
        <v>13</v>
      </c>
      <c r="B25" s="966"/>
      <c r="C25" s="967"/>
      <c r="D25" s="980"/>
      <c r="E25" s="380"/>
      <c r="F25" s="380"/>
      <c r="G25" s="690"/>
      <c r="H25" s="680"/>
      <c r="I25" s="662">
        <f t="shared" si="1"/>
      </c>
      <c r="J25" s="664"/>
      <c r="K25" s="662">
        <f t="shared" si="2"/>
      </c>
      <c r="L25" s="662">
        <f t="shared" si="3"/>
      </c>
      <c r="M25" s="663">
        <f t="shared" si="0"/>
      </c>
      <c r="N25" s="81">
        <v>13</v>
      </c>
      <c r="O25" s="433">
        <v>8</v>
      </c>
    </row>
    <row r="26" spans="1:15" ht="30.75" customHeight="1">
      <c r="A26" s="86">
        <v>14</v>
      </c>
      <c r="B26" s="966"/>
      <c r="C26" s="967"/>
      <c r="D26" s="980"/>
      <c r="E26" s="424"/>
      <c r="F26" s="380"/>
      <c r="G26" s="690"/>
      <c r="H26" s="680"/>
      <c r="I26" s="662">
        <f t="shared" si="1"/>
      </c>
      <c r="J26" s="664"/>
      <c r="K26" s="662">
        <f t="shared" si="2"/>
      </c>
      <c r="L26" s="662">
        <f t="shared" si="3"/>
      </c>
      <c r="M26" s="663">
        <f t="shared" si="0"/>
      </c>
      <c r="N26" s="82">
        <v>14</v>
      </c>
      <c r="O26" s="433">
        <v>8</v>
      </c>
    </row>
    <row r="27" spans="1:15" ht="30.75" customHeight="1">
      <c r="A27" s="86">
        <v>15</v>
      </c>
      <c r="B27" s="966"/>
      <c r="C27" s="967"/>
      <c r="D27" s="980"/>
      <c r="E27" s="424"/>
      <c r="F27" s="380"/>
      <c r="G27" s="690"/>
      <c r="H27" s="680"/>
      <c r="I27" s="662">
        <f t="shared" si="1"/>
      </c>
      <c r="J27" s="664"/>
      <c r="K27" s="662">
        <f t="shared" si="2"/>
      </c>
      <c r="L27" s="662">
        <f t="shared" si="3"/>
      </c>
      <c r="M27" s="663">
        <f t="shared" si="0"/>
      </c>
      <c r="N27" s="81">
        <v>15</v>
      </c>
      <c r="O27" s="433">
        <v>8</v>
      </c>
    </row>
    <row r="28" spans="1:15" ht="30.75" customHeight="1">
      <c r="A28" s="86">
        <v>16</v>
      </c>
      <c r="B28" s="966"/>
      <c r="C28" s="967"/>
      <c r="D28" s="980"/>
      <c r="E28" s="380"/>
      <c r="F28" s="380"/>
      <c r="G28" s="690"/>
      <c r="H28" s="680"/>
      <c r="I28" s="662">
        <f t="shared" si="1"/>
      </c>
      <c r="J28" s="664"/>
      <c r="K28" s="662">
        <f t="shared" si="2"/>
      </c>
      <c r="L28" s="662">
        <f t="shared" si="3"/>
      </c>
      <c r="M28" s="663">
        <f t="shared" si="0"/>
      </c>
      <c r="N28" s="82">
        <v>16</v>
      </c>
      <c r="O28" s="433">
        <v>8</v>
      </c>
    </row>
    <row r="29" spans="1:15" ht="30.75" customHeight="1">
      <c r="A29" s="86">
        <v>17</v>
      </c>
      <c r="B29" s="966"/>
      <c r="C29" s="967"/>
      <c r="D29" s="980"/>
      <c r="E29" s="380"/>
      <c r="F29" s="380"/>
      <c r="G29" s="690"/>
      <c r="H29" s="680"/>
      <c r="I29" s="662">
        <f t="shared" si="1"/>
      </c>
      <c r="J29" s="664"/>
      <c r="K29" s="662">
        <f t="shared" si="2"/>
      </c>
      <c r="L29" s="662">
        <f t="shared" si="3"/>
      </c>
      <c r="M29" s="663">
        <f t="shared" si="0"/>
      </c>
      <c r="N29" s="81">
        <v>17</v>
      </c>
      <c r="O29" s="433">
        <v>8</v>
      </c>
    </row>
    <row r="30" spans="1:15" ht="30.75" customHeight="1">
      <c r="A30" s="86">
        <v>18</v>
      </c>
      <c r="B30" s="966"/>
      <c r="C30" s="967"/>
      <c r="D30" s="980"/>
      <c r="E30" s="380"/>
      <c r="F30" s="380"/>
      <c r="G30" s="690"/>
      <c r="H30" s="680"/>
      <c r="I30" s="662">
        <f t="shared" si="1"/>
      </c>
      <c r="J30" s="664"/>
      <c r="K30" s="662">
        <f t="shared" si="2"/>
      </c>
      <c r="L30" s="662">
        <f t="shared" si="3"/>
      </c>
      <c r="M30" s="663">
        <f t="shared" si="0"/>
      </c>
      <c r="N30" s="82">
        <v>18</v>
      </c>
      <c r="O30" s="433">
        <v>8</v>
      </c>
    </row>
    <row r="31" spans="1:15" ht="30.75" customHeight="1">
      <c r="A31" s="86">
        <v>19</v>
      </c>
      <c r="B31" s="966"/>
      <c r="C31" s="967"/>
      <c r="D31" s="980"/>
      <c r="E31" s="424"/>
      <c r="F31" s="380"/>
      <c r="G31" s="690"/>
      <c r="H31" s="680"/>
      <c r="I31" s="662">
        <f t="shared" si="1"/>
      </c>
      <c r="J31" s="664"/>
      <c r="K31" s="662">
        <f t="shared" si="2"/>
      </c>
      <c r="L31" s="662">
        <f t="shared" si="3"/>
      </c>
      <c r="M31" s="663">
        <f t="shared" si="0"/>
      </c>
      <c r="N31" s="81">
        <v>19</v>
      </c>
      <c r="O31" s="433">
        <v>8</v>
      </c>
    </row>
    <row r="32" spans="1:15" ht="30.75" customHeight="1" thickBot="1">
      <c r="A32" s="149">
        <v>20</v>
      </c>
      <c r="B32" s="981"/>
      <c r="C32" s="982"/>
      <c r="D32" s="982"/>
      <c r="E32" s="417"/>
      <c r="F32" s="384"/>
      <c r="G32" s="693"/>
      <c r="H32" s="682"/>
      <c r="I32" s="665">
        <f t="shared" si="1"/>
      </c>
      <c r="J32" s="666"/>
      <c r="K32" s="665">
        <f t="shared" si="2"/>
      </c>
      <c r="L32" s="665">
        <f t="shared" si="3"/>
      </c>
      <c r="M32" s="667">
        <f t="shared" si="0"/>
      </c>
      <c r="N32" s="150">
        <v>20</v>
      </c>
      <c r="O32" s="434">
        <v>8</v>
      </c>
    </row>
    <row r="33" spans="1:14" ht="21" customHeight="1" thickBot="1">
      <c r="A33" s="978" t="s">
        <v>27</v>
      </c>
      <c r="B33" s="979"/>
      <c r="C33" s="979"/>
      <c r="D33" s="979"/>
      <c r="E33" s="979"/>
      <c r="F33" s="979"/>
      <c r="G33" s="979"/>
      <c r="H33" s="979"/>
      <c r="I33" s="979"/>
      <c r="J33" s="398"/>
      <c r="K33" s="668">
        <f>SUM(K13:K32)</f>
        <v>0</v>
      </c>
      <c r="L33" s="654">
        <f>SUM(L13:L32)</f>
        <v>0</v>
      </c>
      <c r="M33" s="669">
        <f>SUM(M13:M32)</f>
        <v>0</v>
      </c>
      <c r="N33" s="83"/>
    </row>
    <row r="34" spans="1:14" ht="13.5" customHeight="1">
      <c r="A34" s="407"/>
      <c r="N34" s="80"/>
    </row>
    <row r="35" spans="1:14" ht="13.5" customHeight="1">
      <c r="A35" s="407"/>
      <c r="B35" s="8" t="s">
        <v>34</v>
      </c>
      <c r="D35" s="407"/>
      <c r="E35" s="396" t="s">
        <v>115</v>
      </c>
      <c r="N35" s="80"/>
    </row>
    <row r="36" ht="13.5" customHeight="1">
      <c r="E36" s="396" t="s">
        <v>116</v>
      </c>
    </row>
    <row r="37" spans="2:5" ht="13.5" customHeight="1">
      <c r="B37" s="8" t="s">
        <v>35</v>
      </c>
      <c r="E37" s="396" t="s">
        <v>117</v>
      </c>
    </row>
    <row r="38" spans="2:5" ht="13.5" customHeight="1">
      <c r="B38" s="8" t="s">
        <v>36</v>
      </c>
      <c r="E38" s="396" t="s">
        <v>118</v>
      </c>
    </row>
  </sheetData>
  <sheetProtection sheet="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6"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2"/>
      <c r="H1" s="13"/>
      <c r="P1" s="13"/>
      <c r="Q1" s="403"/>
      <c r="R1" s="403"/>
    </row>
    <row r="2" spans="1:18" ht="13.5">
      <c r="A2" s="13"/>
      <c r="B2" s="802" t="s">
        <v>899</v>
      </c>
      <c r="E2" s="402"/>
      <c r="H2" s="13"/>
      <c r="P2" s="13"/>
      <c r="Q2" s="403"/>
      <c r="R2" s="403"/>
    </row>
    <row r="3" spans="1:18" ht="13.5">
      <c r="A3" s="13"/>
      <c r="E3" s="402"/>
      <c r="H3" s="13"/>
      <c r="P3" s="13"/>
      <c r="Q3" s="403"/>
      <c r="R3" s="403"/>
    </row>
    <row r="4" spans="1:6" ht="13.5" customHeight="1">
      <c r="A4" s="972" t="s">
        <v>973</v>
      </c>
      <c r="B4" s="972"/>
      <c r="C4" s="972"/>
      <c r="D4" s="972"/>
      <c r="E4" s="972"/>
      <c r="F4" s="13"/>
    </row>
    <row r="5" spans="1:14" ht="13.5" customHeight="1">
      <c r="A5" s="80"/>
      <c r="B5" s="80"/>
      <c r="C5" s="80"/>
      <c r="D5" s="80"/>
      <c r="E5" s="404"/>
      <c r="F5" s="13"/>
      <c r="N5" s="80"/>
    </row>
    <row r="6" spans="1:14" ht="13.5" customHeight="1">
      <c r="A6" s="80"/>
      <c r="B6" s="80" t="s">
        <v>29</v>
      </c>
      <c r="C6" s="404" t="s">
        <v>33</v>
      </c>
      <c r="D6" s="80"/>
      <c r="E6" s="404"/>
      <c r="F6" s="405" t="s">
        <v>28</v>
      </c>
      <c r="N6" s="80"/>
    </row>
    <row r="7" spans="1:14" ht="13.5" customHeight="1">
      <c r="A7" s="80"/>
      <c r="B7" s="80"/>
      <c r="C7" s="80"/>
      <c r="D7" s="80"/>
      <c r="E7" s="404"/>
      <c r="F7" s="566" t="s">
        <v>62</v>
      </c>
      <c r="N7" s="80"/>
    </row>
    <row r="8" spans="1:15" ht="13.5" customHeight="1">
      <c r="A8" s="80"/>
      <c r="B8" s="80"/>
      <c r="C8" s="80"/>
      <c r="D8" s="80"/>
      <c r="E8" s="404"/>
      <c r="F8" s="13"/>
      <c r="M8" s="8" t="s">
        <v>37</v>
      </c>
      <c r="N8" s="80"/>
      <c r="O8" s="406"/>
    </row>
    <row r="9" spans="1:14" ht="13.5" customHeight="1">
      <c r="A9" s="407"/>
      <c r="F9" s="13"/>
      <c r="I9" s="9" t="s">
        <v>669</v>
      </c>
      <c r="J9" s="396" t="str">
        <f>IF('基本情報入力（使い方）'!$C$10="","",'基本情報入力（使い方）'!$C$10)</f>
        <v>Ｂ金属株式会社</v>
      </c>
      <c r="K9" s="9"/>
      <c r="L9" s="45"/>
      <c r="M9" s="408"/>
      <c r="N9" s="80"/>
    </row>
    <row r="10" spans="1:14" ht="13.5" customHeight="1" thickBot="1">
      <c r="A10" s="407"/>
      <c r="F10" s="13"/>
      <c r="N10" s="80"/>
    </row>
    <row r="11" spans="1:15" ht="27" customHeight="1">
      <c r="A11" s="973" t="s">
        <v>13</v>
      </c>
      <c r="B11" s="960" t="s">
        <v>14</v>
      </c>
      <c r="C11" s="960"/>
      <c r="D11" s="961"/>
      <c r="E11" s="10" t="s">
        <v>15</v>
      </c>
      <c r="F11" s="10" t="s">
        <v>16</v>
      </c>
      <c r="G11" s="10" t="s">
        <v>17</v>
      </c>
      <c r="H11" s="10" t="s">
        <v>18</v>
      </c>
      <c r="I11" s="10" t="s">
        <v>7</v>
      </c>
      <c r="J11" s="10" t="s">
        <v>7</v>
      </c>
      <c r="K11" s="977" t="s">
        <v>19</v>
      </c>
      <c r="L11" s="961"/>
      <c r="M11" s="10" t="s">
        <v>20</v>
      </c>
      <c r="N11" s="962" t="s">
        <v>13</v>
      </c>
      <c r="O11" s="964" t="s">
        <v>132</v>
      </c>
    </row>
    <row r="12" spans="1:15" ht="42" customHeight="1" thickBot="1">
      <c r="A12" s="974"/>
      <c r="B12" s="409" t="s">
        <v>21</v>
      </c>
      <c r="C12" s="409" t="s">
        <v>22</v>
      </c>
      <c r="D12" s="410" t="s">
        <v>23</v>
      </c>
      <c r="E12" s="411"/>
      <c r="F12" s="412"/>
      <c r="G12" s="397"/>
      <c r="H12" s="397"/>
      <c r="I12" s="397" t="s">
        <v>24</v>
      </c>
      <c r="J12" s="397" t="s">
        <v>41</v>
      </c>
      <c r="K12" s="397" t="s">
        <v>25</v>
      </c>
      <c r="L12" s="11" t="s">
        <v>39</v>
      </c>
      <c r="M12" s="397" t="s">
        <v>26</v>
      </c>
      <c r="N12" s="963"/>
      <c r="O12" s="965"/>
    </row>
    <row r="13" spans="1:15" ht="30.75" customHeight="1">
      <c r="A13" s="85">
        <v>1</v>
      </c>
      <c r="B13" s="970"/>
      <c r="C13" s="971"/>
      <c r="D13" s="971"/>
      <c r="E13" s="413" t="s">
        <v>929</v>
      </c>
      <c r="F13" s="379" t="s">
        <v>930</v>
      </c>
      <c r="G13" s="690">
        <v>70</v>
      </c>
      <c r="H13" s="680" t="s">
        <v>931</v>
      </c>
      <c r="I13" s="662">
        <f>IF(J13="","",ROUNDDOWN(J13*(1+O13/100),0))</f>
        <v>6372</v>
      </c>
      <c r="J13" s="657">
        <v>5900</v>
      </c>
      <c r="K13" s="662">
        <f>IF(L13="","",ROUNDDOWN(L13*(1+O13/100),0))</f>
        <v>446040</v>
      </c>
      <c r="L13" s="662">
        <f>IF(OR(J13="",G13=""),"",ROUNDDOWN(J13*G13,0))</f>
        <v>413000</v>
      </c>
      <c r="M13" s="663">
        <f aca="true" t="shared" si="0" ref="M13:M32">L13</f>
        <v>413000</v>
      </c>
      <c r="N13" s="81">
        <v>1</v>
      </c>
      <c r="O13" s="433">
        <v>8</v>
      </c>
    </row>
    <row r="14" spans="1:15" ht="30.75" customHeight="1">
      <c r="A14" s="86">
        <v>2</v>
      </c>
      <c r="B14" s="966"/>
      <c r="C14" s="967"/>
      <c r="D14" s="967"/>
      <c r="E14" s="414"/>
      <c r="F14" s="380"/>
      <c r="G14" s="690"/>
      <c r="H14" s="680"/>
      <c r="I14" s="662">
        <f aca="true" t="shared" si="1" ref="I14:I32">IF(J14="","",ROUNDDOWN(J14*(1+O14/100),0))</f>
      </c>
      <c r="J14" s="664"/>
      <c r="K14" s="662">
        <f aca="true" t="shared" si="2" ref="K14:K32">IF(L14="","",ROUNDDOWN(L14*(1+O14/100),0))</f>
      </c>
      <c r="L14" s="662">
        <f aca="true" t="shared" si="3" ref="L14:L32">IF(OR(J14="",G14=""),"",ROUNDDOWN(J14*G14,0))</f>
      </c>
      <c r="M14" s="663">
        <f t="shared" si="0"/>
      </c>
      <c r="N14" s="82">
        <v>2</v>
      </c>
      <c r="O14" s="433">
        <v>8</v>
      </c>
    </row>
    <row r="15" spans="1:15" ht="30.75" customHeight="1">
      <c r="A15" s="86">
        <v>3</v>
      </c>
      <c r="B15" s="966"/>
      <c r="C15" s="967"/>
      <c r="D15" s="967"/>
      <c r="E15" s="414"/>
      <c r="F15" s="380"/>
      <c r="G15" s="690"/>
      <c r="H15" s="680"/>
      <c r="I15" s="662">
        <f t="shared" si="1"/>
      </c>
      <c r="J15" s="664"/>
      <c r="K15" s="662">
        <f t="shared" si="2"/>
      </c>
      <c r="L15" s="662">
        <f t="shared" si="3"/>
      </c>
      <c r="M15" s="663">
        <f t="shared" si="0"/>
      </c>
      <c r="N15" s="81">
        <v>3</v>
      </c>
      <c r="O15" s="433">
        <v>8</v>
      </c>
    </row>
    <row r="16" spans="1:15" ht="30.75" customHeight="1">
      <c r="A16" s="86">
        <v>4</v>
      </c>
      <c r="B16" s="966"/>
      <c r="C16" s="967"/>
      <c r="D16" s="967"/>
      <c r="E16" s="414"/>
      <c r="F16" s="380"/>
      <c r="G16" s="690"/>
      <c r="H16" s="680"/>
      <c r="I16" s="662">
        <f t="shared" si="1"/>
      </c>
      <c r="J16" s="664"/>
      <c r="K16" s="662">
        <f t="shared" si="2"/>
      </c>
      <c r="L16" s="662">
        <f t="shared" si="3"/>
      </c>
      <c r="M16" s="663">
        <f t="shared" si="0"/>
      </c>
      <c r="N16" s="82">
        <v>4</v>
      </c>
      <c r="O16" s="433">
        <v>8</v>
      </c>
    </row>
    <row r="17" spans="1:15" ht="30.75" customHeight="1">
      <c r="A17" s="86">
        <v>5</v>
      </c>
      <c r="B17" s="966"/>
      <c r="C17" s="967"/>
      <c r="D17" s="967"/>
      <c r="E17" s="414"/>
      <c r="F17" s="380"/>
      <c r="G17" s="690"/>
      <c r="H17" s="680"/>
      <c r="I17" s="662">
        <f t="shared" si="1"/>
      </c>
      <c r="J17" s="664"/>
      <c r="K17" s="662">
        <f t="shared" si="2"/>
      </c>
      <c r="L17" s="662">
        <f t="shared" si="3"/>
      </c>
      <c r="M17" s="663">
        <f t="shared" si="0"/>
      </c>
      <c r="N17" s="81">
        <v>5</v>
      </c>
      <c r="O17" s="433">
        <v>8</v>
      </c>
    </row>
    <row r="18" spans="1:15" ht="30.75" customHeight="1">
      <c r="A18" s="86">
        <v>6</v>
      </c>
      <c r="B18" s="966"/>
      <c r="C18" s="967"/>
      <c r="D18" s="967"/>
      <c r="E18" s="414"/>
      <c r="F18" s="380"/>
      <c r="G18" s="690"/>
      <c r="H18" s="680"/>
      <c r="I18" s="662">
        <f t="shared" si="1"/>
      </c>
      <c r="J18" s="664"/>
      <c r="K18" s="662">
        <f t="shared" si="2"/>
      </c>
      <c r="L18" s="662">
        <f t="shared" si="3"/>
      </c>
      <c r="M18" s="663">
        <f t="shared" si="0"/>
      </c>
      <c r="N18" s="82">
        <v>6</v>
      </c>
      <c r="O18" s="433">
        <v>8</v>
      </c>
    </row>
    <row r="19" spans="1:15" ht="30.75" customHeight="1">
      <c r="A19" s="86">
        <v>7</v>
      </c>
      <c r="B19" s="966"/>
      <c r="C19" s="967"/>
      <c r="D19" s="967"/>
      <c r="E19" s="414"/>
      <c r="F19" s="415"/>
      <c r="G19" s="690"/>
      <c r="H19" s="680"/>
      <c r="I19" s="662">
        <f t="shared" si="1"/>
      </c>
      <c r="J19" s="664"/>
      <c r="K19" s="662">
        <f t="shared" si="2"/>
      </c>
      <c r="L19" s="662">
        <f t="shared" si="3"/>
      </c>
      <c r="M19" s="663">
        <f t="shared" si="0"/>
      </c>
      <c r="N19" s="81">
        <v>7</v>
      </c>
      <c r="O19" s="433">
        <v>8</v>
      </c>
    </row>
    <row r="20" spans="1:15" ht="30.75" customHeight="1">
      <c r="A20" s="86">
        <v>8</v>
      </c>
      <c r="B20" s="966"/>
      <c r="C20" s="967"/>
      <c r="D20" s="967"/>
      <c r="E20" s="414"/>
      <c r="F20" s="380"/>
      <c r="G20" s="690"/>
      <c r="H20" s="680"/>
      <c r="I20" s="662">
        <f t="shared" si="1"/>
      </c>
      <c r="J20" s="664"/>
      <c r="K20" s="662">
        <f t="shared" si="2"/>
      </c>
      <c r="L20" s="662">
        <f t="shared" si="3"/>
      </c>
      <c r="M20" s="663">
        <f t="shared" si="0"/>
      </c>
      <c r="N20" s="82">
        <v>8</v>
      </c>
      <c r="O20" s="433">
        <v>8</v>
      </c>
    </row>
    <row r="21" spans="1:15" ht="30.75" customHeight="1">
      <c r="A21" s="86">
        <v>9</v>
      </c>
      <c r="B21" s="966"/>
      <c r="C21" s="967"/>
      <c r="D21" s="967"/>
      <c r="E21" s="414"/>
      <c r="F21" s="380"/>
      <c r="G21" s="690"/>
      <c r="H21" s="680"/>
      <c r="I21" s="662">
        <f t="shared" si="1"/>
      </c>
      <c r="J21" s="664"/>
      <c r="K21" s="662">
        <f t="shared" si="2"/>
      </c>
      <c r="L21" s="662">
        <f t="shared" si="3"/>
      </c>
      <c r="M21" s="663">
        <f t="shared" si="0"/>
      </c>
      <c r="N21" s="81">
        <v>9</v>
      </c>
      <c r="O21" s="433">
        <v>8</v>
      </c>
    </row>
    <row r="22" spans="1:15" ht="30.75" customHeight="1">
      <c r="A22" s="86">
        <v>10</v>
      </c>
      <c r="B22" s="966"/>
      <c r="C22" s="967"/>
      <c r="D22" s="967"/>
      <c r="E22" s="414"/>
      <c r="F22" s="380"/>
      <c r="G22" s="690"/>
      <c r="H22" s="680"/>
      <c r="I22" s="662">
        <f t="shared" si="1"/>
      </c>
      <c r="J22" s="664"/>
      <c r="K22" s="662">
        <f t="shared" si="2"/>
      </c>
      <c r="L22" s="662">
        <f t="shared" si="3"/>
      </c>
      <c r="M22" s="663">
        <f t="shared" si="0"/>
      </c>
      <c r="N22" s="82">
        <v>10</v>
      </c>
      <c r="O22" s="433">
        <v>8</v>
      </c>
    </row>
    <row r="23" spans="1:15" ht="30.75" customHeight="1">
      <c r="A23" s="86">
        <v>11</v>
      </c>
      <c r="B23" s="966"/>
      <c r="C23" s="967"/>
      <c r="D23" s="967"/>
      <c r="E23" s="414"/>
      <c r="F23" s="380"/>
      <c r="G23" s="690"/>
      <c r="H23" s="680"/>
      <c r="I23" s="662">
        <f t="shared" si="1"/>
      </c>
      <c r="J23" s="664"/>
      <c r="K23" s="662">
        <f t="shared" si="2"/>
      </c>
      <c r="L23" s="662">
        <f t="shared" si="3"/>
      </c>
      <c r="M23" s="663">
        <f t="shared" si="0"/>
      </c>
      <c r="N23" s="81">
        <v>11</v>
      </c>
      <c r="O23" s="433">
        <v>8</v>
      </c>
    </row>
    <row r="24" spans="1:15" ht="30.75" customHeight="1">
      <c r="A24" s="86">
        <v>12</v>
      </c>
      <c r="B24" s="966"/>
      <c r="C24" s="967"/>
      <c r="D24" s="967"/>
      <c r="E24" s="414"/>
      <c r="F24" s="380"/>
      <c r="G24" s="690"/>
      <c r="H24" s="680"/>
      <c r="I24" s="662">
        <f t="shared" si="1"/>
      </c>
      <c r="J24" s="664"/>
      <c r="K24" s="662">
        <f t="shared" si="2"/>
      </c>
      <c r="L24" s="662">
        <f t="shared" si="3"/>
      </c>
      <c r="M24" s="663">
        <f t="shared" si="0"/>
      </c>
      <c r="N24" s="82">
        <v>12</v>
      </c>
      <c r="O24" s="433">
        <v>8</v>
      </c>
    </row>
    <row r="25" spans="1:15" ht="30.75" customHeight="1">
      <c r="A25" s="86">
        <v>13</v>
      </c>
      <c r="B25" s="966"/>
      <c r="C25" s="967"/>
      <c r="D25" s="967"/>
      <c r="E25" s="414"/>
      <c r="F25" s="380"/>
      <c r="G25" s="690"/>
      <c r="H25" s="680"/>
      <c r="I25" s="662">
        <f t="shared" si="1"/>
      </c>
      <c r="J25" s="664"/>
      <c r="K25" s="662">
        <f t="shared" si="2"/>
      </c>
      <c r="L25" s="662">
        <f t="shared" si="3"/>
      </c>
      <c r="M25" s="663">
        <f t="shared" si="0"/>
      </c>
      <c r="N25" s="81">
        <v>13</v>
      </c>
      <c r="O25" s="433">
        <v>8</v>
      </c>
    </row>
    <row r="26" spans="1:15" ht="30.75" customHeight="1">
      <c r="A26" s="86">
        <v>14</v>
      </c>
      <c r="B26" s="966"/>
      <c r="C26" s="967"/>
      <c r="D26" s="967"/>
      <c r="E26" s="416"/>
      <c r="F26" s="380"/>
      <c r="G26" s="690"/>
      <c r="H26" s="680"/>
      <c r="I26" s="662">
        <f t="shared" si="1"/>
      </c>
      <c r="J26" s="664"/>
      <c r="K26" s="662">
        <f t="shared" si="2"/>
      </c>
      <c r="L26" s="662">
        <f t="shared" si="3"/>
      </c>
      <c r="M26" s="663">
        <f t="shared" si="0"/>
      </c>
      <c r="N26" s="82">
        <v>14</v>
      </c>
      <c r="O26" s="433">
        <v>8</v>
      </c>
    </row>
    <row r="27" spans="1:15" ht="30.75" customHeight="1">
      <c r="A27" s="86">
        <v>15</v>
      </c>
      <c r="B27" s="966"/>
      <c r="C27" s="967"/>
      <c r="D27" s="967"/>
      <c r="E27" s="416"/>
      <c r="F27" s="380"/>
      <c r="G27" s="690"/>
      <c r="H27" s="680"/>
      <c r="I27" s="662">
        <f t="shared" si="1"/>
      </c>
      <c r="J27" s="664"/>
      <c r="K27" s="662">
        <f t="shared" si="2"/>
      </c>
      <c r="L27" s="662">
        <f t="shared" si="3"/>
      </c>
      <c r="M27" s="663">
        <f t="shared" si="0"/>
      </c>
      <c r="N27" s="81">
        <v>15</v>
      </c>
      <c r="O27" s="433">
        <v>8</v>
      </c>
    </row>
    <row r="28" spans="1:15" ht="30.75" customHeight="1">
      <c r="A28" s="86">
        <v>16</v>
      </c>
      <c r="B28" s="966"/>
      <c r="C28" s="967"/>
      <c r="D28" s="967"/>
      <c r="E28" s="414"/>
      <c r="F28" s="380"/>
      <c r="G28" s="690"/>
      <c r="H28" s="680"/>
      <c r="I28" s="662">
        <f t="shared" si="1"/>
      </c>
      <c r="J28" s="664"/>
      <c r="K28" s="662">
        <f t="shared" si="2"/>
      </c>
      <c r="L28" s="662">
        <f t="shared" si="3"/>
      </c>
      <c r="M28" s="663">
        <f t="shared" si="0"/>
      </c>
      <c r="N28" s="82">
        <v>16</v>
      </c>
      <c r="O28" s="433">
        <v>8</v>
      </c>
    </row>
    <row r="29" spans="1:15" ht="30.75" customHeight="1">
      <c r="A29" s="86">
        <v>17</v>
      </c>
      <c r="B29" s="966"/>
      <c r="C29" s="967"/>
      <c r="D29" s="967"/>
      <c r="E29" s="414"/>
      <c r="F29" s="380"/>
      <c r="G29" s="690"/>
      <c r="H29" s="680"/>
      <c r="I29" s="662">
        <f t="shared" si="1"/>
      </c>
      <c r="J29" s="664"/>
      <c r="K29" s="662">
        <f t="shared" si="2"/>
      </c>
      <c r="L29" s="662">
        <f t="shared" si="3"/>
      </c>
      <c r="M29" s="663">
        <f t="shared" si="0"/>
      </c>
      <c r="N29" s="81">
        <v>17</v>
      </c>
      <c r="O29" s="433">
        <v>8</v>
      </c>
    </row>
    <row r="30" spans="1:15" ht="30.75" customHeight="1">
      <c r="A30" s="86">
        <v>18</v>
      </c>
      <c r="B30" s="966"/>
      <c r="C30" s="967"/>
      <c r="D30" s="967"/>
      <c r="E30" s="414"/>
      <c r="F30" s="380"/>
      <c r="G30" s="690"/>
      <c r="H30" s="680"/>
      <c r="I30" s="662">
        <f t="shared" si="1"/>
      </c>
      <c r="J30" s="664"/>
      <c r="K30" s="662">
        <f t="shared" si="2"/>
      </c>
      <c r="L30" s="662">
        <f t="shared" si="3"/>
      </c>
      <c r="M30" s="663">
        <f t="shared" si="0"/>
      </c>
      <c r="N30" s="82">
        <v>18</v>
      </c>
      <c r="O30" s="433">
        <v>8</v>
      </c>
    </row>
    <row r="31" spans="1:15" ht="30.75" customHeight="1">
      <c r="A31" s="86">
        <v>19</v>
      </c>
      <c r="B31" s="966"/>
      <c r="C31" s="967"/>
      <c r="D31" s="967"/>
      <c r="E31" s="416"/>
      <c r="F31" s="380"/>
      <c r="G31" s="690"/>
      <c r="H31" s="680"/>
      <c r="I31" s="662">
        <f t="shared" si="1"/>
      </c>
      <c r="J31" s="664"/>
      <c r="K31" s="662">
        <f t="shared" si="2"/>
      </c>
      <c r="L31" s="662">
        <f t="shared" si="3"/>
      </c>
      <c r="M31" s="663">
        <f t="shared" si="0"/>
      </c>
      <c r="N31" s="81">
        <v>19</v>
      </c>
      <c r="O31" s="433">
        <v>8</v>
      </c>
    </row>
    <row r="32" spans="1:15" ht="30.75" customHeight="1" thickBot="1">
      <c r="A32" s="149">
        <v>20</v>
      </c>
      <c r="B32" s="975"/>
      <c r="C32" s="976"/>
      <c r="D32" s="976"/>
      <c r="E32" s="417"/>
      <c r="F32" s="384"/>
      <c r="G32" s="693"/>
      <c r="H32" s="682"/>
      <c r="I32" s="665">
        <f t="shared" si="1"/>
      </c>
      <c r="J32" s="666"/>
      <c r="K32" s="665">
        <f t="shared" si="2"/>
      </c>
      <c r="L32" s="665">
        <f t="shared" si="3"/>
      </c>
      <c r="M32" s="667">
        <f t="shared" si="0"/>
      </c>
      <c r="N32" s="150">
        <v>20</v>
      </c>
      <c r="O32" s="434">
        <v>8</v>
      </c>
    </row>
    <row r="33" spans="1:14" ht="21" customHeight="1" thickBot="1">
      <c r="A33" s="978" t="s">
        <v>27</v>
      </c>
      <c r="B33" s="979"/>
      <c r="C33" s="979"/>
      <c r="D33" s="979"/>
      <c r="E33" s="979"/>
      <c r="F33" s="979"/>
      <c r="G33" s="979"/>
      <c r="H33" s="979"/>
      <c r="I33" s="979"/>
      <c r="J33" s="398"/>
      <c r="K33" s="661">
        <f>SUM(K13:K32)</f>
        <v>446040</v>
      </c>
      <c r="L33" s="661">
        <f>SUM(L13:L32)</f>
        <v>413000</v>
      </c>
      <c r="M33" s="655">
        <f>SUM(M13:M32)</f>
        <v>413000</v>
      </c>
      <c r="N33" s="83"/>
    </row>
    <row r="34" spans="1:14" ht="13.5" customHeight="1">
      <c r="A34" s="407"/>
      <c r="N34" s="80"/>
    </row>
    <row r="35" spans="1:14" ht="13.5" customHeight="1">
      <c r="A35" s="407"/>
      <c r="B35" s="8" t="s">
        <v>34</v>
      </c>
      <c r="D35" s="407"/>
      <c r="E35" s="396" t="s">
        <v>115</v>
      </c>
      <c r="N35" s="80"/>
    </row>
    <row r="36" ht="13.5" customHeight="1">
      <c r="E36" s="396" t="s">
        <v>116</v>
      </c>
    </row>
    <row r="37" spans="2:5" ht="13.5" customHeight="1">
      <c r="B37" s="8" t="s">
        <v>35</v>
      </c>
      <c r="E37" s="396" t="s">
        <v>117</v>
      </c>
    </row>
    <row r="38" spans="2:5" ht="13.5" customHeight="1">
      <c r="B38" s="8" t="s">
        <v>36</v>
      </c>
      <c r="E38" s="396" t="s">
        <v>118</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6"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2"/>
      <c r="H1" s="13"/>
      <c r="P1" s="13"/>
      <c r="Q1" s="403"/>
      <c r="R1" s="403"/>
    </row>
    <row r="2" spans="1:18" ht="13.5">
      <c r="A2" s="13"/>
      <c r="B2" s="802" t="s">
        <v>899</v>
      </c>
      <c r="E2" s="402"/>
      <c r="H2" s="13"/>
      <c r="P2" s="13"/>
      <c r="Q2" s="403"/>
      <c r="R2" s="403"/>
    </row>
    <row r="3" spans="1:18" ht="13.5">
      <c r="A3" s="13"/>
      <c r="E3" s="402"/>
      <c r="H3" s="13"/>
      <c r="P3" s="13"/>
      <c r="Q3" s="403"/>
      <c r="R3" s="403"/>
    </row>
    <row r="4" spans="1:6" ht="13.5" customHeight="1">
      <c r="A4" s="972" t="s">
        <v>976</v>
      </c>
      <c r="B4" s="972"/>
      <c r="C4" s="972"/>
      <c r="D4" s="972"/>
      <c r="E4" s="972"/>
      <c r="F4" s="13"/>
    </row>
    <row r="5" spans="1:14" ht="13.5" customHeight="1">
      <c r="A5" s="80"/>
      <c r="B5" s="80"/>
      <c r="C5" s="80"/>
      <c r="D5" s="80"/>
      <c r="E5" s="404"/>
      <c r="F5" s="13"/>
      <c r="N5" s="80"/>
    </row>
    <row r="6" spans="1:14" ht="13.5" customHeight="1">
      <c r="A6" s="80"/>
      <c r="B6" s="80" t="s">
        <v>29</v>
      </c>
      <c r="C6" s="404" t="s">
        <v>33</v>
      </c>
      <c r="D6" s="80"/>
      <c r="E6" s="404"/>
      <c r="F6" s="405" t="s">
        <v>28</v>
      </c>
      <c r="N6" s="80"/>
    </row>
    <row r="7" spans="1:14" ht="13.5" customHeight="1">
      <c r="A7" s="80"/>
      <c r="B7" s="80"/>
      <c r="C7" s="80"/>
      <c r="D7" s="80"/>
      <c r="E7" s="404"/>
      <c r="F7" s="566" t="s">
        <v>783</v>
      </c>
      <c r="N7" s="80"/>
    </row>
    <row r="8" spans="1:15" ht="13.5" customHeight="1">
      <c r="A8" s="80"/>
      <c r="B8" s="80"/>
      <c r="C8" s="80"/>
      <c r="D8" s="80"/>
      <c r="E8" s="404"/>
      <c r="F8" s="13"/>
      <c r="M8" s="8" t="s">
        <v>37</v>
      </c>
      <c r="N8" s="80"/>
      <c r="O8" s="406"/>
    </row>
    <row r="9" spans="1:14" ht="13.5" customHeight="1">
      <c r="A9" s="407"/>
      <c r="F9" s="13"/>
      <c r="I9" s="9" t="s">
        <v>669</v>
      </c>
      <c r="J9" s="396" t="str">
        <f>IF('基本情報入力（使い方）'!$C$10="","",'基本情報入力（使い方）'!$C$10)</f>
        <v>Ｂ金属株式会社</v>
      </c>
      <c r="K9" s="9"/>
      <c r="L9" s="45"/>
      <c r="M9" s="408"/>
      <c r="N9" s="80"/>
    </row>
    <row r="10" spans="1:14" ht="13.5" customHeight="1" thickBot="1">
      <c r="A10" s="407"/>
      <c r="F10" s="13"/>
      <c r="N10" s="80"/>
    </row>
    <row r="11" spans="1:15" ht="27" customHeight="1">
      <c r="A11" s="973" t="s">
        <v>13</v>
      </c>
      <c r="B11" s="960" t="s">
        <v>14</v>
      </c>
      <c r="C11" s="960"/>
      <c r="D11" s="961"/>
      <c r="E11" s="10" t="s">
        <v>15</v>
      </c>
      <c r="F11" s="10" t="s">
        <v>16</v>
      </c>
      <c r="G11" s="10" t="s">
        <v>17</v>
      </c>
      <c r="H11" s="10" t="s">
        <v>18</v>
      </c>
      <c r="I11" s="10" t="s">
        <v>7</v>
      </c>
      <c r="J11" s="10" t="s">
        <v>7</v>
      </c>
      <c r="K11" s="977" t="s">
        <v>19</v>
      </c>
      <c r="L11" s="961"/>
      <c r="M11" s="10" t="s">
        <v>20</v>
      </c>
      <c r="N11" s="962" t="s">
        <v>13</v>
      </c>
      <c r="O11" s="964" t="s">
        <v>132</v>
      </c>
    </row>
    <row r="12" spans="1:15" ht="42" customHeight="1" thickBot="1">
      <c r="A12" s="974"/>
      <c r="B12" s="409" t="s">
        <v>21</v>
      </c>
      <c r="C12" s="409" t="s">
        <v>22</v>
      </c>
      <c r="D12" s="410" t="s">
        <v>23</v>
      </c>
      <c r="E12" s="411"/>
      <c r="F12" s="412"/>
      <c r="G12" s="397"/>
      <c r="H12" s="397"/>
      <c r="I12" s="397" t="s">
        <v>24</v>
      </c>
      <c r="J12" s="397" t="s">
        <v>41</v>
      </c>
      <c r="K12" s="397" t="s">
        <v>25</v>
      </c>
      <c r="L12" s="11" t="s">
        <v>39</v>
      </c>
      <c r="M12" s="397" t="s">
        <v>26</v>
      </c>
      <c r="N12" s="963"/>
      <c r="O12" s="965"/>
    </row>
    <row r="13" spans="1:15" ht="30.75" customHeight="1">
      <c r="A13" s="85">
        <v>1</v>
      </c>
      <c r="B13" s="970"/>
      <c r="C13" s="971"/>
      <c r="D13" s="971"/>
      <c r="E13" s="413" t="s">
        <v>932</v>
      </c>
      <c r="F13" s="378" t="s">
        <v>956</v>
      </c>
      <c r="G13" s="690">
        <v>10</v>
      </c>
      <c r="H13" s="680" t="s">
        <v>957</v>
      </c>
      <c r="I13" s="662">
        <f>IF(J13="","",ROUNDDOWN(J13*(1+O13/100),0))</f>
        <v>54000</v>
      </c>
      <c r="J13" s="657">
        <v>50000</v>
      </c>
      <c r="K13" s="662">
        <f>IF(L13="","",ROUNDDOWN(L13*(1+O13/100),0))</f>
        <v>540000</v>
      </c>
      <c r="L13" s="662">
        <f>IF(OR(J13="",G13=""),"",ROUNDDOWN(J13*G13,0))</f>
        <v>500000</v>
      </c>
      <c r="M13" s="663">
        <f aca="true" t="shared" si="0" ref="M13:M32">L13</f>
        <v>500000</v>
      </c>
      <c r="N13" s="81">
        <v>1</v>
      </c>
      <c r="O13" s="433">
        <v>8</v>
      </c>
    </row>
    <row r="14" spans="1:15" ht="30.75" customHeight="1">
      <c r="A14" s="86">
        <v>2</v>
      </c>
      <c r="B14" s="966"/>
      <c r="C14" s="967"/>
      <c r="D14" s="967"/>
      <c r="E14" s="414"/>
      <c r="F14" s="380"/>
      <c r="G14" s="690"/>
      <c r="H14" s="680"/>
      <c r="I14" s="662">
        <f aca="true" t="shared" si="1" ref="I14:I32">IF(J14="","",ROUNDDOWN(J14*(1+O14/100),0))</f>
      </c>
      <c r="J14" s="664"/>
      <c r="K14" s="662">
        <f aca="true" t="shared" si="2" ref="K14:K32">IF(L14="","",ROUNDDOWN(L14*(1+O14/100),0))</f>
      </c>
      <c r="L14" s="662">
        <f aca="true" t="shared" si="3" ref="L14:L32">IF(OR(J14="",G14=""),"",ROUNDDOWN(J14*G14,0))</f>
      </c>
      <c r="M14" s="663">
        <f t="shared" si="0"/>
      </c>
      <c r="N14" s="82">
        <v>2</v>
      </c>
      <c r="O14" s="433">
        <v>8</v>
      </c>
    </row>
    <row r="15" spans="1:15" ht="30.75" customHeight="1">
      <c r="A15" s="86">
        <v>3</v>
      </c>
      <c r="B15" s="966"/>
      <c r="C15" s="967"/>
      <c r="D15" s="967"/>
      <c r="E15" s="414"/>
      <c r="F15" s="380"/>
      <c r="G15" s="690"/>
      <c r="H15" s="680"/>
      <c r="I15" s="662">
        <f t="shared" si="1"/>
      </c>
      <c r="J15" s="664"/>
      <c r="K15" s="662">
        <f t="shared" si="2"/>
      </c>
      <c r="L15" s="662">
        <f t="shared" si="3"/>
      </c>
      <c r="M15" s="663">
        <f t="shared" si="0"/>
      </c>
      <c r="N15" s="81">
        <v>3</v>
      </c>
      <c r="O15" s="433">
        <v>8</v>
      </c>
    </row>
    <row r="16" spans="1:15" ht="30.75" customHeight="1">
      <c r="A16" s="86">
        <v>4</v>
      </c>
      <c r="B16" s="966"/>
      <c r="C16" s="967"/>
      <c r="D16" s="967"/>
      <c r="E16" s="414"/>
      <c r="F16" s="380"/>
      <c r="G16" s="690"/>
      <c r="H16" s="680"/>
      <c r="I16" s="662">
        <f t="shared" si="1"/>
      </c>
      <c r="J16" s="664"/>
      <c r="K16" s="662">
        <f t="shared" si="2"/>
      </c>
      <c r="L16" s="662">
        <f t="shared" si="3"/>
      </c>
      <c r="M16" s="663">
        <f t="shared" si="0"/>
      </c>
      <c r="N16" s="82">
        <v>4</v>
      </c>
      <c r="O16" s="433">
        <v>8</v>
      </c>
    </row>
    <row r="17" spans="1:15" ht="30.75" customHeight="1">
      <c r="A17" s="86">
        <v>5</v>
      </c>
      <c r="B17" s="966"/>
      <c r="C17" s="967"/>
      <c r="D17" s="967"/>
      <c r="E17" s="414"/>
      <c r="F17" s="380"/>
      <c r="G17" s="690"/>
      <c r="H17" s="680"/>
      <c r="I17" s="662">
        <f t="shared" si="1"/>
      </c>
      <c r="J17" s="664"/>
      <c r="K17" s="662">
        <f t="shared" si="2"/>
      </c>
      <c r="L17" s="662">
        <f t="shared" si="3"/>
      </c>
      <c r="M17" s="663">
        <f t="shared" si="0"/>
      </c>
      <c r="N17" s="81">
        <v>5</v>
      </c>
      <c r="O17" s="433">
        <v>8</v>
      </c>
    </row>
    <row r="18" spans="1:15" ht="30.75" customHeight="1">
      <c r="A18" s="86">
        <v>6</v>
      </c>
      <c r="B18" s="966"/>
      <c r="C18" s="967"/>
      <c r="D18" s="967"/>
      <c r="E18" s="414"/>
      <c r="F18" s="380"/>
      <c r="G18" s="690"/>
      <c r="H18" s="680"/>
      <c r="I18" s="662">
        <f t="shared" si="1"/>
      </c>
      <c r="J18" s="664"/>
      <c r="K18" s="662">
        <f t="shared" si="2"/>
      </c>
      <c r="L18" s="662">
        <f t="shared" si="3"/>
      </c>
      <c r="M18" s="663">
        <f t="shared" si="0"/>
      </c>
      <c r="N18" s="82">
        <v>6</v>
      </c>
      <c r="O18" s="433">
        <v>8</v>
      </c>
    </row>
    <row r="19" spans="1:15" ht="30.75" customHeight="1">
      <c r="A19" s="86">
        <v>7</v>
      </c>
      <c r="B19" s="966"/>
      <c r="C19" s="967"/>
      <c r="D19" s="967"/>
      <c r="E19" s="414"/>
      <c r="F19" s="415"/>
      <c r="G19" s="690"/>
      <c r="H19" s="680"/>
      <c r="I19" s="662">
        <f t="shared" si="1"/>
      </c>
      <c r="J19" s="664"/>
      <c r="K19" s="662">
        <f t="shared" si="2"/>
      </c>
      <c r="L19" s="662">
        <f t="shared" si="3"/>
      </c>
      <c r="M19" s="663">
        <f t="shared" si="0"/>
      </c>
      <c r="N19" s="81">
        <v>7</v>
      </c>
      <c r="O19" s="433">
        <v>8</v>
      </c>
    </row>
    <row r="20" spans="1:15" ht="30.75" customHeight="1">
      <c r="A20" s="86">
        <v>8</v>
      </c>
      <c r="B20" s="966"/>
      <c r="C20" s="967"/>
      <c r="D20" s="967"/>
      <c r="E20" s="414"/>
      <c r="F20" s="380"/>
      <c r="G20" s="690"/>
      <c r="H20" s="680"/>
      <c r="I20" s="662">
        <f t="shared" si="1"/>
      </c>
      <c r="J20" s="664"/>
      <c r="K20" s="662">
        <f t="shared" si="2"/>
      </c>
      <c r="L20" s="662">
        <f t="shared" si="3"/>
      </c>
      <c r="M20" s="663">
        <f t="shared" si="0"/>
      </c>
      <c r="N20" s="82">
        <v>8</v>
      </c>
      <c r="O20" s="433">
        <v>8</v>
      </c>
    </row>
    <row r="21" spans="1:15" ht="30.75" customHeight="1">
      <c r="A21" s="86">
        <v>9</v>
      </c>
      <c r="B21" s="966"/>
      <c r="C21" s="967"/>
      <c r="D21" s="967"/>
      <c r="E21" s="414"/>
      <c r="F21" s="380"/>
      <c r="G21" s="690"/>
      <c r="H21" s="680"/>
      <c r="I21" s="662">
        <f t="shared" si="1"/>
      </c>
      <c r="J21" s="664"/>
      <c r="K21" s="662">
        <f t="shared" si="2"/>
      </c>
      <c r="L21" s="662">
        <f t="shared" si="3"/>
      </c>
      <c r="M21" s="663">
        <f t="shared" si="0"/>
      </c>
      <c r="N21" s="81">
        <v>9</v>
      </c>
      <c r="O21" s="433">
        <v>8</v>
      </c>
    </row>
    <row r="22" spans="1:15" ht="30.75" customHeight="1">
      <c r="A22" s="86">
        <v>10</v>
      </c>
      <c r="B22" s="966"/>
      <c r="C22" s="967"/>
      <c r="D22" s="967"/>
      <c r="E22" s="414"/>
      <c r="F22" s="380"/>
      <c r="G22" s="690"/>
      <c r="H22" s="680"/>
      <c r="I22" s="662">
        <f t="shared" si="1"/>
      </c>
      <c r="J22" s="664"/>
      <c r="K22" s="662">
        <f t="shared" si="2"/>
      </c>
      <c r="L22" s="662">
        <f t="shared" si="3"/>
      </c>
      <c r="M22" s="663">
        <f t="shared" si="0"/>
      </c>
      <c r="N22" s="82">
        <v>10</v>
      </c>
      <c r="O22" s="433">
        <v>8</v>
      </c>
    </row>
    <row r="23" spans="1:15" ht="30.75" customHeight="1">
      <c r="A23" s="86">
        <v>11</v>
      </c>
      <c r="B23" s="966"/>
      <c r="C23" s="967"/>
      <c r="D23" s="967"/>
      <c r="E23" s="414"/>
      <c r="F23" s="380"/>
      <c r="G23" s="690"/>
      <c r="H23" s="680"/>
      <c r="I23" s="662">
        <f t="shared" si="1"/>
      </c>
      <c r="J23" s="664"/>
      <c r="K23" s="662">
        <f t="shared" si="2"/>
      </c>
      <c r="L23" s="662">
        <f t="shared" si="3"/>
      </c>
      <c r="M23" s="663">
        <f t="shared" si="0"/>
      </c>
      <c r="N23" s="81">
        <v>11</v>
      </c>
      <c r="O23" s="433">
        <v>8</v>
      </c>
    </row>
    <row r="24" spans="1:15" ht="30.75" customHeight="1">
      <c r="A24" s="86">
        <v>12</v>
      </c>
      <c r="B24" s="966"/>
      <c r="C24" s="967"/>
      <c r="D24" s="967"/>
      <c r="E24" s="414"/>
      <c r="F24" s="380"/>
      <c r="G24" s="690"/>
      <c r="H24" s="680"/>
      <c r="I24" s="662">
        <f t="shared" si="1"/>
      </c>
      <c r="J24" s="664"/>
      <c r="K24" s="662">
        <f t="shared" si="2"/>
      </c>
      <c r="L24" s="662">
        <f t="shared" si="3"/>
      </c>
      <c r="M24" s="663">
        <f t="shared" si="0"/>
      </c>
      <c r="N24" s="82">
        <v>12</v>
      </c>
      <c r="O24" s="433">
        <v>8</v>
      </c>
    </row>
    <row r="25" spans="1:15" ht="30.75" customHeight="1">
      <c r="A25" s="86">
        <v>13</v>
      </c>
      <c r="B25" s="966"/>
      <c r="C25" s="967"/>
      <c r="D25" s="967"/>
      <c r="E25" s="414"/>
      <c r="F25" s="380"/>
      <c r="G25" s="690"/>
      <c r="H25" s="680"/>
      <c r="I25" s="662">
        <f t="shared" si="1"/>
      </c>
      <c r="J25" s="664"/>
      <c r="K25" s="662">
        <f t="shared" si="2"/>
      </c>
      <c r="L25" s="662">
        <f t="shared" si="3"/>
      </c>
      <c r="M25" s="663">
        <f t="shared" si="0"/>
      </c>
      <c r="N25" s="81">
        <v>13</v>
      </c>
      <c r="O25" s="433">
        <v>8</v>
      </c>
    </row>
    <row r="26" spans="1:15" ht="30.75" customHeight="1">
      <c r="A26" s="86">
        <v>14</v>
      </c>
      <c r="B26" s="966"/>
      <c r="C26" s="967"/>
      <c r="D26" s="967"/>
      <c r="E26" s="416"/>
      <c r="F26" s="380"/>
      <c r="G26" s="690"/>
      <c r="H26" s="680"/>
      <c r="I26" s="662">
        <f t="shared" si="1"/>
      </c>
      <c r="J26" s="664"/>
      <c r="K26" s="662">
        <f t="shared" si="2"/>
      </c>
      <c r="L26" s="662">
        <f t="shared" si="3"/>
      </c>
      <c r="M26" s="663">
        <f t="shared" si="0"/>
      </c>
      <c r="N26" s="82">
        <v>14</v>
      </c>
      <c r="O26" s="433">
        <v>8</v>
      </c>
    </row>
    <row r="27" spans="1:15" ht="30.75" customHeight="1">
      <c r="A27" s="86">
        <v>15</v>
      </c>
      <c r="B27" s="966"/>
      <c r="C27" s="967"/>
      <c r="D27" s="967"/>
      <c r="E27" s="416"/>
      <c r="F27" s="380"/>
      <c r="G27" s="690"/>
      <c r="H27" s="680"/>
      <c r="I27" s="662">
        <f t="shared" si="1"/>
      </c>
      <c r="J27" s="664"/>
      <c r="K27" s="662">
        <f t="shared" si="2"/>
      </c>
      <c r="L27" s="662">
        <f t="shared" si="3"/>
      </c>
      <c r="M27" s="663">
        <f t="shared" si="0"/>
      </c>
      <c r="N27" s="81">
        <v>15</v>
      </c>
      <c r="O27" s="433">
        <v>8</v>
      </c>
    </row>
    <row r="28" spans="1:15" ht="30.75" customHeight="1">
      <c r="A28" s="86">
        <v>16</v>
      </c>
      <c r="B28" s="966"/>
      <c r="C28" s="967"/>
      <c r="D28" s="967"/>
      <c r="E28" s="414"/>
      <c r="F28" s="380"/>
      <c r="G28" s="690"/>
      <c r="H28" s="680"/>
      <c r="I28" s="662">
        <f t="shared" si="1"/>
      </c>
      <c r="J28" s="664"/>
      <c r="K28" s="662">
        <f t="shared" si="2"/>
      </c>
      <c r="L28" s="662">
        <f t="shared" si="3"/>
      </c>
      <c r="M28" s="663">
        <f t="shared" si="0"/>
      </c>
      <c r="N28" s="82">
        <v>16</v>
      </c>
      <c r="O28" s="433">
        <v>8</v>
      </c>
    </row>
    <row r="29" spans="1:15" ht="30.75" customHeight="1">
      <c r="A29" s="86">
        <v>17</v>
      </c>
      <c r="B29" s="966"/>
      <c r="C29" s="967"/>
      <c r="D29" s="967"/>
      <c r="E29" s="414"/>
      <c r="F29" s="380"/>
      <c r="G29" s="690"/>
      <c r="H29" s="680"/>
      <c r="I29" s="662">
        <f t="shared" si="1"/>
      </c>
      <c r="J29" s="664"/>
      <c r="K29" s="662">
        <f t="shared" si="2"/>
      </c>
      <c r="L29" s="662">
        <f t="shared" si="3"/>
      </c>
      <c r="M29" s="663">
        <f t="shared" si="0"/>
      </c>
      <c r="N29" s="81">
        <v>17</v>
      </c>
      <c r="O29" s="433">
        <v>8</v>
      </c>
    </row>
    <row r="30" spans="1:15" ht="30.75" customHeight="1">
      <c r="A30" s="86">
        <v>18</v>
      </c>
      <c r="B30" s="966"/>
      <c r="C30" s="967"/>
      <c r="D30" s="967"/>
      <c r="E30" s="414"/>
      <c r="F30" s="380"/>
      <c r="G30" s="690"/>
      <c r="H30" s="680"/>
      <c r="I30" s="662">
        <f t="shared" si="1"/>
      </c>
      <c r="J30" s="664"/>
      <c r="K30" s="662">
        <f t="shared" si="2"/>
      </c>
      <c r="L30" s="662">
        <f t="shared" si="3"/>
      </c>
      <c r="M30" s="663">
        <f t="shared" si="0"/>
      </c>
      <c r="N30" s="82">
        <v>18</v>
      </c>
      <c r="O30" s="433">
        <v>8</v>
      </c>
    </row>
    <row r="31" spans="1:15" ht="30.75" customHeight="1">
      <c r="A31" s="86">
        <v>19</v>
      </c>
      <c r="B31" s="966"/>
      <c r="C31" s="967"/>
      <c r="D31" s="967"/>
      <c r="E31" s="416"/>
      <c r="F31" s="380"/>
      <c r="G31" s="690"/>
      <c r="H31" s="680"/>
      <c r="I31" s="662">
        <f t="shared" si="1"/>
      </c>
      <c r="J31" s="664"/>
      <c r="K31" s="662">
        <f t="shared" si="2"/>
      </c>
      <c r="L31" s="662">
        <f t="shared" si="3"/>
      </c>
      <c r="M31" s="663">
        <f t="shared" si="0"/>
      </c>
      <c r="N31" s="81">
        <v>19</v>
      </c>
      <c r="O31" s="433">
        <v>8</v>
      </c>
    </row>
    <row r="32" spans="1:15" ht="30.75" customHeight="1" thickBot="1">
      <c r="A32" s="149">
        <v>20</v>
      </c>
      <c r="B32" s="975"/>
      <c r="C32" s="976"/>
      <c r="D32" s="976"/>
      <c r="E32" s="417"/>
      <c r="F32" s="384"/>
      <c r="G32" s="693"/>
      <c r="H32" s="682"/>
      <c r="I32" s="665">
        <f t="shared" si="1"/>
      </c>
      <c r="J32" s="666"/>
      <c r="K32" s="665">
        <f t="shared" si="2"/>
      </c>
      <c r="L32" s="665">
        <f t="shared" si="3"/>
      </c>
      <c r="M32" s="667">
        <f t="shared" si="0"/>
      </c>
      <c r="N32" s="150">
        <v>20</v>
      </c>
      <c r="O32" s="434">
        <v>8</v>
      </c>
    </row>
    <row r="33" spans="1:14" ht="21" customHeight="1" thickBot="1">
      <c r="A33" s="978" t="s">
        <v>27</v>
      </c>
      <c r="B33" s="979"/>
      <c r="C33" s="979"/>
      <c r="D33" s="979"/>
      <c r="E33" s="979"/>
      <c r="F33" s="979"/>
      <c r="G33" s="979"/>
      <c r="H33" s="979"/>
      <c r="I33" s="979"/>
      <c r="J33" s="398"/>
      <c r="K33" s="661">
        <f>SUM(K13:K32)</f>
        <v>540000</v>
      </c>
      <c r="L33" s="661">
        <f>SUM(L13:L32)</f>
        <v>500000</v>
      </c>
      <c r="M33" s="655">
        <f>SUM(M13:M32)</f>
        <v>500000</v>
      </c>
      <c r="N33" s="83"/>
    </row>
    <row r="34" spans="1:14" ht="13.5" customHeight="1">
      <c r="A34" s="407"/>
      <c r="N34" s="80"/>
    </row>
    <row r="35" spans="1:14" ht="13.5" customHeight="1">
      <c r="A35" s="407"/>
      <c r="B35" s="8" t="s">
        <v>34</v>
      </c>
      <c r="D35" s="407"/>
      <c r="E35" s="396" t="s">
        <v>115</v>
      </c>
      <c r="N35" s="80"/>
    </row>
    <row r="36" ht="13.5" customHeight="1">
      <c r="E36" s="396" t="s">
        <v>116</v>
      </c>
    </row>
    <row r="37" spans="2:5" ht="13.5" customHeight="1">
      <c r="B37" s="8" t="s">
        <v>35</v>
      </c>
      <c r="E37" s="396" t="s">
        <v>117</v>
      </c>
    </row>
    <row r="38" spans="2:5" ht="13.5" customHeight="1">
      <c r="B38" s="8" t="s">
        <v>36</v>
      </c>
      <c r="E38" s="396" t="s">
        <v>118</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6" customWidth="1"/>
    <col min="6" max="6" width="16.140625" style="396" customWidth="1"/>
    <col min="7" max="7" width="9.140625" style="418"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02"/>
      <c r="G1" s="8"/>
      <c r="H1" s="13"/>
      <c r="O1" s="13"/>
      <c r="P1" s="13"/>
      <c r="Q1" s="403"/>
      <c r="R1" s="403"/>
    </row>
    <row r="2" spans="1:18" ht="13.5">
      <c r="A2" s="13"/>
      <c r="B2" s="802" t="s">
        <v>899</v>
      </c>
      <c r="E2" s="402"/>
      <c r="G2" s="8"/>
      <c r="H2" s="13"/>
      <c r="O2" s="13"/>
      <c r="P2" s="13"/>
      <c r="Q2" s="403"/>
      <c r="R2" s="403"/>
    </row>
    <row r="3" spans="1:18" ht="13.5">
      <c r="A3" s="13"/>
      <c r="E3" s="402"/>
      <c r="G3" s="8"/>
      <c r="H3" s="13"/>
      <c r="O3" s="13"/>
      <c r="P3" s="13"/>
      <c r="Q3" s="403"/>
      <c r="R3" s="403"/>
    </row>
    <row r="4" spans="1:6" ht="13.5" customHeight="1">
      <c r="A4" s="972" t="s">
        <v>976</v>
      </c>
      <c r="B4" s="972"/>
      <c r="C4" s="972"/>
      <c r="D4" s="972"/>
      <c r="E4" s="972"/>
      <c r="F4" s="13"/>
    </row>
    <row r="5" spans="1:14" ht="13.5" customHeight="1">
      <c r="A5" s="80"/>
      <c r="B5" s="80"/>
      <c r="C5" s="80"/>
      <c r="D5" s="80"/>
      <c r="E5" s="404"/>
      <c r="F5" s="13"/>
      <c r="N5" s="80"/>
    </row>
    <row r="6" spans="1:14" ht="13.5" customHeight="1">
      <c r="A6" s="80"/>
      <c r="B6" s="80" t="s">
        <v>29</v>
      </c>
      <c r="C6" s="404" t="s">
        <v>33</v>
      </c>
      <c r="D6" s="80"/>
      <c r="E6" s="404"/>
      <c r="F6" s="405" t="s">
        <v>28</v>
      </c>
      <c r="N6" s="80"/>
    </row>
    <row r="7" spans="1:14" ht="13.5" customHeight="1">
      <c r="A7" s="80"/>
      <c r="B7" s="80"/>
      <c r="C7" s="80"/>
      <c r="D7" s="80"/>
      <c r="E7" s="404"/>
      <c r="F7" s="566" t="s">
        <v>63</v>
      </c>
      <c r="N7" s="80"/>
    </row>
    <row r="8" spans="1:14" ht="13.5" customHeight="1">
      <c r="A8" s="80"/>
      <c r="B8" s="80"/>
      <c r="C8" s="80"/>
      <c r="D8" s="80"/>
      <c r="E8" s="404"/>
      <c r="F8" s="13"/>
      <c r="M8" s="8" t="s">
        <v>37</v>
      </c>
      <c r="N8" s="80"/>
    </row>
    <row r="9" spans="1:14" ht="13.5" customHeight="1">
      <c r="A9" s="407"/>
      <c r="F9" s="13"/>
      <c r="I9" s="9" t="s">
        <v>669</v>
      </c>
      <c r="J9" s="396" t="str">
        <f>IF('基本情報入力（使い方）'!$C$10="","",'基本情報入力（使い方）'!$C$10)</f>
        <v>Ｂ金属株式会社</v>
      </c>
      <c r="K9" s="9"/>
      <c r="L9" s="45"/>
      <c r="M9" s="340"/>
      <c r="N9" s="80"/>
    </row>
    <row r="10" spans="1:14" ht="13.5" customHeight="1" thickBot="1">
      <c r="A10" s="407"/>
      <c r="F10" s="13"/>
      <c r="N10" s="80"/>
    </row>
    <row r="11" spans="1:15" ht="27" customHeight="1">
      <c r="A11" s="973" t="s">
        <v>13</v>
      </c>
      <c r="B11" s="960" t="s">
        <v>14</v>
      </c>
      <c r="C11" s="960"/>
      <c r="D11" s="961"/>
      <c r="E11" s="10" t="s">
        <v>15</v>
      </c>
      <c r="F11" s="10" t="s">
        <v>16</v>
      </c>
      <c r="G11" s="419" t="s">
        <v>758</v>
      </c>
      <c r="H11" s="10" t="s">
        <v>756</v>
      </c>
      <c r="I11" s="10" t="s">
        <v>7</v>
      </c>
      <c r="J11" s="10" t="s">
        <v>7</v>
      </c>
      <c r="K11" s="977" t="s">
        <v>19</v>
      </c>
      <c r="L11" s="961"/>
      <c r="M11" s="399" t="s">
        <v>20</v>
      </c>
      <c r="N11" s="983" t="s">
        <v>13</v>
      </c>
      <c r="O11" s="420"/>
    </row>
    <row r="12" spans="1:15" ht="42" customHeight="1" thickBot="1">
      <c r="A12" s="974"/>
      <c r="B12" s="409" t="s">
        <v>21</v>
      </c>
      <c r="C12" s="409" t="s">
        <v>22</v>
      </c>
      <c r="D12" s="410" t="s">
        <v>23</v>
      </c>
      <c r="E12" s="411"/>
      <c r="F12" s="412"/>
      <c r="G12" s="421" t="s">
        <v>759</v>
      </c>
      <c r="H12" s="397" t="s">
        <v>757</v>
      </c>
      <c r="I12" s="397" t="s">
        <v>24</v>
      </c>
      <c r="J12" s="397" t="s">
        <v>41</v>
      </c>
      <c r="K12" s="397" t="s">
        <v>25</v>
      </c>
      <c r="L12" s="11" t="s">
        <v>39</v>
      </c>
      <c r="M12" s="11" t="s">
        <v>26</v>
      </c>
      <c r="N12" s="984"/>
      <c r="O12" s="422"/>
    </row>
    <row r="13" spans="1:15" ht="30.75" customHeight="1">
      <c r="A13" s="85">
        <v>1</v>
      </c>
      <c r="B13" s="970"/>
      <c r="C13" s="971"/>
      <c r="D13" s="971"/>
      <c r="E13" s="378" t="s">
        <v>933</v>
      </c>
      <c r="F13" s="378" t="s">
        <v>955</v>
      </c>
      <c r="G13" s="690">
        <v>80</v>
      </c>
      <c r="H13" s="683" t="s">
        <v>934</v>
      </c>
      <c r="I13" s="658">
        <f aca="true" t="shared" si="0" ref="I13:I32">IF(J13="","",J13)</f>
        <v>1000</v>
      </c>
      <c r="J13" s="657">
        <v>1000</v>
      </c>
      <c r="K13" s="656">
        <f>IF(OR(I13="",G13=""),"",ROUNDDOWN(I13*G13,0))</f>
        <v>80000</v>
      </c>
      <c r="L13" s="656">
        <f>IF(OR(J13="",G13=""),"",ROUNDDOWN(J13*G13,0))</f>
        <v>80000</v>
      </c>
      <c r="M13" s="656">
        <f aca="true" t="shared" si="1" ref="M13:M32">L13</f>
        <v>80000</v>
      </c>
      <c r="N13" s="815">
        <v>1</v>
      </c>
      <c r="O13" s="814"/>
    </row>
    <row r="14" spans="1:15" ht="30.75" customHeight="1">
      <c r="A14" s="86">
        <v>2</v>
      </c>
      <c r="B14" s="966"/>
      <c r="C14" s="967"/>
      <c r="D14" s="967"/>
      <c r="E14" s="379"/>
      <c r="F14" s="380"/>
      <c r="G14" s="690"/>
      <c r="H14" s="684"/>
      <c r="I14" s="658">
        <f t="shared" si="0"/>
      </c>
      <c r="J14" s="659"/>
      <c r="K14" s="658">
        <f aca="true" t="shared" si="2" ref="K14:K32">IF(OR(I14="",G14=""),"",ROUNDDOWN(I14*G14,0))</f>
      </c>
      <c r="L14" s="658">
        <f aca="true" t="shared" si="3" ref="L14:L32">IF(OR(J14="",G14=""),"",ROUNDDOWN(J14*G14,0))</f>
      </c>
      <c r="M14" s="658">
        <f t="shared" si="1"/>
      </c>
      <c r="N14" s="816">
        <v>2</v>
      </c>
      <c r="O14" s="814"/>
    </row>
    <row r="15" spans="1:15" ht="30.75" customHeight="1">
      <c r="A15" s="86">
        <v>3</v>
      </c>
      <c r="B15" s="966"/>
      <c r="C15" s="967"/>
      <c r="D15" s="967"/>
      <c r="E15" s="379"/>
      <c r="F15" s="380"/>
      <c r="G15" s="690"/>
      <c r="H15" s="684"/>
      <c r="I15" s="658">
        <f t="shared" si="0"/>
      </c>
      <c r="J15" s="659"/>
      <c r="K15" s="658">
        <f t="shared" si="2"/>
      </c>
      <c r="L15" s="658">
        <f t="shared" si="3"/>
      </c>
      <c r="M15" s="658">
        <f t="shared" si="1"/>
      </c>
      <c r="N15" s="815">
        <v>3</v>
      </c>
      <c r="O15" s="814"/>
    </row>
    <row r="16" spans="1:15" ht="30.75" customHeight="1">
      <c r="A16" s="86">
        <v>4</v>
      </c>
      <c r="B16" s="966"/>
      <c r="C16" s="967"/>
      <c r="D16" s="967"/>
      <c r="E16" s="379"/>
      <c r="F16" s="380"/>
      <c r="G16" s="690"/>
      <c r="H16" s="684"/>
      <c r="I16" s="658">
        <f t="shared" si="0"/>
      </c>
      <c r="J16" s="659"/>
      <c r="K16" s="658">
        <f t="shared" si="2"/>
      </c>
      <c r="L16" s="658">
        <f t="shared" si="3"/>
      </c>
      <c r="M16" s="658">
        <f t="shared" si="1"/>
      </c>
      <c r="N16" s="816">
        <v>4</v>
      </c>
      <c r="O16" s="814"/>
    </row>
    <row r="17" spans="1:15" ht="30.75" customHeight="1">
      <c r="A17" s="86">
        <v>5</v>
      </c>
      <c r="B17" s="966"/>
      <c r="C17" s="967"/>
      <c r="D17" s="967"/>
      <c r="E17" s="379"/>
      <c r="F17" s="380"/>
      <c r="G17" s="690"/>
      <c r="H17" s="684"/>
      <c r="I17" s="658">
        <f t="shared" si="0"/>
      </c>
      <c r="J17" s="659"/>
      <c r="K17" s="658">
        <f t="shared" si="2"/>
      </c>
      <c r="L17" s="658">
        <f t="shared" si="3"/>
      </c>
      <c r="M17" s="658">
        <f t="shared" si="1"/>
      </c>
      <c r="N17" s="815">
        <v>5</v>
      </c>
      <c r="O17" s="814"/>
    </row>
    <row r="18" spans="1:15" ht="30.75" customHeight="1">
      <c r="A18" s="86">
        <v>6</v>
      </c>
      <c r="B18" s="966"/>
      <c r="C18" s="967"/>
      <c r="D18" s="967"/>
      <c r="E18" s="379"/>
      <c r="F18" s="380"/>
      <c r="G18" s="690"/>
      <c r="H18" s="684"/>
      <c r="I18" s="658">
        <f t="shared" si="0"/>
      </c>
      <c r="J18" s="659"/>
      <c r="K18" s="658">
        <f t="shared" si="2"/>
      </c>
      <c r="L18" s="658">
        <f t="shared" si="3"/>
      </c>
      <c r="M18" s="658">
        <f t="shared" si="1"/>
      </c>
      <c r="N18" s="816">
        <v>6</v>
      </c>
      <c r="O18" s="814"/>
    </row>
    <row r="19" spans="1:15" ht="30.75" customHeight="1">
      <c r="A19" s="86">
        <v>7</v>
      </c>
      <c r="B19" s="966"/>
      <c r="C19" s="967"/>
      <c r="D19" s="967"/>
      <c r="E19" s="379"/>
      <c r="F19" s="380"/>
      <c r="G19" s="690"/>
      <c r="H19" s="684"/>
      <c r="I19" s="658">
        <f t="shared" si="0"/>
      </c>
      <c r="J19" s="659"/>
      <c r="K19" s="658">
        <f t="shared" si="2"/>
      </c>
      <c r="L19" s="658">
        <f t="shared" si="3"/>
      </c>
      <c r="M19" s="658">
        <f t="shared" si="1"/>
      </c>
      <c r="N19" s="815">
        <v>7</v>
      </c>
      <c r="O19" s="814"/>
    </row>
    <row r="20" spans="1:15" ht="30.75" customHeight="1">
      <c r="A20" s="86">
        <v>8</v>
      </c>
      <c r="B20" s="966"/>
      <c r="C20" s="967"/>
      <c r="D20" s="967"/>
      <c r="E20" s="379"/>
      <c r="F20" s="380"/>
      <c r="G20" s="690"/>
      <c r="H20" s="684"/>
      <c r="I20" s="658">
        <f t="shared" si="0"/>
      </c>
      <c r="J20" s="659"/>
      <c r="K20" s="658">
        <f t="shared" si="2"/>
      </c>
      <c r="L20" s="658">
        <f t="shared" si="3"/>
      </c>
      <c r="M20" s="658">
        <f t="shared" si="1"/>
      </c>
      <c r="N20" s="816">
        <v>8</v>
      </c>
      <c r="O20" s="814"/>
    </row>
    <row r="21" spans="1:15" ht="30.75" customHeight="1">
      <c r="A21" s="86">
        <v>9</v>
      </c>
      <c r="B21" s="966"/>
      <c r="C21" s="967"/>
      <c r="D21" s="967"/>
      <c r="E21" s="380"/>
      <c r="F21" s="380"/>
      <c r="G21" s="690"/>
      <c r="H21" s="684"/>
      <c r="I21" s="658">
        <f t="shared" si="0"/>
      </c>
      <c r="J21" s="659"/>
      <c r="K21" s="658">
        <f t="shared" si="2"/>
      </c>
      <c r="L21" s="658">
        <f t="shared" si="3"/>
      </c>
      <c r="M21" s="658">
        <f t="shared" si="1"/>
      </c>
      <c r="N21" s="815">
        <v>9</v>
      </c>
      <c r="O21" s="814"/>
    </row>
    <row r="22" spans="1:15" ht="30.75" customHeight="1">
      <c r="A22" s="86">
        <v>10</v>
      </c>
      <c r="B22" s="966"/>
      <c r="C22" s="967"/>
      <c r="D22" s="967"/>
      <c r="E22" s="380"/>
      <c r="F22" s="380"/>
      <c r="G22" s="690"/>
      <c r="H22" s="684"/>
      <c r="I22" s="658">
        <f t="shared" si="0"/>
      </c>
      <c r="J22" s="659"/>
      <c r="K22" s="658">
        <f t="shared" si="2"/>
      </c>
      <c r="L22" s="658">
        <f t="shared" si="3"/>
      </c>
      <c r="M22" s="658">
        <f t="shared" si="1"/>
      </c>
      <c r="N22" s="816">
        <v>10</v>
      </c>
      <c r="O22" s="814"/>
    </row>
    <row r="23" spans="1:15" ht="30.75" customHeight="1">
      <c r="A23" s="86">
        <v>11</v>
      </c>
      <c r="B23" s="966"/>
      <c r="C23" s="967"/>
      <c r="D23" s="967"/>
      <c r="E23" s="380"/>
      <c r="F23" s="380"/>
      <c r="G23" s="690"/>
      <c r="H23" s="684"/>
      <c r="I23" s="658">
        <f t="shared" si="0"/>
      </c>
      <c r="J23" s="659"/>
      <c r="K23" s="658">
        <f t="shared" si="2"/>
      </c>
      <c r="L23" s="658">
        <f t="shared" si="3"/>
      </c>
      <c r="M23" s="658">
        <f t="shared" si="1"/>
      </c>
      <c r="N23" s="815">
        <v>11</v>
      </c>
      <c r="O23" s="814"/>
    </row>
    <row r="24" spans="1:15" ht="30.75" customHeight="1">
      <c r="A24" s="86">
        <v>12</v>
      </c>
      <c r="B24" s="966"/>
      <c r="C24" s="967"/>
      <c r="D24" s="967"/>
      <c r="E24" s="380"/>
      <c r="F24" s="380"/>
      <c r="G24" s="690"/>
      <c r="H24" s="684"/>
      <c r="I24" s="658">
        <f t="shared" si="0"/>
      </c>
      <c r="J24" s="659"/>
      <c r="K24" s="658">
        <f t="shared" si="2"/>
      </c>
      <c r="L24" s="658">
        <f t="shared" si="3"/>
      </c>
      <c r="M24" s="658">
        <f t="shared" si="1"/>
      </c>
      <c r="N24" s="816">
        <v>12</v>
      </c>
      <c r="O24" s="814"/>
    </row>
    <row r="25" spans="1:15" ht="30.75" customHeight="1">
      <c r="A25" s="86">
        <v>13</v>
      </c>
      <c r="B25" s="966"/>
      <c r="C25" s="967"/>
      <c r="D25" s="967"/>
      <c r="E25" s="380"/>
      <c r="F25" s="380"/>
      <c r="G25" s="690"/>
      <c r="H25" s="684"/>
      <c r="I25" s="658">
        <f t="shared" si="0"/>
      </c>
      <c r="J25" s="659"/>
      <c r="K25" s="658">
        <f t="shared" si="2"/>
      </c>
      <c r="L25" s="658">
        <f t="shared" si="3"/>
      </c>
      <c r="M25" s="658">
        <f t="shared" si="1"/>
      </c>
      <c r="N25" s="815">
        <v>13</v>
      </c>
      <c r="O25" s="814"/>
    </row>
    <row r="26" spans="1:15" ht="30.75" customHeight="1">
      <c r="A26" s="86">
        <v>14</v>
      </c>
      <c r="B26" s="966"/>
      <c r="C26" s="967"/>
      <c r="D26" s="967"/>
      <c r="E26" s="380"/>
      <c r="F26" s="380"/>
      <c r="G26" s="690"/>
      <c r="H26" s="684"/>
      <c r="I26" s="658">
        <f t="shared" si="0"/>
      </c>
      <c r="J26" s="659"/>
      <c r="K26" s="658">
        <f t="shared" si="2"/>
      </c>
      <c r="L26" s="658">
        <f t="shared" si="3"/>
      </c>
      <c r="M26" s="658">
        <f t="shared" si="1"/>
      </c>
      <c r="N26" s="816">
        <v>14</v>
      </c>
      <c r="O26" s="814"/>
    </row>
    <row r="27" spans="1:15" ht="30.75" customHeight="1">
      <c r="A27" s="86">
        <v>15</v>
      </c>
      <c r="B27" s="966"/>
      <c r="C27" s="967"/>
      <c r="D27" s="967"/>
      <c r="E27" s="380"/>
      <c r="F27" s="380"/>
      <c r="G27" s="690"/>
      <c r="H27" s="684"/>
      <c r="I27" s="658">
        <f t="shared" si="0"/>
      </c>
      <c r="J27" s="659"/>
      <c r="K27" s="658">
        <f t="shared" si="2"/>
      </c>
      <c r="L27" s="658">
        <f t="shared" si="3"/>
      </c>
      <c r="M27" s="658">
        <f t="shared" si="1"/>
      </c>
      <c r="N27" s="815">
        <v>15</v>
      </c>
      <c r="O27" s="814"/>
    </row>
    <row r="28" spans="1:15" ht="30.75" customHeight="1">
      <c r="A28" s="86">
        <v>16</v>
      </c>
      <c r="B28" s="966"/>
      <c r="C28" s="967"/>
      <c r="D28" s="967"/>
      <c r="E28" s="380"/>
      <c r="F28" s="380"/>
      <c r="G28" s="690"/>
      <c r="H28" s="684"/>
      <c r="I28" s="658">
        <f t="shared" si="0"/>
      </c>
      <c r="J28" s="659"/>
      <c r="K28" s="658">
        <f t="shared" si="2"/>
      </c>
      <c r="L28" s="658">
        <f t="shared" si="3"/>
      </c>
      <c r="M28" s="658">
        <f t="shared" si="1"/>
      </c>
      <c r="N28" s="816">
        <v>16</v>
      </c>
      <c r="O28" s="814"/>
    </row>
    <row r="29" spans="1:15" ht="30.75" customHeight="1">
      <c r="A29" s="86">
        <v>17</v>
      </c>
      <c r="B29" s="966"/>
      <c r="C29" s="967"/>
      <c r="D29" s="967"/>
      <c r="E29" s="380"/>
      <c r="F29" s="380"/>
      <c r="G29" s="690"/>
      <c r="H29" s="684"/>
      <c r="I29" s="658">
        <f t="shared" si="0"/>
      </c>
      <c r="J29" s="659"/>
      <c r="K29" s="658">
        <f t="shared" si="2"/>
      </c>
      <c r="L29" s="658">
        <f t="shared" si="3"/>
      </c>
      <c r="M29" s="658">
        <f t="shared" si="1"/>
      </c>
      <c r="N29" s="815">
        <v>17</v>
      </c>
      <c r="O29" s="814"/>
    </row>
    <row r="30" spans="1:15" ht="30.75" customHeight="1">
      <c r="A30" s="86">
        <v>18</v>
      </c>
      <c r="B30" s="966"/>
      <c r="C30" s="967"/>
      <c r="D30" s="967"/>
      <c r="E30" s="380"/>
      <c r="F30" s="380"/>
      <c r="G30" s="690"/>
      <c r="H30" s="684"/>
      <c r="I30" s="658">
        <f t="shared" si="0"/>
      </c>
      <c r="J30" s="659"/>
      <c r="K30" s="658">
        <f t="shared" si="2"/>
      </c>
      <c r="L30" s="658">
        <f t="shared" si="3"/>
      </c>
      <c r="M30" s="658">
        <f t="shared" si="1"/>
      </c>
      <c r="N30" s="816">
        <v>18</v>
      </c>
      <c r="O30" s="814"/>
    </row>
    <row r="31" spans="1:15" ht="30.75" customHeight="1">
      <c r="A31" s="86">
        <v>19</v>
      </c>
      <c r="B31" s="966"/>
      <c r="C31" s="967"/>
      <c r="D31" s="967"/>
      <c r="E31" s="380"/>
      <c r="F31" s="380"/>
      <c r="G31" s="690"/>
      <c r="H31" s="684"/>
      <c r="I31" s="658">
        <f t="shared" si="0"/>
      </c>
      <c r="J31" s="659"/>
      <c r="K31" s="658">
        <f t="shared" si="2"/>
      </c>
      <c r="L31" s="658">
        <f t="shared" si="3"/>
      </c>
      <c r="M31" s="658">
        <f t="shared" si="1"/>
      </c>
      <c r="N31" s="815">
        <v>19</v>
      </c>
      <c r="O31" s="814"/>
    </row>
    <row r="32" spans="1:15" ht="30.75" customHeight="1" thickBot="1">
      <c r="A32" s="149">
        <v>20</v>
      </c>
      <c r="B32" s="975"/>
      <c r="C32" s="976"/>
      <c r="D32" s="976"/>
      <c r="E32" s="384"/>
      <c r="F32" s="384"/>
      <c r="G32" s="693"/>
      <c r="H32" s="685"/>
      <c r="I32" s="654">
        <f t="shared" si="0"/>
      </c>
      <c r="J32" s="660"/>
      <c r="K32" s="654">
        <f t="shared" si="2"/>
      </c>
      <c r="L32" s="654">
        <f t="shared" si="3"/>
      </c>
      <c r="M32" s="654">
        <f t="shared" si="1"/>
      </c>
      <c r="N32" s="817">
        <v>20</v>
      </c>
      <c r="O32" s="814"/>
    </row>
    <row r="33" spans="1:15" ht="21" customHeight="1" thickBot="1">
      <c r="A33" s="978" t="s">
        <v>27</v>
      </c>
      <c r="B33" s="979"/>
      <c r="C33" s="979"/>
      <c r="D33" s="979"/>
      <c r="E33" s="979"/>
      <c r="F33" s="979"/>
      <c r="G33" s="979"/>
      <c r="H33" s="979"/>
      <c r="I33" s="979"/>
      <c r="J33" s="398"/>
      <c r="K33" s="654">
        <f>SUM(K13:K32)</f>
        <v>80000</v>
      </c>
      <c r="L33" s="654">
        <f>SUM(L13:L32)</f>
        <v>80000</v>
      </c>
      <c r="M33" s="655">
        <f>SUM(M13:M32)</f>
        <v>80000</v>
      </c>
      <c r="N33" s="83"/>
      <c r="O33" s="423"/>
    </row>
    <row r="34" spans="1:14" ht="13.5" customHeight="1">
      <c r="A34" s="407"/>
      <c r="N34" s="80"/>
    </row>
    <row r="35" spans="1:14" ht="13.5" customHeight="1">
      <c r="A35" s="407"/>
      <c r="B35" s="8" t="s">
        <v>34</v>
      </c>
      <c r="D35" s="407"/>
      <c r="E35" s="396" t="s">
        <v>115</v>
      </c>
      <c r="N35" s="80"/>
    </row>
    <row r="36" ht="13.5" customHeight="1">
      <c r="E36" s="396" t="s">
        <v>116</v>
      </c>
    </row>
    <row r="37" spans="2:5" ht="13.5" customHeight="1">
      <c r="B37" s="8" t="s">
        <v>35</v>
      </c>
      <c r="E37" s="396" t="s">
        <v>117</v>
      </c>
    </row>
    <row r="38" spans="2:5" ht="13.5" customHeight="1">
      <c r="B38" s="8" t="s">
        <v>36</v>
      </c>
      <c r="E38" s="396" t="s">
        <v>118</v>
      </c>
    </row>
  </sheetData>
  <sheetProtection sheet="1" objects="1" scenarios="1"/>
  <mergeCells count="26">
    <mergeCell ref="A4:E4"/>
    <mergeCell ref="A11:A12"/>
    <mergeCell ref="B11:D11"/>
    <mergeCell ref="K11:L11"/>
    <mergeCell ref="N11:N12"/>
    <mergeCell ref="B13:D13"/>
    <mergeCell ref="B14:D14"/>
    <mergeCell ref="B15:D15"/>
    <mergeCell ref="B16:D16"/>
    <mergeCell ref="B17:D17"/>
    <mergeCell ref="B18:D18"/>
    <mergeCell ref="B19:D19"/>
    <mergeCell ref="B20:D20"/>
    <mergeCell ref="B21:D21"/>
    <mergeCell ref="B22:D22"/>
    <mergeCell ref="B23:D23"/>
    <mergeCell ref="B24:D24"/>
    <mergeCell ref="B25:D25"/>
    <mergeCell ref="B32:D32"/>
    <mergeCell ref="A33:I33"/>
    <mergeCell ref="B26:D26"/>
    <mergeCell ref="B27:D27"/>
    <mergeCell ref="B28:D28"/>
    <mergeCell ref="B29:D29"/>
    <mergeCell ref="B30:D30"/>
    <mergeCell ref="B31:D31"/>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6"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2"/>
      <c r="H1" s="13"/>
      <c r="P1" s="13"/>
      <c r="Q1" s="403"/>
      <c r="R1" s="403"/>
    </row>
    <row r="2" spans="1:18" ht="13.5">
      <c r="A2" s="13"/>
      <c r="B2" s="802" t="s">
        <v>899</v>
      </c>
      <c r="E2" s="402"/>
      <c r="H2" s="13"/>
      <c r="P2" s="13"/>
      <c r="Q2" s="403"/>
      <c r="R2" s="403"/>
    </row>
    <row r="3" spans="1:18" ht="13.5">
      <c r="A3" s="13"/>
      <c r="E3" s="402"/>
      <c r="H3" s="13"/>
      <c r="P3" s="13"/>
      <c r="Q3" s="403"/>
      <c r="R3" s="403"/>
    </row>
    <row r="4" spans="1:6" ht="13.5" customHeight="1">
      <c r="A4" s="972" t="s">
        <v>977</v>
      </c>
      <c r="B4" s="972"/>
      <c r="C4" s="972"/>
      <c r="D4" s="972"/>
      <c r="E4" s="972"/>
      <c r="F4" s="13"/>
    </row>
    <row r="5" spans="1:14" ht="13.5" customHeight="1">
      <c r="A5" s="80"/>
      <c r="B5" s="80"/>
      <c r="C5" s="80"/>
      <c r="D5" s="80"/>
      <c r="E5" s="404"/>
      <c r="F5" s="13"/>
      <c r="N5" s="80"/>
    </row>
    <row r="6" spans="1:14" ht="13.5" customHeight="1">
      <c r="A6" s="80"/>
      <c r="B6" s="80" t="s">
        <v>29</v>
      </c>
      <c r="C6" s="404" t="s">
        <v>33</v>
      </c>
      <c r="D6" s="80"/>
      <c r="E6" s="404"/>
      <c r="F6" s="405" t="s">
        <v>28</v>
      </c>
      <c r="N6" s="80"/>
    </row>
    <row r="7" spans="1:14" ht="13.5" customHeight="1">
      <c r="A7" s="80"/>
      <c r="B7" s="80"/>
      <c r="C7" s="80"/>
      <c r="D7" s="80"/>
      <c r="E7" s="404"/>
      <c r="F7" s="566" t="s">
        <v>784</v>
      </c>
      <c r="N7" s="80"/>
    </row>
    <row r="8" spans="1:15" ht="13.5" customHeight="1">
      <c r="A8" s="80"/>
      <c r="B8" s="80"/>
      <c r="C8" s="80"/>
      <c r="D8" s="80"/>
      <c r="E8" s="404"/>
      <c r="F8" s="13"/>
      <c r="M8" s="8" t="s">
        <v>37</v>
      </c>
      <c r="N8" s="80"/>
      <c r="O8" s="406"/>
    </row>
    <row r="9" spans="1:14" ht="13.5" customHeight="1">
      <c r="A9" s="407"/>
      <c r="F9" s="13"/>
      <c r="I9" s="9" t="s">
        <v>669</v>
      </c>
      <c r="J9" s="396" t="str">
        <f>IF('基本情報入力（使い方）'!$C$10="","",'基本情報入力（使い方）'!$C$10)</f>
        <v>Ｂ金属株式会社</v>
      </c>
      <c r="K9" s="9"/>
      <c r="L9" s="45"/>
      <c r="M9" s="408"/>
      <c r="N9" s="80"/>
    </row>
    <row r="10" spans="1:14" ht="13.5" customHeight="1" thickBot="1">
      <c r="A10" s="407"/>
      <c r="F10" s="13"/>
      <c r="N10" s="80"/>
    </row>
    <row r="11" spans="1:15" ht="27" customHeight="1">
      <c r="A11" s="973" t="s">
        <v>13</v>
      </c>
      <c r="B11" s="960" t="s">
        <v>14</v>
      </c>
      <c r="C11" s="960"/>
      <c r="D11" s="961"/>
      <c r="E11" s="10" t="s">
        <v>15</v>
      </c>
      <c r="F11" s="10" t="s">
        <v>16</v>
      </c>
      <c r="G11" s="10" t="s">
        <v>17</v>
      </c>
      <c r="H11" s="10" t="s">
        <v>18</v>
      </c>
      <c r="I11" s="10" t="s">
        <v>7</v>
      </c>
      <c r="J11" s="10" t="s">
        <v>7</v>
      </c>
      <c r="K11" s="977" t="s">
        <v>19</v>
      </c>
      <c r="L11" s="961"/>
      <c r="M11" s="10" t="s">
        <v>20</v>
      </c>
      <c r="N11" s="962" t="s">
        <v>13</v>
      </c>
      <c r="O11" s="964" t="s">
        <v>132</v>
      </c>
    </row>
    <row r="12" spans="1:15" ht="42" customHeight="1" thickBot="1">
      <c r="A12" s="974"/>
      <c r="B12" s="409" t="s">
        <v>21</v>
      </c>
      <c r="C12" s="409" t="s">
        <v>22</v>
      </c>
      <c r="D12" s="410" t="s">
        <v>23</v>
      </c>
      <c r="E12" s="411"/>
      <c r="F12" s="412"/>
      <c r="G12" s="397"/>
      <c r="H12" s="397"/>
      <c r="I12" s="397" t="s">
        <v>24</v>
      </c>
      <c r="J12" s="397" t="s">
        <v>41</v>
      </c>
      <c r="K12" s="397" t="s">
        <v>25</v>
      </c>
      <c r="L12" s="11" t="s">
        <v>39</v>
      </c>
      <c r="M12" s="397" t="s">
        <v>26</v>
      </c>
      <c r="N12" s="963"/>
      <c r="O12" s="965"/>
    </row>
    <row r="13" spans="1:15" ht="30.75" customHeight="1">
      <c r="A13" s="85">
        <v>1</v>
      </c>
      <c r="B13" s="970"/>
      <c r="C13" s="971"/>
      <c r="D13" s="971"/>
      <c r="E13" s="413" t="s">
        <v>935</v>
      </c>
      <c r="F13" s="379" t="s">
        <v>958</v>
      </c>
      <c r="G13" s="690">
        <v>1</v>
      </c>
      <c r="H13" s="680" t="s">
        <v>963</v>
      </c>
      <c r="I13" s="662">
        <f>IF(J13="","",ROUNDDOWN(J13*(1+O13/100),0))</f>
        <v>108000</v>
      </c>
      <c r="J13" s="664">
        <v>100000</v>
      </c>
      <c r="K13" s="662">
        <f>IF(L13="","",ROUNDDOWN(L13*(1+O13/100),0))</f>
        <v>108000</v>
      </c>
      <c r="L13" s="662">
        <f>IF(OR(J13="",G13=""),"",ROUNDDOWN(J13*G13,0))</f>
        <v>100000</v>
      </c>
      <c r="M13" s="663">
        <f aca="true" t="shared" si="0" ref="M13:M32">L13</f>
        <v>100000</v>
      </c>
      <c r="N13" s="81">
        <v>1</v>
      </c>
      <c r="O13" s="433">
        <v>8</v>
      </c>
    </row>
    <row r="14" spans="1:15" ht="30.75" customHeight="1">
      <c r="A14" s="86">
        <v>2</v>
      </c>
      <c r="B14" s="966"/>
      <c r="C14" s="967"/>
      <c r="D14" s="967"/>
      <c r="E14" s="413"/>
      <c r="F14" s="380"/>
      <c r="G14" s="690"/>
      <c r="H14" s="680"/>
      <c r="I14" s="662">
        <f aca="true" t="shared" si="1" ref="I14:I32">IF(J14="","",ROUNDDOWN(J14*(1+O14/100),0))</f>
      </c>
      <c r="J14" s="664"/>
      <c r="K14" s="662">
        <f aca="true" t="shared" si="2" ref="K14:K32">IF(L14="","",ROUNDDOWN(L14*(1+O14/100),0))</f>
      </c>
      <c r="L14" s="662">
        <f aca="true" t="shared" si="3" ref="L14:L32">IF(OR(J14="",G14=""),"",ROUNDDOWN(J14*G14,0))</f>
      </c>
      <c r="M14" s="663">
        <f t="shared" si="0"/>
      </c>
      <c r="N14" s="82">
        <v>2</v>
      </c>
      <c r="O14" s="433">
        <v>8</v>
      </c>
    </row>
    <row r="15" spans="1:15" ht="30.75" customHeight="1">
      <c r="A15" s="86">
        <v>3</v>
      </c>
      <c r="B15" s="966"/>
      <c r="C15" s="967"/>
      <c r="D15" s="967"/>
      <c r="E15" s="413"/>
      <c r="F15" s="380"/>
      <c r="G15" s="690"/>
      <c r="H15" s="680"/>
      <c r="I15" s="662">
        <f t="shared" si="1"/>
      </c>
      <c r="J15" s="664"/>
      <c r="K15" s="662">
        <f t="shared" si="2"/>
      </c>
      <c r="L15" s="662">
        <f t="shared" si="3"/>
      </c>
      <c r="M15" s="663">
        <f t="shared" si="0"/>
      </c>
      <c r="N15" s="81">
        <v>3</v>
      </c>
      <c r="O15" s="433">
        <v>8</v>
      </c>
    </row>
    <row r="16" spans="1:15" ht="30.75" customHeight="1">
      <c r="A16" s="86">
        <v>4</v>
      </c>
      <c r="B16" s="966"/>
      <c r="C16" s="967"/>
      <c r="D16" s="967"/>
      <c r="E16" s="414"/>
      <c r="F16" s="380"/>
      <c r="G16" s="690"/>
      <c r="H16" s="680"/>
      <c r="I16" s="662">
        <f t="shared" si="1"/>
      </c>
      <c r="J16" s="664"/>
      <c r="K16" s="662">
        <f t="shared" si="2"/>
      </c>
      <c r="L16" s="662">
        <f t="shared" si="3"/>
      </c>
      <c r="M16" s="663">
        <f t="shared" si="0"/>
      </c>
      <c r="N16" s="82">
        <v>4</v>
      </c>
      <c r="O16" s="433">
        <v>8</v>
      </c>
    </row>
    <row r="17" spans="1:15" ht="30.75" customHeight="1">
      <c r="A17" s="86">
        <v>5</v>
      </c>
      <c r="B17" s="966"/>
      <c r="C17" s="967"/>
      <c r="D17" s="967"/>
      <c r="E17" s="414"/>
      <c r="F17" s="380"/>
      <c r="G17" s="690"/>
      <c r="H17" s="680"/>
      <c r="I17" s="662">
        <f t="shared" si="1"/>
      </c>
      <c r="J17" s="664"/>
      <c r="K17" s="662">
        <f t="shared" si="2"/>
      </c>
      <c r="L17" s="662">
        <f t="shared" si="3"/>
      </c>
      <c r="M17" s="663">
        <f t="shared" si="0"/>
      </c>
      <c r="N17" s="81">
        <v>5</v>
      </c>
      <c r="O17" s="433">
        <v>8</v>
      </c>
    </row>
    <row r="18" spans="1:15" ht="30.75" customHeight="1">
      <c r="A18" s="86">
        <v>6</v>
      </c>
      <c r="B18" s="966"/>
      <c r="C18" s="967"/>
      <c r="D18" s="967"/>
      <c r="E18" s="414"/>
      <c r="F18" s="380"/>
      <c r="G18" s="690"/>
      <c r="H18" s="680"/>
      <c r="I18" s="662">
        <f t="shared" si="1"/>
      </c>
      <c r="J18" s="664"/>
      <c r="K18" s="662">
        <f t="shared" si="2"/>
      </c>
      <c r="L18" s="662">
        <f t="shared" si="3"/>
      </c>
      <c r="M18" s="663">
        <f t="shared" si="0"/>
      </c>
      <c r="N18" s="82">
        <v>6</v>
      </c>
      <c r="O18" s="433">
        <v>8</v>
      </c>
    </row>
    <row r="19" spans="1:15" ht="30.75" customHeight="1">
      <c r="A19" s="86">
        <v>7</v>
      </c>
      <c r="B19" s="966"/>
      <c r="C19" s="967"/>
      <c r="D19" s="967"/>
      <c r="E19" s="414"/>
      <c r="F19" s="415"/>
      <c r="G19" s="690"/>
      <c r="H19" s="680"/>
      <c r="I19" s="662">
        <f t="shared" si="1"/>
      </c>
      <c r="J19" s="664"/>
      <c r="K19" s="662">
        <f t="shared" si="2"/>
      </c>
      <c r="L19" s="662">
        <f t="shared" si="3"/>
      </c>
      <c r="M19" s="663">
        <f t="shared" si="0"/>
      </c>
      <c r="N19" s="81">
        <v>7</v>
      </c>
      <c r="O19" s="433">
        <v>8</v>
      </c>
    </row>
    <row r="20" spans="1:15" ht="30.75" customHeight="1">
      <c r="A20" s="86">
        <v>8</v>
      </c>
      <c r="B20" s="966"/>
      <c r="C20" s="967"/>
      <c r="D20" s="967"/>
      <c r="E20" s="414"/>
      <c r="F20" s="380"/>
      <c r="G20" s="690"/>
      <c r="H20" s="680"/>
      <c r="I20" s="662">
        <f t="shared" si="1"/>
      </c>
      <c r="J20" s="664"/>
      <c r="K20" s="662">
        <f t="shared" si="2"/>
      </c>
      <c r="L20" s="662">
        <f t="shared" si="3"/>
      </c>
      <c r="M20" s="663">
        <f t="shared" si="0"/>
      </c>
      <c r="N20" s="82">
        <v>8</v>
      </c>
      <c r="O20" s="433">
        <v>8</v>
      </c>
    </row>
    <row r="21" spans="1:15" ht="30.75" customHeight="1">
      <c r="A21" s="86">
        <v>9</v>
      </c>
      <c r="B21" s="966"/>
      <c r="C21" s="967"/>
      <c r="D21" s="967"/>
      <c r="E21" s="414"/>
      <c r="F21" s="380"/>
      <c r="G21" s="690"/>
      <c r="H21" s="680"/>
      <c r="I21" s="662">
        <f t="shared" si="1"/>
      </c>
      <c r="J21" s="664"/>
      <c r="K21" s="662">
        <f t="shared" si="2"/>
      </c>
      <c r="L21" s="662">
        <f t="shared" si="3"/>
      </c>
      <c r="M21" s="663">
        <f t="shared" si="0"/>
      </c>
      <c r="N21" s="81">
        <v>9</v>
      </c>
      <c r="O21" s="433">
        <v>8</v>
      </c>
    </row>
    <row r="22" spans="1:15" ht="30.75" customHeight="1">
      <c r="A22" s="86">
        <v>10</v>
      </c>
      <c r="B22" s="966"/>
      <c r="C22" s="967"/>
      <c r="D22" s="967"/>
      <c r="E22" s="414"/>
      <c r="F22" s="380"/>
      <c r="G22" s="690"/>
      <c r="H22" s="680"/>
      <c r="I22" s="662">
        <f t="shared" si="1"/>
      </c>
      <c r="J22" s="664"/>
      <c r="K22" s="662">
        <f t="shared" si="2"/>
      </c>
      <c r="L22" s="662">
        <f t="shared" si="3"/>
      </c>
      <c r="M22" s="663">
        <f t="shared" si="0"/>
      </c>
      <c r="N22" s="82">
        <v>10</v>
      </c>
      <c r="O22" s="433">
        <v>8</v>
      </c>
    </row>
    <row r="23" spans="1:15" ht="30.75" customHeight="1">
      <c r="A23" s="86">
        <v>11</v>
      </c>
      <c r="B23" s="966"/>
      <c r="C23" s="967"/>
      <c r="D23" s="967"/>
      <c r="E23" s="414"/>
      <c r="F23" s="380"/>
      <c r="G23" s="690"/>
      <c r="H23" s="680"/>
      <c r="I23" s="662">
        <f t="shared" si="1"/>
      </c>
      <c r="J23" s="664"/>
      <c r="K23" s="662">
        <f t="shared" si="2"/>
      </c>
      <c r="L23" s="662">
        <f t="shared" si="3"/>
      </c>
      <c r="M23" s="663">
        <f t="shared" si="0"/>
      </c>
      <c r="N23" s="81">
        <v>11</v>
      </c>
      <c r="O23" s="433">
        <v>8</v>
      </c>
    </row>
    <row r="24" spans="1:15" ht="30.75" customHeight="1">
      <c r="A24" s="86">
        <v>12</v>
      </c>
      <c r="B24" s="966"/>
      <c r="C24" s="967"/>
      <c r="D24" s="967"/>
      <c r="E24" s="414"/>
      <c r="F24" s="380"/>
      <c r="G24" s="690"/>
      <c r="H24" s="680"/>
      <c r="I24" s="662">
        <f t="shared" si="1"/>
      </c>
      <c r="J24" s="664"/>
      <c r="K24" s="662">
        <f t="shared" si="2"/>
      </c>
      <c r="L24" s="662">
        <f t="shared" si="3"/>
      </c>
      <c r="M24" s="663">
        <f t="shared" si="0"/>
      </c>
      <c r="N24" s="82">
        <v>12</v>
      </c>
      <c r="O24" s="433">
        <v>8</v>
      </c>
    </row>
    <row r="25" spans="1:15" ht="30.75" customHeight="1">
      <c r="A25" s="86">
        <v>13</v>
      </c>
      <c r="B25" s="966"/>
      <c r="C25" s="967"/>
      <c r="D25" s="967"/>
      <c r="E25" s="414"/>
      <c r="F25" s="380"/>
      <c r="G25" s="690"/>
      <c r="H25" s="680"/>
      <c r="I25" s="662">
        <f t="shared" si="1"/>
      </c>
      <c r="J25" s="664"/>
      <c r="K25" s="662">
        <f t="shared" si="2"/>
      </c>
      <c r="L25" s="662">
        <f t="shared" si="3"/>
      </c>
      <c r="M25" s="663">
        <f t="shared" si="0"/>
      </c>
      <c r="N25" s="81">
        <v>13</v>
      </c>
      <c r="O25" s="433">
        <v>8</v>
      </c>
    </row>
    <row r="26" spans="1:15" ht="30.75" customHeight="1">
      <c r="A26" s="86">
        <v>14</v>
      </c>
      <c r="B26" s="966"/>
      <c r="C26" s="967"/>
      <c r="D26" s="967"/>
      <c r="E26" s="416"/>
      <c r="F26" s="380"/>
      <c r="G26" s="690"/>
      <c r="H26" s="680"/>
      <c r="I26" s="662">
        <f t="shared" si="1"/>
      </c>
      <c r="J26" s="664"/>
      <c r="K26" s="662">
        <f t="shared" si="2"/>
      </c>
      <c r="L26" s="662">
        <f t="shared" si="3"/>
      </c>
      <c r="M26" s="663">
        <f t="shared" si="0"/>
      </c>
      <c r="N26" s="82">
        <v>14</v>
      </c>
      <c r="O26" s="433">
        <v>8</v>
      </c>
    </row>
    <row r="27" spans="1:15" ht="30.75" customHeight="1">
      <c r="A27" s="86">
        <v>15</v>
      </c>
      <c r="B27" s="966"/>
      <c r="C27" s="967"/>
      <c r="D27" s="967"/>
      <c r="E27" s="416"/>
      <c r="F27" s="380"/>
      <c r="G27" s="690"/>
      <c r="H27" s="680"/>
      <c r="I27" s="662">
        <f t="shared" si="1"/>
      </c>
      <c r="J27" s="664"/>
      <c r="K27" s="662">
        <f t="shared" si="2"/>
      </c>
      <c r="L27" s="662">
        <f t="shared" si="3"/>
      </c>
      <c r="M27" s="663">
        <f t="shared" si="0"/>
      </c>
      <c r="N27" s="81">
        <v>15</v>
      </c>
      <c r="O27" s="433">
        <v>8</v>
      </c>
    </row>
    <row r="28" spans="1:15" ht="30.75" customHeight="1">
      <c r="A28" s="86">
        <v>16</v>
      </c>
      <c r="B28" s="966"/>
      <c r="C28" s="967"/>
      <c r="D28" s="967"/>
      <c r="E28" s="414"/>
      <c r="F28" s="380"/>
      <c r="G28" s="690"/>
      <c r="H28" s="680"/>
      <c r="I28" s="662">
        <f t="shared" si="1"/>
      </c>
      <c r="J28" s="664"/>
      <c r="K28" s="662">
        <f t="shared" si="2"/>
      </c>
      <c r="L28" s="662">
        <f t="shared" si="3"/>
      </c>
      <c r="M28" s="663">
        <f t="shared" si="0"/>
      </c>
      <c r="N28" s="82">
        <v>16</v>
      </c>
      <c r="O28" s="433">
        <v>8</v>
      </c>
    </row>
    <row r="29" spans="1:15" ht="30.75" customHeight="1">
      <c r="A29" s="86">
        <v>17</v>
      </c>
      <c r="B29" s="966"/>
      <c r="C29" s="967"/>
      <c r="D29" s="967"/>
      <c r="E29" s="414"/>
      <c r="F29" s="380"/>
      <c r="G29" s="690"/>
      <c r="H29" s="680"/>
      <c r="I29" s="662">
        <f t="shared" si="1"/>
      </c>
      <c r="J29" s="664"/>
      <c r="K29" s="662">
        <f t="shared" si="2"/>
      </c>
      <c r="L29" s="662">
        <f t="shared" si="3"/>
      </c>
      <c r="M29" s="663">
        <f t="shared" si="0"/>
      </c>
      <c r="N29" s="81">
        <v>17</v>
      </c>
      <c r="O29" s="433">
        <v>8</v>
      </c>
    </row>
    <row r="30" spans="1:15" ht="30.75" customHeight="1">
      <c r="A30" s="86">
        <v>18</v>
      </c>
      <c r="B30" s="966"/>
      <c r="C30" s="967"/>
      <c r="D30" s="967"/>
      <c r="E30" s="414"/>
      <c r="F30" s="380"/>
      <c r="G30" s="690"/>
      <c r="H30" s="680"/>
      <c r="I30" s="662">
        <f t="shared" si="1"/>
      </c>
      <c r="J30" s="664"/>
      <c r="K30" s="662">
        <f t="shared" si="2"/>
      </c>
      <c r="L30" s="662">
        <f t="shared" si="3"/>
      </c>
      <c r="M30" s="663">
        <f t="shared" si="0"/>
      </c>
      <c r="N30" s="82">
        <v>18</v>
      </c>
      <c r="O30" s="433">
        <v>8</v>
      </c>
    </row>
    <row r="31" spans="1:15" ht="30.75" customHeight="1">
      <c r="A31" s="86">
        <v>19</v>
      </c>
      <c r="B31" s="966"/>
      <c r="C31" s="967"/>
      <c r="D31" s="967"/>
      <c r="E31" s="416"/>
      <c r="F31" s="380"/>
      <c r="G31" s="690"/>
      <c r="H31" s="680"/>
      <c r="I31" s="662">
        <f t="shared" si="1"/>
      </c>
      <c r="J31" s="664"/>
      <c r="K31" s="662">
        <f t="shared" si="2"/>
      </c>
      <c r="L31" s="662">
        <f t="shared" si="3"/>
      </c>
      <c r="M31" s="663">
        <f t="shared" si="0"/>
      </c>
      <c r="N31" s="81">
        <v>19</v>
      </c>
      <c r="O31" s="433">
        <v>8</v>
      </c>
    </row>
    <row r="32" spans="1:15" ht="30.75" customHeight="1" thickBot="1">
      <c r="A32" s="149">
        <v>20</v>
      </c>
      <c r="B32" s="975"/>
      <c r="C32" s="976"/>
      <c r="D32" s="976"/>
      <c r="E32" s="417"/>
      <c r="F32" s="384"/>
      <c r="G32" s="693"/>
      <c r="H32" s="682"/>
      <c r="I32" s="665">
        <f t="shared" si="1"/>
      </c>
      <c r="J32" s="666"/>
      <c r="K32" s="665">
        <f t="shared" si="2"/>
      </c>
      <c r="L32" s="665">
        <f t="shared" si="3"/>
      </c>
      <c r="M32" s="667">
        <f t="shared" si="0"/>
      </c>
      <c r="N32" s="150">
        <v>20</v>
      </c>
      <c r="O32" s="434">
        <v>8</v>
      </c>
    </row>
    <row r="33" spans="1:14" ht="21" customHeight="1" thickBot="1">
      <c r="A33" s="978" t="s">
        <v>27</v>
      </c>
      <c r="B33" s="979"/>
      <c r="C33" s="979"/>
      <c r="D33" s="979"/>
      <c r="E33" s="979"/>
      <c r="F33" s="979"/>
      <c r="G33" s="979"/>
      <c r="H33" s="979"/>
      <c r="I33" s="979"/>
      <c r="J33" s="398"/>
      <c r="K33" s="661">
        <f>SUM(K13:K32)</f>
        <v>108000</v>
      </c>
      <c r="L33" s="661">
        <f>SUM(L13:L32)</f>
        <v>100000</v>
      </c>
      <c r="M33" s="655">
        <f>SUM(M13:M32)</f>
        <v>100000</v>
      </c>
      <c r="N33" s="83"/>
    </row>
    <row r="34" spans="1:14" ht="13.5" customHeight="1">
      <c r="A34" s="407"/>
      <c r="N34" s="80"/>
    </row>
    <row r="35" spans="1:14" ht="13.5" customHeight="1">
      <c r="A35" s="407"/>
      <c r="B35" s="8" t="s">
        <v>34</v>
      </c>
      <c r="D35" s="407"/>
      <c r="E35" s="396" t="s">
        <v>115</v>
      </c>
      <c r="N35" s="80"/>
    </row>
    <row r="36" ht="13.5" customHeight="1">
      <c r="E36" s="396" t="s">
        <v>116</v>
      </c>
    </row>
    <row r="37" spans="2:5" ht="13.5" customHeight="1">
      <c r="B37" s="8" t="s">
        <v>35</v>
      </c>
      <c r="E37" s="396" t="s">
        <v>117</v>
      </c>
    </row>
    <row r="38" spans="2:5" ht="13.5" customHeight="1">
      <c r="B38" s="8" t="s">
        <v>36</v>
      </c>
      <c r="E38" s="396" t="s">
        <v>118</v>
      </c>
    </row>
  </sheetData>
  <sheetProtection sheet="1" objects="1" scenarios="1"/>
  <mergeCells count="27">
    <mergeCell ref="A4:E4"/>
    <mergeCell ref="A11:A12"/>
    <mergeCell ref="B11:D11"/>
    <mergeCell ref="K11:L11"/>
    <mergeCell ref="N11:N12"/>
    <mergeCell ref="O11:O12"/>
    <mergeCell ref="B13:D13"/>
    <mergeCell ref="B16:D16"/>
    <mergeCell ref="B17:D17"/>
    <mergeCell ref="B18:D18"/>
    <mergeCell ref="B19:D19"/>
    <mergeCell ref="B14:D14"/>
    <mergeCell ref="B15:D15"/>
    <mergeCell ref="B32:D32"/>
    <mergeCell ref="A33:I33"/>
    <mergeCell ref="B25:D25"/>
    <mergeCell ref="B26:D26"/>
    <mergeCell ref="B27:D27"/>
    <mergeCell ref="B28:D28"/>
    <mergeCell ref="B29:D29"/>
    <mergeCell ref="B30:D30"/>
    <mergeCell ref="B20:D20"/>
    <mergeCell ref="B21:D21"/>
    <mergeCell ref="B24:D24"/>
    <mergeCell ref="B31:D31"/>
    <mergeCell ref="B22:D22"/>
    <mergeCell ref="B23:D23"/>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7.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802" t="s">
        <v>899</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70</v>
      </c>
      <c r="D4" s="1"/>
      <c r="E4" s="8"/>
      <c r="G4" s="100"/>
      <c r="H4" s="103"/>
    </row>
    <row r="5" spans="3:8" ht="18" customHeight="1">
      <c r="C5" s="985" t="s">
        <v>100</v>
      </c>
      <c r="D5" s="985"/>
      <c r="E5" s="985"/>
      <c r="F5" s="985"/>
      <c r="G5" s="985"/>
      <c r="H5" s="12"/>
    </row>
    <row r="6" spans="3:8" ht="18" customHeight="1">
      <c r="C6" s="129"/>
      <c r="D6" s="129"/>
      <c r="E6" s="129"/>
      <c r="F6" s="129"/>
      <c r="G6" s="129"/>
      <c r="H6" s="12"/>
    </row>
    <row r="7" spans="3:8" ht="18" customHeight="1">
      <c r="C7" s="33"/>
      <c r="D7" s="33"/>
      <c r="E7" s="34"/>
      <c r="F7" s="789" t="s">
        <v>48</v>
      </c>
      <c r="G7" s="145" t="str">
        <f>IF('基本情報入力（使い方）'!$C$10="","",'基本情報入力（使い方）'!$C$10)</f>
        <v>Ｂ金属株式会社</v>
      </c>
      <c r="H7" s="134"/>
    </row>
    <row r="8" spans="3:8" ht="18" customHeight="1">
      <c r="C8" s="33"/>
      <c r="D8" s="33"/>
      <c r="E8" s="33"/>
      <c r="F8" s="35"/>
      <c r="G8" s="33"/>
      <c r="H8" s="2"/>
    </row>
    <row r="9" spans="2:8" ht="18" customHeight="1">
      <c r="B9" s="130" t="s">
        <v>101</v>
      </c>
      <c r="C9" s="70" t="s">
        <v>49</v>
      </c>
      <c r="D9" s="71" t="s">
        <v>50</v>
      </c>
      <c r="E9" s="71" t="s">
        <v>51</v>
      </c>
      <c r="F9" s="70" t="s">
        <v>52</v>
      </c>
      <c r="G9" s="71" t="s">
        <v>53</v>
      </c>
      <c r="H9" s="72" t="s">
        <v>121</v>
      </c>
    </row>
    <row r="10" spans="2:9" ht="18" customHeight="1">
      <c r="B10" s="66">
        <v>1</v>
      </c>
      <c r="C10" s="387" t="s">
        <v>936</v>
      </c>
      <c r="D10" s="388" t="s">
        <v>937</v>
      </c>
      <c r="E10" s="388" t="s">
        <v>938</v>
      </c>
      <c r="F10" s="387" t="s">
        <v>939</v>
      </c>
      <c r="G10" s="385">
        <v>34790</v>
      </c>
      <c r="H10" s="386">
        <v>27395</v>
      </c>
      <c r="I10" s="67"/>
    </row>
    <row r="11" spans="2:9" ht="18" customHeight="1">
      <c r="B11" s="66">
        <v>2</v>
      </c>
      <c r="C11" s="387" t="s">
        <v>936</v>
      </c>
      <c r="D11" s="388" t="s">
        <v>940</v>
      </c>
      <c r="E11" s="388" t="s">
        <v>938</v>
      </c>
      <c r="F11" s="387"/>
      <c r="G11" s="385">
        <v>36617</v>
      </c>
      <c r="H11" s="386">
        <v>26865</v>
      </c>
      <c r="I11" s="67"/>
    </row>
    <row r="12" spans="2:9" ht="18" customHeight="1">
      <c r="B12" s="66">
        <v>3</v>
      </c>
      <c r="C12" s="387" t="s">
        <v>936</v>
      </c>
      <c r="D12" s="388" t="s">
        <v>941</v>
      </c>
      <c r="E12" s="388" t="s">
        <v>938</v>
      </c>
      <c r="F12" s="387" t="s">
        <v>942</v>
      </c>
      <c r="G12" s="385">
        <v>29677</v>
      </c>
      <c r="H12" s="386">
        <v>22148</v>
      </c>
      <c r="I12" s="67"/>
    </row>
    <row r="13" spans="2:9" ht="18" customHeight="1">
      <c r="B13" s="66">
        <v>4</v>
      </c>
      <c r="C13" s="387" t="s">
        <v>936</v>
      </c>
      <c r="D13" s="388" t="s">
        <v>943</v>
      </c>
      <c r="E13" s="388" t="s">
        <v>938</v>
      </c>
      <c r="F13" s="387"/>
      <c r="G13" s="385">
        <v>36617</v>
      </c>
      <c r="H13" s="386">
        <v>25742</v>
      </c>
      <c r="I13" s="67"/>
    </row>
    <row r="14" spans="2:9" ht="18" customHeight="1">
      <c r="B14" s="66">
        <v>5</v>
      </c>
      <c r="C14" s="387" t="s">
        <v>936</v>
      </c>
      <c r="D14" s="388" t="s">
        <v>944</v>
      </c>
      <c r="E14" s="388" t="s">
        <v>938</v>
      </c>
      <c r="F14" s="387" t="s">
        <v>945</v>
      </c>
      <c r="G14" s="385">
        <v>34790</v>
      </c>
      <c r="H14" s="386">
        <v>25743</v>
      </c>
      <c r="I14" s="67"/>
    </row>
    <row r="15" spans="2:9" ht="18" customHeight="1">
      <c r="B15" s="66">
        <v>6</v>
      </c>
      <c r="C15" s="387" t="s">
        <v>946</v>
      </c>
      <c r="D15" s="388" t="s">
        <v>947</v>
      </c>
      <c r="E15" s="388" t="s">
        <v>948</v>
      </c>
      <c r="F15" s="387"/>
      <c r="G15" s="385">
        <v>36617</v>
      </c>
      <c r="H15" s="386">
        <v>25744</v>
      </c>
      <c r="I15" s="67"/>
    </row>
    <row r="16" spans="2:9" ht="18" customHeight="1">
      <c r="B16" s="66">
        <v>7</v>
      </c>
      <c r="C16" s="387" t="s">
        <v>946</v>
      </c>
      <c r="D16" s="388" t="s">
        <v>949</v>
      </c>
      <c r="E16" s="388" t="s">
        <v>948</v>
      </c>
      <c r="F16" s="387"/>
      <c r="G16" s="385">
        <v>36617</v>
      </c>
      <c r="H16" s="386">
        <v>25745</v>
      </c>
      <c r="I16" s="67"/>
    </row>
    <row r="17" spans="2:9" ht="18" customHeight="1">
      <c r="B17" s="66">
        <v>8</v>
      </c>
      <c r="C17" s="387" t="s">
        <v>946</v>
      </c>
      <c r="D17" s="388" t="s">
        <v>950</v>
      </c>
      <c r="E17" s="388" t="s">
        <v>948</v>
      </c>
      <c r="F17" s="387" t="s">
        <v>939</v>
      </c>
      <c r="G17" s="385">
        <v>33329</v>
      </c>
      <c r="H17" s="386">
        <v>25746</v>
      </c>
      <c r="I17" s="67"/>
    </row>
    <row r="18" spans="2:9" ht="18" customHeight="1">
      <c r="B18" s="66">
        <v>9</v>
      </c>
      <c r="C18" s="387" t="s">
        <v>946</v>
      </c>
      <c r="D18" s="388" t="s">
        <v>951</v>
      </c>
      <c r="E18" s="388" t="s">
        <v>948</v>
      </c>
      <c r="F18" s="387"/>
      <c r="G18" s="385">
        <v>36617</v>
      </c>
      <c r="H18" s="386">
        <v>25747</v>
      </c>
      <c r="I18" s="67"/>
    </row>
    <row r="19" spans="2:9" ht="18" customHeight="1">
      <c r="B19" s="66">
        <v>10</v>
      </c>
      <c r="C19" s="387" t="s">
        <v>946</v>
      </c>
      <c r="D19" s="388" t="s">
        <v>952</v>
      </c>
      <c r="E19" s="388" t="s">
        <v>948</v>
      </c>
      <c r="F19" s="387" t="s">
        <v>945</v>
      </c>
      <c r="G19" s="385">
        <v>34790</v>
      </c>
      <c r="H19" s="386">
        <v>25748</v>
      </c>
      <c r="I19" s="67"/>
    </row>
    <row r="20" spans="2:9" ht="18" customHeight="1">
      <c r="B20" s="66">
        <v>11</v>
      </c>
      <c r="C20" s="387" t="s">
        <v>946</v>
      </c>
      <c r="D20" s="388" t="s">
        <v>953</v>
      </c>
      <c r="E20" s="388" t="s">
        <v>948</v>
      </c>
      <c r="F20" s="387"/>
      <c r="G20" s="385">
        <v>36617</v>
      </c>
      <c r="H20" s="386">
        <v>25749</v>
      </c>
      <c r="I20" s="67"/>
    </row>
    <row r="21" spans="2:9" ht="18" customHeight="1">
      <c r="B21" s="66">
        <v>12</v>
      </c>
      <c r="C21" s="387" t="s">
        <v>946</v>
      </c>
      <c r="D21" s="388" t="s">
        <v>954</v>
      </c>
      <c r="E21" s="388" t="s">
        <v>948</v>
      </c>
      <c r="F21" s="387" t="s">
        <v>942</v>
      </c>
      <c r="G21" s="385">
        <v>32964</v>
      </c>
      <c r="H21" s="386">
        <v>23924</v>
      </c>
      <c r="I21" s="67"/>
    </row>
    <row r="22" spans="1:10" ht="18" customHeight="1">
      <c r="A22" s="1"/>
      <c r="C22" s="1"/>
      <c r="D22" s="1"/>
      <c r="F22" s="1"/>
      <c r="G22" s="1"/>
      <c r="I22" s="68"/>
      <c r="J22" s="1"/>
    </row>
    <row r="23" spans="1:10" ht="18" customHeight="1">
      <c r="A23" s="1"/>
      <c r="C23" s="36" t="s">
        <v>67</v>
      </c>
      <c r="D23" s="1"/>
      <c r="F23" s="1"/>
      <c r="G23" s="1" t="s">
        <v>152</v>
      </c>
      <c r="I23" s="68"/>
      <c r="J23" s="1"/>
    </row>
    <row r="24" spans="1:10" ht="18" customHeight="1">
      <c r="A24" s="1"/>
      <c r="C24" s="36"/>
      <c r="D24" s="1"/>
      <c r="F24" s="1"/>
      <c r="G24" s="1"/>
      <c r="H24" s="12"/>
      <c r="I24" s="68"/>
      <c r="J24" s="1"/>
    </row>
    <row r="25" spans="1:10" ht="18" customHeight="1">
      <c r="A25" s="1"/>
      <c r="B25" s="986" t="s">
        <v>101</v>
      </c>
      <c r="C25" s="37"/>
      <c r="D25" s="38" t="s">
        <v>64</v>
      </c>
      <c r="E25" s="38" t="s">
        <v>65</v>
      </c>
      <c r="F25" s="38" t="s">
        <v>68</v>
      </c>
      <c r="G25" s="39" t="s">
        <v>69</v>
      </c>
      <c r="H25" s="12"/>
      <c r="I25" s="68"/>
      <c r="J25" s="1"/>
    </row>
    <row r="26" spans="1:10" ht="39">
      <c r="A26" s="1"/>
      <c r="B26" s="986"/>
      <c r="C26" s="40" t="s">
        <v>50</v>
      </c>
      <c r="D26" s="41" t="s">
        <v>54</v>
      </c>
      <c r="E26" s="41" t="s">
        <v>661</v>
      </c>
      <c r="F26" s="41" t="s">
        <v>55</v>
      </c>
      <c r="G26" s="41" t="s">
        <v>56</v>
      </c>
      <c r="H26" s="12"/>
      <c r="I26" s="68"/>
      <c r="J26" s="1"/>
    </row>
    <row r="27" spans="1:10" ht="18" customHeight="1">
      <c r="A27" s="1"/>
      <c r="B27" s="73">
        <f aca="true" t="shared" si="0" ref="B27:B38">IF(B10="","",B10)</f>
        <v>1</v>
      </c>
      <c r="C27" s="97" t="str">
        <f aca="true" t="shared" si="1" ref="C27:C38">IF(D10="","",D10)</f>
        <v>山田　美子</v>
      </c>
      <c r="D27" s="94">
        <f>IF(C27="","",'賃金台帳(1)'!$G$52)</f>
        <v>3075555</v>
      </c>
      <c r="E27" s="94">
        <f>IF(C27="","",'賃金台帳(1)'!$J$52)</f>
        <v>483262</v>
      </c>
      <c r="F27" s="95">
        <f>IF(C27="","",'総労働時間算定表(1)'!$H$8)</f>
        <v>1920</v>
      </c>
      <c r="G27" s="74">
        <f>IF(C27="","",IF((ROUNDDOWN((D27+E27)/F27,0))&gt;=5000,5000,'賃金台帳(1)'!$Q$52))</f>
        <v>1853</v>
      </c>
      <c r="H27" s="12"/>
      <c r="I27" s="68"/>
      <c r="J27" s="1"/>
    </row>
    <row r="28" spans="1:10" ht="18" customHeight="1">
      <c r="A28" s="1"/>
      <c r="B28" s="73">
        <f t="shared" si="0"/>
        <v>2</v>
      </c>
      <c r="C28" s="97" t="str">
        <f t="shared" si="1"/>
        <v>田中　丑男</v>
      </c>
      <c r="D28" s="94">
        <f>IF(C28="","",'賃金台帳(2)'!$G$52)</f>
        <v>0</v>
      </c>
      <c r="E28" s="94">
        <f>IF(C28="","",'賃金台帳(2)'!$J$52)</f>
        <v>0</v>
      </c>
      <c r="F28" s="95">
        <f>IF(C28="","",'総労働時間算定表(1)'!$H$8)</f>
        <v>1920</v>
      </c>
      <c r="G28" s="810">
        <f>IF(C28="","",IF((ROUNDDOWN((D28+E28)/F28,0))&gt;=5000,5000,'賃金台帳(2)'!$Q$52))</f>
        <v>0</v>
      </c>
      <c r="H28" s="42"/>
      <c r="I28" s="68"/>
      <c r="J28" s="1"/>
    </row>
    <row r="29" spans="1:10" ht="18" customHeight="1">
      <c r="A29" s="1"/>
      <c r="B29" s="73">
        <f t="shared" si="0"/>
        <v>3</v>
      </c>
      <c r="C29" s="97" t="str">
        <f t="shared" si="1"/>
        <v>加藤　寅乃介</v>
      </c>
      <c r="D29" s="94">
        <f>IF(C29="","",'賃金台帳(3)'!$G$52)</f>
        <v>0</v>
      </c>
      <c r="E29" s="94">
        <f>IF(C29="","",'賃金台帳(3)'!$J$52)</f>
        <v>0</v>
      </c>
      <c r="F29" s="95">
        <f>IF(C29="","",'総労働時間算定表(1)'!$H$8)</f>
        <v>1920</v>
      </c>
      <c r="G29" s="810">
        <f>IF(C29="","",IF((ROUNDDOWN((D29+E29)/F29,0))&gt;=5000,5000,'賃金台帳(3)'!$Q$52))</f>
        <v>0</v>
      </c>
      <c r="H29" s="12"/>
      <c r="I29" s="68"/>
      <c r="J29" s="1"/>
    </row>
    <row r="30" spans="1:10" ht="18" customHeight="1">
      <c r="A30" s="1"/>
      <c r="B30" s="73">
        <f t="shared" si="0"/>
        <v>4</v>
      </c>
      <c r="C30" s="97" t="str">
        <f t="shared" si="1"/>
        <v>山本　卯助</v>
      </c>
      <c r="D30" s="94">
        <f>IF(C30="","",'賃金台帳(4)'!$G$52)</f>
        <v>0</v>
      </c>
      <c r="E30" s="94">
        <f>IF(C30="","",'賃金台帳(4)'!$J$52)</f>
        <v>0</v>
      </c>
      <c r="F30" s="95">
        <f>IF(C30="","",'総労働時間算定表(1)'!$H$8)</f>
        <v>1920</v>
      </c>
      <c r="G30" s="810">
        <f>IF(C30="","",IF((ROUNDDOWN((D30+E30)/F30,0))&gt;=5000,5000,'賃金台帳(4)'!$Q$52))</f>
        <v>0</v>
      </c>
      <c r="H30" s="42"/>
      <c r="I30" s="68"/>
      <c r="J30" s="1"/>
    </row>
    <row r="31" spans="1:10" ht="18" customHeight="1">
      <c r="A31" s="1"/>
      <c r="B31" s="73">
        <f t="shared" si="0"/>
        <v>5</v>
      </c>
      <c r="C31" s="97" t="str">
        <f t="shared" si="1"/>
        <v>佐藤　辰一郎</v>
      </c>
      <c r="D31" s="94">
        <f>IF(C31="","",'賃金台帳(5)'!$G$52)</f>
        <v>0</v>
      </c>
      <c r="E31" s="94">
        <f>IF(C31="","",'賃金台帳(5)'!$J$52)</f>
        <v>0</v>
      </c>
      <c r="F31" s="95">
        <f>IF(C31="","",'総労働時間算定表(1)'!$H$8)</f>
        <v>1920</v>
      </c>
      <c r="G31" s="810">
        <f>IF(C31="","",IF((ROUNDDOWN((D31+E31)/F31,0))&gt;=5000,5000,'賃金台帳(5)'!$Q$52))</f>
        <v>0</v>
      </c>
      <c r="H31" s="42"/>
      <c r="I31" s="68"/>
      <c r="J31" s="1"/>
    </row>
    <row r="32" spans="1:10" ht="18" customHeight="1">
      <c r="A32" s="1"/>
      <c r="B32" s="73">
        <f t="shared" si="0"/>
        <v>6</v>
      </c>
      <c r="C32" s="97" t="str">
        <f t="shared" si="1"/>
        <v>渡辺　克巳</v>
      </c>
      <c r="D32" s="94">
        <f>IF(C32="","",'賃金台帳(6)'!$G$52)</f>
        <v>0</v>
      </c>
      <c r="E32" s="94">
        <f>IF(C32="","",'賃金台帳(6)'!$J$52)</f>
        <v>0</v>
      </c>
      <c r="F32" s="95">
        <f>IF(C32="","",'総労働時間算定表(1)'!$H$8)</f>
        <v>1920</v>
      </c>
      <c r="G32" s="810">
        <f>IF(C32="","",IF((ROUNDDOWN((D32+E32)/F32,0))&gt;=5000,5000,'賃金台帳(6)'!$Q$52))</f>
        <v>0</v>
      </c>
      <c r="H32" s="42"/>
      <c r="I32" s="68"/>
      <c r="J32" s="1"/>
    </row>
    <row r="33" spans="1:10" ht="18" customHeight="1">
      <c r="A33" s="1"/>
      <c r="B33" s="73">
        <f t="shared" si="0"/>
        <v>7</v>
      </c>
      <c r="C33" s="97" t="str">
        <f t="shared" si="1"/>
        <v>後藤　午太郎</v>
      </c>
      <c r="D33" s="94">
        <f>IF(C33="","",'賃金台帳(7)'!$G$52)</f>
        <v>0</v>
      </c>
      <c r="E33" s="94">
        <f>IF(C33="","",'賃金台帳(7)'!$J$52)</f>
        <v>0</v>
      </c>
      <c r="F33" s="95">
        <f>IF(C33="","",'総労働時間算定表(1)'!$H$8)</f>
        <v>1920</v>
      </c>
      <c r="G33" s="810">
        <f>IF(C33="","",IF((ROUNDDOWN((D33+E33)/F33,0))&gt;=5000,5000,'賃金台帳(7)'!$Q$52))</f>
        <v>0</v>
      </c>
      <c r="H33" s="12"/>
      <c r="I33" s="68"/>
      <c r="J33" s="1"/>
    </row>
    <row r="34" spans="1:10" ht="18" customHeight="1">
      <c r="A34" s="1"/>
      <c r="B34" s="73">
        <f t="shared" si="0"/>
        <v>8</v>
      </c>
      <c r="C34" s="97" t="str">
        <f t="shared" si="1"/>
        <v>太田　未来</v>
      </c>
      <c r="D34" s="94">
        <f>IF(C34="","",'賃金台帳(8)'!$G$52)</f>
        <v>0</v>
      </c>
      <c r="E34" s="94">
        <f>IF(C34="","",'賃金台帳(8)'!$J$52)</f>
        <v>0</v>
      </c>
      <c r="F34" s="95">
        <f>IF(C34="","",'総労働時間算定表(1)'!$H$8)</f>
        <v>1920</v>
      </c>
      <c r="G34" s="810">
        <f>IF(C34="","",IF((ROUNDDOWN((D34+E34)/F34,0))&gt;=5000,5000,'賃金台帳(8)'!$Q$52))</f>
        <v>0</v>
      </c>
      <c r="H34" s="42"/>
      <c r="I34" s="68"/>
      <c r="J34" s="1"/>
    </row>
    <row r="35" spans="1:10" ht="18" customHeight="1">
      <c r="A35" s="1"/>
      <c r="B35" s="73">
        <f t="shared" si="0"/>
        <v>9</v>
      </c>
      <c r="C35" s="97" t="str">
        <f t="shared" si="1"/>
        <v>原田　申也</v>
      </c>
      <c r="D35" s="94">
        <f>IF(C35="","",'賃金台帳(9)'!$G$52)</f>
        <v>0</v>
      </c>
      <c r="E35" s="94">
        <f>IF(C35="","",'賃金台帳(9)'!$J$52)</f>
        <v>0</v>
      </c>
      <c r="F35" s="95">
        <f>IF(C35="","",'総労働時間算定表(1)'!$H$8)</f>
        <v>1920</v>
      </c>
      <c r="G35" s="810">
        <f>IF(C35="","",IF((ROUNDDOWN((D35+E35)/F35,0))&gt;=5000,5000,'賃金台帳(9)'!$Q$52))</f>
        <v>0</v>
      </c>
      <c r="H35" s="12"/>
      <c r="I35" s="68"/>
      <c r="J35" s="1"/>
    </row>
    <row r="36" spans="1:10" ht="18" customHeight="1">
      <c r="A36" s="1"/>
      <c r="B36" s="73">
        <f t="shared" si="0"/>
        <v>10</v>
      </c>
      <c r="C36" s="97" t="str">
        <f t="shared" si="1"/>
        <v>西村　酉汰</v>
      </c>
      <c r="D36" s="94">
        <f>IF(C36="","",'賃金台帳(10)'!$G$52)</f>
        <v>0</v>
      </c>
      <c r="E36" s="94">
        <f>IF(C36="","",'賃金台帳(10)'!$J$52)</f>
        <v>0</v>
      </c>
      <c r="F36" s="95">
        <f>IF(C36="","",'総労働時間算定表(1)'!$H$8)</f>
        <v>1920</v>
      </c>
      <c r="G36" s="810">
        <f>IF(C36="","",IF((ROUNDDOWN((D36+E36)/F36,0))&gt;=5000,5000,'賃金台帳(10)'!$Q$52))</f>
        <v>0</v>
      </c>
      <c r="H36" s="42"/>
      <c r="I36" s="68"/>
      <c r="J36" s="1"/>
    </row>
    <row r="37" spans="1:10" ht="18" customHeight="1">
      <c r="A37" s="1"/>
      <c r="B37" s="73">
        <f t="shared" si="0"/>
        <v>11</v>
      </c>
      <c r="C37" s="97" t="str">
        <f t="shared" si="1"/>
        <v>斎藤　戌</v>
      </c>
      <c r="D37" s="94">
        <f>IF(C37="","",'賃金台帳(11)'!$G$52)</f>
        <v>0</v>
      </c>
      <c r="E37" s="94">
        <f>IF(C37="","",'賃金台帳(11)'!$J$52)</f>
        <v>0</v>
      </c>
      <c r="F37" s="95">
        <f>IF(C37="","",'総労働時間算定表(1)'!$H$8)</f>
        <v>1920</v>
      </c>
      <c r="G37" s="810">
        <f>IF(C37="","",IF((ROUNDDOWN((D37+E37)/F37,0))&gt;=5000,5000,'賃金台帳(11)'!$Q$52))</f>
        <v>0</v>
      </c>
      <c r="H37" s="42"/>
      <c r="I37" s="68"/>
      <c r="J37" s="1"/>
    </row>
    <row r="38" spans="1:10" ht="18" customHeight="1">
      <c r="A38" s="1"/>
      <c r="B38" s="73">
        <f t="shared" si="0"/>
        <v>12</v>
      </c>
      <c r="C38" s="97" t="str">
        <f t="shared" si="1"/>
        <v>酒井　亥</v>
      </c>
      <c r="D38" s="94">
        <f>IF(C38="","",'賃金台帳(12)'!$G$52)</f>
        <v>0</v>
      </c>
      <c r="E38" s="94">
        <f>IF(C38="","",'賃金台帳(12)'!$J$52)</f>
        <v>0</v>
      </c>
      <c r="F38" s="95">
        <f>IF(C38="","",'総労働時間算定表(1)'!$H$8)</f>
        <v>1920</v>
      </c>
      <c r="G38" s="810">
        <f>IF(C38="","",IF((ROUNDDOWN((D38+E38)/F38,0))&gt;=5000,5000,'賃金台帳(12)'!$Q$52))</f>
        <v>0</v>
      </c>
      <c r="H38" s="42"/>
      <c r="I38" s="68"/>
      <c r="J38" s="1"/>
    </row>
    <row r="39" spans="1:9" s="1" customFormat="1" ht="18" customHeight="1">
      <c r="A39" s="100"/>
      <c r="B39" s="100"/>
      <c r="C39" s="63" t="s">
        <v>119</v>
      </c>
      <c r="H39" s="100"/>
      <c r="I39" s="68"/>
    </row>
    <row r="40" spans="1:9" s="1" customFormat="1" ht="18" customHeight="1">
      <c r="A40" s="100"/>
      <c r="B40" s="100"/>
      <c r="C40" s="63" t="s">
        <v>651</v>
      </c>
      <c r="D40" s="8"/>
      <c r="F40" s="8"/>
      <c r="G40" s="8"/>
      <c r="H40" s="100"/>
      <c r="I40" s="68"/>
    </row>
    <row r="41" spans="1:9" s="1" customFormat="1" ht="18" customHeight="1">
      <c r="A41" s="100"/>
      <c r="B41" s="100"/>
      <c r="C41" s="63" t="s">
        <v>120</v>
      </c>
      <c r="D41" s="8"/>
      <c r="F41" s="8"/>
      <c r="G41" s="8"/>
      <c r="H41" s="100"/>
      <c r="I41" s="68"/>
    </row>
    <row r="42" spans="1:10" s="1" customFormat="1" ht="18" customHeight="1">
      <c r="A42" s="100"/>
      <c r="B42" s="100"/>
      <c r="C42" s="63" t="s">
        <v>755</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802" t="s">
        <v>897</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987" t="s">
        <v>102</v>
      </c>
      <c r="C4" s="987"/>
      <c r="D4" s="987"/>
      <c r="E4" s="987"/>
      <c r="F4" s="987"/>
      <c r="G4" s="987"/>
      <c r="H4" s="987"/>
    </row>
    <row r="5" ht="9.75" customHeight="1"/>
    <row r="6" ht="17.25">
      <c r="H6" s="46" t="s">
        <v>103</v>
      </c>
    </row>
    <row r="7" spans="2:10" ht="17.25">
      <c r="B7" s="47"/>
      <c r="C7" s="47"/>
      <c r="D7" s="47"/>
      <c r="E7" s="47"/>
      <c r="G7" s="47" t="s">
        <v>166</v>
      </c>
      <c r="H7" s="177" t="str">
        <f>IF('基本情報入力（使い方）'!$C$10="","",'基本情報入力（使い方）'!$C$10)</f>
        <v>Ｂ金属株式会社</v>
      </c>
      <c r="I7" s="143"/>
      <c r="J7" s="143"/>
    </row>
    <row r="8" spans="2:9" ht="17.25">
      <c r="B8" s="47" t="s">
        <v>104</v>
      </c>
      <c r="D8" s="47"/>
      <c r="E8" s="47"/>
      <c r="F8" s="47"/>
      <c r="G8" s="182" t="s">
        <v>57</v>
      </c>
      <c r="H8" s="171">
        <f>H36+H37</f>
        <v>1920</v>
      </c>
      <c r="I8" s="47" t="s">
        <v>105</v>
      </c>
    </row>
    <row r="9" spans="2:9" ht="17.25">
      <c r="B9" s="47"/>
      <c r="D9" s="47"/>
      <c r="E9" s="47"/>
      <c r="F9" s="47"/>
      <c r="G9" s="48"/>
      <c r="H9" s="64"/>
      <c r="I9" s="47"/>
    </row>
    <row r="10" spans="2:7" ht="18" thickBot="1">
      <c r="B10" s="47"/>
      <c r="C10" s="169" t="s">
        <v>106</v>
      </c>
      <c r="D10" s="47"/>
      <c r="E10" s="47"/>
      <c r="F10" s="169" t="s">
        <v>106</v>
      </c>
      <c r="G10" s="47"/>
    </row>
    <row r="11" spans="1:8" ht="17.25">
      <c r="A11" s="181"/>
      <c r="B11" s="629" t="s">
        <v>837</v>
      </c>
      <c r="C11" s="389">
        <v>20</v>
      </c>
      <c r="D11" s="181"/>
      <c r="E11" s="629" t="s">
        <v>838</v>
      </c>
      <c r="F11" s="389">
        <v>20</v>
      </c>
      <c r="G11" s="47"/>
      <c r="H11" s="8"/>
    </row>
    <row r="12" spans="2:7" ht="17.25">
      <c r="B12" s="629" t="s">
        <v>839</v>
      </c>
      <c r="C12" s="390">
        <v>20</v>
      </c>
      <c r="D12" s="47"/>
      <c r="E12" s="629" t="s">
        <v>840</v>
      </c>
      <c r="F12" s="390">
        <v>20</v>
      </c>
      <c r="G12" s="47"/>
    </row>
    <row r="13" spans="2:7" ht="17.25">
      <c r="B13" s="629" t="s">
        <v>723</v>
      </c>
      <c r="C13" s="390">
        <v>20</v>
      </c>
      <c r="D13" s="47"/>
      <c r="E13" s="629" t="s">
        <v>134</v>
      </c>
      <c r="F13" s="390">
        <v>20</v>
      </c>
      <c r="G13" s="47"/>
    </row>
    <row r="14" spans="2:7" ht="17.25">
      <c r="B14" s="629" t="s">
        <v>724</v>
      </c>
      <c r="C14" s="390">
        <v>20</v>
      </c>
      <c r="D14" s="47"/>
      <c r="E14" s="629" t="s">
        <v>135</v>
      </c>
      <c r="F14" s="390">
        <v>20</v>
      </c>
      <c r="G14" s="91"/>
    </row>
    <row r="15" spans="1:7" ht="17.25">
      <c r="A15" s="181"/>
      <c r="B15" s="629" t="s">
        <v>827</v>
      </c>
      <c r="C15" s="390">
        <v>20</v>
      </c>
      <c r="D15" s="181"/>
      <c r="E15" s="629" t="s">
        <v>107</v>
      </c>
      <c r="F15" s="390">
        <v>20</v>
      </c>
      <c r="G15" s="91"/>
    </row>
    <row r="16" spans="2:7" ht="18" thickBot="1">
      <c r="B16" s="629" t="s">
        <v>725</v>
      </c>
      <c r="C16" s="391">
        <v>20</v>
      </c>
      <c r="D16" s="47"/>
      <c r="E16" s="629" t="s">
        <v>108</v>
      </c>
      <c r="F16" s="391">
        <v>20</v>
      </c>
      <c r="G16" s="326"/>
    </row>
    <row r="17" spans="2:7" ht="17.25">
      <c r="B17" s="567"/>
      <c r="C17" s="47"/>
      <c r="D17" s="47"/>
      <c r="E17" s="572" t="s">
        <v>57</v>
      </c>
      <c r="F17" s="50">
        <f>C11+C12+C13+C14+C15+C16+F11+F12+F13+F14+F15+F16</f>
        <v>240</v>
      </c>
      <c r="G17" s="327" t="s">
        <v>841</v>
      </c>
    </row>
    <row r="18" spans="3:12" ht="17.25">
      <c r="C18" s="47"/>
      <c r="D18" s="47"/>
      <c r="E18" s="47"/>
      <c r="F18" s="49"/>
      <c r="G18" s="51"/>
      <c r="K18" s="52"/>
      <c r="L18" s="52"/>
    </row>
    <row r="19" spans="2:12" ht="18" customHeight="1">
      <c r="B19" s="328" t="s">
        <v>870</v>
      </c>
      <c r="C19" s="47"/>
      <c r="D19" s="47"/>
      <c r="E19" s="47"/>
      <c r="F19" s="59"/>
      <c r="G19" s="51"/>
      <c r="K19" s="52"/>
      <c r="L19" s="52"/>
    </row>
    <row r="20" spans="2:12" ht="18" customHeight="1">
      <c r="B20" s="329" t="s">
        <v>844</v>
      </c>
      <c r="C20" s="47"/>
      <c r="D20" s="47"/>
      <c r="E20" s="47"/>
      <c r="F20" s="59"/>
      <c r="G20" s="51"/>
      <c r="K20" s="52"/>
      <c r="L20" s="52"/>
    </row>
    <row r="21" spans="2:12" ht="18" customHeight="1">
      <c r="B21" s="329"/>
      <c r="C21" s="47"/>
      <c r="D21" s="47"/>
      <c r="E21" s="47"/>
      <c r="F21" s="59"/>
      <c r="G21" s="51"/>
      <c r="K21" s="52"/>
      <c r="L21" s="52"/>
    </row>
    <row r="22" spans="2:12" ht="18" customHeight="1">
      <c r="B22" s="329"/>
      <c r="C22" s="47"/>
      <c r="D22" s="47"/>
      <c r="E22" s="47"/>
      <c r="F22" s="59"/>
      <c r="G22" s="51"/>
      <c r="K22" s="52"/>
      <c r="L22" s="52"/>
    </row>
    <row r="23" spans="2:12" ht="17.25">
      <c r="B23" s="329"/>
      <c r="C23" s="47"/>
      <c r="D23" s="47"/>
      <c r="E23" s="47"/>
      <c r="F23" s="49"/>
      <c r="G23" s="51"/>
      <c r="K23" s="52"/>
      <c r="L23" s="52"/>
    </row>
    <row r="24" spans="2:12" ht="18" thickBot="1">
      <c r="B24" s="47"/>
      <c r="C24" s="47"/>
      <c r="D24" s="47"/>
      <c r="E24" s="47"/>
      <c r="F24" s="49"/>
      <c r="G24" s="51"/>
      <c r="K24" s="52"/>
      <c r="L24" s="52"/>
    </row>
    <row r="25" spans="2:9" ht="18" thickBot="1">
      <c r="B25" s="53" t="s">
        <v>109</v>
      </c>
      <c r="C25" s="53"/>
      <c r="D25" s="53"/>
      <c r="E25" s="392">
        <v>0.375</v>
      </c>
      <c r="F25" s="133" t="s">
        <v>58</v>
      </c>
      <c r="G25" s="392">
        <v>0.75</v>
      </c>
      <c r="H25" s="54">
        <f>G25-E25</f>
        <v>0.375</v>
      </c>
      <c r="I25" s="52"/>
    </row>
    <row r="26" spans="2:9" ht="18" thickBot="1">
      <c r="B26" s="53"/>
      <c r="C26" s="53"/>
      <c r="D26" s="53"/>
      <c r="E26" s="1"/>
      <c r="F26" s="1"/>
      <c r="G26" s="55"/>
      <c r="H26" s="1"/>
      <c r="I26" s="52"/>
    </row>
    <row r="27" spans="2:9" ht="17.25">
      <c r="B27" s="53" t="s">
        <v>110</v>
      </c>
      <c r="C27" s="53"/>
      <c r="D27" s="53"/>
      <c r="E27" s="393">
        <v>0.5</v>
      </c>
      <c r="F27" s="101" t="s">
        <v>58</v>
      </c>
      <c r="G27" s="393">
        <v>0.5416666666666666</v>
      </c>
      <c r="H27" s="56">
        <f>G27-E27</f>
        <v>0.04166666666666663</v>
      </c>
      <c r="I27" s="52"/>
    </row>
    <row r="28" spans="2:9" ht="17.25">
      <c r="B28" s="53" t="s">
        <v>111</v>
      </c>
      <c r="C28" s="53"/>
      <c r="D28" s="53"/>
      <c r="E28" s="394">
        <v>0</v>
      </c>
      <c r="F28" s="101" t="s">
        <v>58</v>
      </c>
      <c r="G28" s="394">
        <v>0</v>
      </c>
      <c r="H28" s="56">
        <f>G28-E28</f>
        <v>0</v>
      </c>
      <c r="I28" s="52"/>
    </row>
    <row r="29" spans="2:9" ht="18" thickBot="1">
      <c r="B29" s="53" t="s">
        <v>112</v>
      </c>
      <c r="C29" s="53"/>
      <c r="D29" s="53"/>
      <c r="E29" s="395">
        <v>0</v>
      </c>
      <c r="F29" s="101" t="s">
        <v>58</v>
      </c>
      <c r="G29" s="395">
        <v>0</v>
      </c>
      <c r="H29" s="56">
        <f>G29-E29</f>
        <v>0</v>
      </c>
      <c r="I29" s="52"/>
    </row>
    <row r="30" spans="2:9" ht="17.25">
      <c r="B30" s="53"/>
      <c r="C30" s="53"/>
      <c r="D30" s="53"/>
      <c r="E30" s="57"/>
      <c r="F30" s="58"/>
      <c r="G30" s="49" t="s">
        <v>123</v>
      </c>
      <c r="H30" s="176">
        <f>H25-H27-H28-H29</f>
        <v>0.33333333333333337</v>
      </c>
      <c r="I30" s="51" t="s">
        <v>105</v>
      </c>
    </row>
    <row r="31" spans="2:8" ht="13.5">
      <c r="B31"/>
      <c r="C31"/>
      <c r="D31"/>
      <c r="E31"/>
      <c r="F31"/>
      <c r="G31" s="2"/>
      <c r="H31" s="2"/>
    </row>
    <row r="32" spans="2:8" ht="17.25">
      <c r="B32" s="289" t="s">
        <v>709</v>
      </c>
      <c r="C32"/>
      <c r="D32"/>
      <c r="E32"/>
      <c r="F32"/>
      <c r="G32" s="49"/>
      <c r="H32" s="2"/>
    </row>
    <row r="33" spans="2:8" ht="17.25">
      <c r="B33"/>
      <c r="C33"/>
      <c r="D33"/>
      <c r="E33"/>
      <c r="F33"/>
      <c r="G33" s="49"/>
      <c r="H33" s="2"/>
    </row>
    <row r="34" spans="2:8" ht="17.25">
      <c r="B34" s="183" t="s">
        <v>665</v>
      </c>
      <c r="C34"/>
      <c r="D34"/>
      <c r="E34"/>
      <c r="F34"/>
      <c r="G34" s="47"/>
      <c r="H34" s="2"/>
    </row>
    <row r="35" spans="2:8" ht="17.25">
      <c r="B35" s="47" t="s">
        <v>655</v>
      </c>
      <c r="C35" s="47"/>
      <c r="D35" s="47"/>
      <c r="E35" s="47"/>
      <c r="F35" s="49"/>
      <c r="G35" s="47"/>
      <c r="H35" s="2"/>
    </row>
    <row r="36" spans="2:9" ht="17.25">
      <c r="B36" s="59">
        <f>F17</f>
        <v>240</v>
      </c>
      <c r="C36" s="174" t="s">
        <v>653</v>
      </c>
      <c r="D36" s="175">
        <f>HOUR(H30)/24</f>
        <v>0.3333333333333333</v>
      </c>
      <c r="E36" s="131"/>
      <c r="G36" s="173" t="s">
        <v>652</v>
      </c>
      <c r="H36" s="172">
        <f>B36*D36*24</f>
        <v>1920</v>
      </c>
      <c r="I36" s="47" t="s">
        <v>105</v>
      </c>
    </row>
    <row r="37" spans="2:12" ht="17.25">
      <c r="B37" s="59">
        <f>F17</f>
        <v>240</v>
      </c>
      <c r="C37" s="174" t="s">
        <v>654</v>
      </c>
      <c r="D37" s="60">
        <f>MINUTE(H30)</f>
        <v>0</v>
      </c>
      <c r="E37" s="61" t="s">
        <v>113</v>
      </c>
      <c r="F37" s="60">
        <v>60</v>
      </c>
      <c r="G37" s="173" t="s">
        <v>656</v>
      </c>
      <c r="H37" s="172">
        <f>ROUNDDOWN(F38*B37,3)</f>
        <v>0</v>
      </c>
      <c r="I37" s="47" t="s">
        <v>105</v>
      </c>
      <c r="J37" s="47"/>
      <c r="K37" s="47"/>
      <c r="L37" s="47"/>
    </row>
    <row r="38" spans="6:7" ht="17.25">
      <c r="F38" s="62">
        <f>ROUNDDOWN(D37/F37,3)</f>
        <v>0</v>
      </c>
      <c r="G38" s="100" t="s">
        <v>671</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802" t="s">
        <v>897</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987" t="s">
        <v>102</v>
      </c>
      <c r="C4" s="987"/>
      <c r="D4" s="987"/>
      <c r="E4" s="987"/>
      <c r="F4" s="987"/>
      <c r="G4" s="987"/>
      <c r="H4" s="987"/>
    </row>
    <row r="5" ht="9.75" customHeight="1"/>
    <row r="6" ht="17.25">
      <c r="H6" s="46" t="s">
        <v>103</v>
      </c>
    </row>
    <row r="7" spans="2:8" ht="17.25">
      <c r="B7" s="47"/>
      <c r="C7" s="47"/>
      <c r="D7" s="47"/>
      <c r="E7" s="47"/>
      <c r="G7" s="47" t="s">
        <v>166</v>
      </c>
      <c r="H7" s="177" t="str">
        <f>IF('基本情報入力（使い方）'!$C$10="","",'基本情報入力（使い方）'!$C$10)</f>
        <v>Ｂ金属株式会社</v>
      </c>
    </row>
    <row r="8" spans="2:9" ht="17.25">
      <c r="B8" s="47" t="s">
        <v>104</v>
      </c>
      <c r="D8" s="47"/>
      <c r="E8" s="47"/>
      <c r="F8" s="47"/>
      <c r="G8" s="182" t="s">
        <v>57</v>
      </c>
      <c r="H8" s="171">
        <f>H36+H37</f>
        <v>0</v>
      </c>
      <c r="I8" s="47" t="s">
        <v>105</v>
      </c>
    </row>
    <row r="9" spans="2:9" ht="17.25">
      <c r="B9" s="47"/>
      <c r="D9" s="47"/>
      <c r="E9" s="47"/>
      <c r="F9" s="47"/>
      <c r="G9" s="48"/>
      <c r="H9" s="64"/>
      <c r="I9" s="47"/>
    </row>
    <row r="10" spans="2:7" ht="18" thickBot="1">
      <c r="B10" s="47"/>
      <c r="C10" s="169" t="s">
        <v>106</v>
      </c>
      <c r="D10" s="47"/>
      <c r="E10" s="47"/>
      <c r="F10" s="169" t="s">
        <v>106</v>
      </c>
      <c r="G10" s="47"/>
    </row>
    <row r="11" spans="1:7" ht="17.25">
      <c r="A11" s="181"/>
      <c r="B11" s="629" t="s">
        <v>837</v>
      </c>
      <c r="C11" s="389">
        <v>0</v>
      </c>
      <c r="D11" s="181"/>
      <c r="E11" s="629" t="s">
        <v>838</v>
      </c>
      <c r="F11" s="389">
        <v>0</v>
      </c>
      <c r="G11" s="47"/>
    </row>
    <row r="12" spans="2:7" ht="17.25">
      <c r="B12" s="629" t="s">
        <v>839</v>
      </c>
      <c r="C12" s="390">
        <v>0</v>
      </c>
      <c r="D12" s="47"/>
      <c r="E12" s="629" t="s">
        <v>840</v>
      </c>
      <c r="F12" s="390">
        <v>0</v>
      </c>
      <c r="G12" s="47"/>
    </row>
    <row r="13" spans="2:7" ht="17.25">
      <c r="B13" s="629" t="s">
        <v>723</v>
      </c>
      <c r="C13" s="390">
        <v>0</v>
      </c>
      <c r="D13" s="47"/>
      <c r="E13" s="629" t="s">
        <v>134</v>
      </c>
      <c r="F13" s="390">
        <v>0</v>
      </c>
      <c r="G13" s="47"/>
    </row>
    <row r="14" spans="2:7" ht="17.25">
      <c r="B14" s="629" t="s">
        <v>724</v>
      </c>
      <c r="C14" s="390">
        <v>0</v>
      </c>
      <c r="D14" s="47"/>
      <c r="E14" s="629" t="s">
        <v>135</v>
      </c>
      <c r="F14" s="390">
        <v>0</v>
      </c>
      <c r="G14" s="47"/>
    </row>
    <row r="15" spans="1:7" ht="17.25">
      <c r="A15" s="181"/>
      <c r="B15" s="629" t="s">
        <v>827</v>
      </c>
      <c r="C15" s="390">
        <v>0</v>
      </c>
      <c r="D15" s="47"/>
      <c r="E15" s="629" t="s">
        <v>107</v>
      </c>
      <c r="F15" s="390">
        <v>0</v>
      </c>
      <c r="G15" s="91"/>
    </row>
    <row r="16" spans="2:7" ht="18" thickBot="1">
      <c r="B16" s="629" t="s">
        <v>725</v>
      </c>
      <c r="C16" s="391">
        <v>0</v>
      </c>
      <c r="D16" s="47"/>
      <c r="E16" s="629" t="s">
        <v>108</v>
      </c>
      <c r="F16" s="391">
        <v>0</v>
      </c>
      <c r="G16" s="326"/>
    </row>
    <row r="17" spans="3:7" ht="17.25">
      <c r="C17" s="47"/>
      <c r="D17" s="47"/>
      <c r="E17" s="288" t="s">
        <v>57</v>
      </c>
      <c r="F17" s="50">
        <f>C11+C12+C13+C14+C15+C16+F11+F12+F13+F14+F15+F16</f>
        <v>0</v>
      </c>
      <c r="G17" s="327" t="s">
        <v>841</v>
      </c>
    </row>
    <row r="18" spans="3:12" ht="17.25">
      <c r="C18" s="47"/>
      <c r="D18" s="47"/>
      <c r="E18" s="47"/>
      <c r="F18" s="49"/>
      <c r="G18" s="51"/>
      <c r="K18" s="52"/>
      <c r="L18" s="52"/>
    </row>
    <row r="19" spans="2:12" ht="18" customHeight="1">
      <c r="B19" s="328" t="s">
        <v>870</v>
      </c>
      <c r="C19" s="47"/>
      <c r="D19" s="47"/>
      <c r="E19" s="47"/>
      <c r="F19" s="59"/>
      <c r="G19" s="51"/>
      <c r="K19" s="52"/>
      <c r="L19" s="52"/>
    </row>
    <row r="20" spans="2:12" ht="18" customHeight="1">
      <c r="B20" s="329" t="s">
        <v>842</v>
      </c>
      <c r="C20" s="47"/>
      <c r="D20" s="47"/>
      <c r="E20" s="47"/>
      <c r="F20" s="59"/>
      <c r="G20" s="51"/>
      <c r="K20" s="52"/>
      <c r="L20" s="52"/>
    </row>
    <row r="21" spans="2:12" ht="18" customHeight="1">
      <c r="B21" s="329" t="s">
        <v>843</v>
      </c>
      <c r="C21" s="47"/>
      <c r="D21" s="47"/>
      <c r="E21" s="47"/>
      <c r="F21" s="59"/>
      <c r="G21" s="51"/>
      <c r="K21" s="52"/>
      <c r="L21" s="52"/>
    </row>
    <row r="22" spans="2:12" ht="18" customHeight="1">
      <c r="B22" s="329" t="s">
        <v>869</v>
      </c>
      <c r="C22" s="47"/>
      <c r="D22" s="47"/>
      <c r="E22" s="47"/>
      <c r="F22" s="59"/>
      <c r="G22" s="51"/>
      <c r="K22" s="52"/>
      <c r="L22" s="52"/>
    </row>
    <row r="23" spans="2:12" ht="17.25">
      <c r="B23" s="329"/>
      <c r="C23" s="47"/>
      <c r="D23" s="47"/>
      <c r="E23" s="47"/>
      <c r="F23" s="49"/>
      <c r="G23" s="51"/>
      <c r="K23" s="52"/>
      <c r="L23" s="52"/>
    </row>
    <row r="24" spans="2:12" ht="18" thickBot="1">
      <c r="B24" s="329"/>
      <c r="C24" s="47"/>
      <c r="D24" s="47"/>
      <c r="E24" s="47"/>
      <c r="F24" s="49"/>
      <c r="G24" s="51"/>
      <c r="K24" s="52"/>
      <c r="L24" s="52"/>
    </row>
    <row r="25" spans="2:9" ht="18" thickBot="1">
      <c r="B25" s="53" t="s">
        <v>109</v>
      </c>
      <c r="C25" s="47"/>
      <c r="D25" s="53"/>
      <c r="E25" s="392">
        <v>0</v>
      </c>
      <c r="F25" s="128" t="s">
        <v>58</v>
      </c>
      <c r="G25" s="392">
        <v>0</v>
      </c>
      <c r="H25" s="54">
        <f>G25-E25</f>
        <v>0</v>
      </c>
      <c r="I25" s="52"/>
    </row>
    <row r="26" spans="2:9" ht="18" thickBot="1">
      <c r="B26" s="53"/>
      <c r="C26" s="53"/>
      <c r="D26" s="53"/>
      <c r="E26" s="1"/>
      <c r="F26" s="1"/>
      <c r="G26" s="55"/>
      <c r="H26" s="1"/>
      <c r="I26" s="52"/>
    </row>
    <row r="27" spans="2:9" ht="17.25">
      <c r="B27" s="53" t="s">
        <v>110</v>
      </c>
      <c r="C27" s="53"/>
      <c r="D27" s="53"/>
      <c r="E27" s="393">
        <v>0</v>
      </c>
      <c r="F27" s="101" t="s">
        <v>58</v>
      </c>
      <c r="G27" s="393">
        <v>0</v>
      </c>
      <c r="H27" s="56">
        <f>G27-E27</f>
        <v>0</v>
      </c>
      <c r="I27" s="52"/>
    </row>
    <row r="28" spans="2:9" ht="17.25">
      <c r="B28" s="53" t="s">
        <v>111</v>
      </c>
      <c r="C28" s="53"/>
      <c r="D28" s="53"/>
      <c r="E28" s="394">
        <v>0</v>
      </c>
      <c r="F28" s="101" t="s">
        <v>58</v>
      </c>
      <c r="G28" s="394">
        <v>0</v>
      </c>
      <c r="H28" s="56">
        <f>G28-E28</f>
        <v>0</v>
      </c>
      <c r="I28" s="52"/>
    </row>
    <row r="29" spans="2:9" ht="18" thickBot="1">
      <c r="B29" s="53" t="s">
        <v>112</v>
      </c>
      <c r="C29" s="53"/>
      <c r="D29" s="53"/>
      <c r="E29" s="395">
        <v>0</v>
      </c>
      <c r="F29" s="101" t="s">
        <v>58</v>
      </c>
      <c r="G29" s="395">
        <v>0</v>
      </c>
      <c r="H29" s="56">
        <f>G29-E29</f>
        <v>0</v>
      </c>
      <c r="I29" s="52"/>
    </row>
    <row r="30" spans="2:9" ht="17.25">
      <c r="B30" s="53"/>
      <c r="C30" s="53"/>
      <c r="D30" s="53"/>
      <c r="E30" s="57"/>
      <c r="F30" s="58"/>
      <c r="G30" s="49"/>
      <c r="H30" s="176">
        <f>H25-H27-H28-H29</f>
        <v>0</v>
      </c>
      <c r="I30" s="51" t="s">
        <v>105</v>
      </c>
    </row>
    <row r="31" spans="2:8" ht="13.5">
      <c r="B31" s="289"/>
      <c r="C31"/>
      <c r="D31"/>
      <c r="E31"/>
      <c r="F31"/>
      <c r="G31" s="2"/>
      <c r="H31" s="2"/>
    </row>
    <row r="32" spans="2:8" ht="17.25">
      <c r="B32" s="289" t="s">
        <v>709</v>
      </c>
      <c r="C32"/>
      <c r="D32"/>
      <c r="E32"/>
      <c r="F32"/>
      <c r="G32" s="49"/>
      <c r="H32" s="2"/>
    </row>
    <row r="33" spans="2:8" ht="17.25">
      <c r="B33"/>
      <c r="C33"/>
      <c r="D33"/>
      <c r="E33"/>
      <c r="F33"/>
      <c r="G33" s="49"/>
      <c r="H33" s="2"/>
    </row>
    <row r="34" spans="2:8" ht="17.25">
      <c r="B34" s="183" t="s">
        <v>665</v>
      </c>
      <c r="C34"/>
      <c r="D34"/>
      <c r="E34"/>
      <c r="F34"/>
      <c r="G34" s="47"/>
      <c r="H34" s="2"/>
    </row>
    <row r="35" spans="2:8" ht="17.25">
      <c r="B35" s="47" t="s">
        <v>655</v>
      </c>
      <c r="C35" s="47"/>
      <c r="D35" s="47"/>
      <c r="E35" s="47"/>
      <c r="F35" s="49"/>
      <c r="G35" s="47"/>
      <c r="H35" s="2"/>
    </row>
    <row r="36" spans="2:9" ht="17.25">
      <c r="B36" s="59">
        <f>F17</f>
        <v>0</v>
      </c>
      <c r="C36" s="174" t="s">
        <v>653</v>
      </c>
      <c r="D36" s="175">
        <f>HOUR(H30)/24</f>
        <v>0</v>
      </c>
      <c r="E36" s="131"/>
      <c r="G36" s="173" t="s">
        <v>652</v>
      </c>
      <c r="H36" s="172">
        <f>B36*D36*24</f>
        <v>0</v>
      </c>
      <c r="I36" s="47" t="s">
        <v>105</v>
      </c>
    </row>
    <row r="37" spans="2:12" ht="17.25">
      <c r="B37" s="59">
        <f>F17</f>
        <v>0</v>
      </c>
      <c r="C37" s="174" t="s">
        <v>654</v>
      </c>
      <c r="D37" s="60">
        <f>MINUTE(H30)</f>
        <v>0</v>
      </c>
      <c r="E37" s="61" t="s">
        <v>113</v>
      </c>
      <c r="F37" s="60">
        <v>60</v>
      </c>
      <c r="G37" s="173" t="s">
        <v>656</v>
      </c>
      <c r="H37" s="172">
        <f>ROUNDDOWN(F38*B37,3)</f>
        <v>0</v>
      </c>
      <c r="I37" s="47" t="s">
        <v>105</v>
      </c>
      <c r="J37" s="47"/>
      <c r="K37" s="47"/>
      <c r="L37" s="47"/>
    </row>
    <row r="38" spans="6:7" ht="17.25">
      <c r="F38" s="62">
        <f>ROUNDDOWN(D37/F37,3)</f>
        <v>0</v>
      </c>
      <c r="G38" s="100" t="s">
        <v>671</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2.xml><?xml version="1.0" encoding="utf-8"?>
<worksheet xmlns="http://schemas.openxmlformats.org/spreadsheetml/2006/main" xmlns:r="http://schemas.openxmlformats.org/officeDocument/2006/relationships">
  <sheetPr codeName="Sheet1"/>
  <dimension ref="A1:Q140"/>
  <sheetViews>
    <sheetView showGridLines="0" zoomScaleSheetLayoutView="100" zoomScalePageLayoutView="0" workbookViewId="0" topLeftCell="A1">
      <selection activeCell="A1" sqref="A1"/>
    </sheetView>
  </sheetViews>
  <sheetFormatPr defaultColWidth="9.140625" defaultRowHeight="15"/>
  <cols>
    <col min="1" max="2" width="3.421875" style="135" customWidth="1"/>
    <col min="3" max="7" width="13.00390625" style="135" customWidth="1"/>
    <col min="8" max="8" width="3.8515625" style="135" customWidth="1"/>
    <col min="9" max="9" width="14.421875" style="135" customWidth="1"/>
    <col min="10" max="10" width="13.7109375" style="135" customWidth="1"/>
    <col min="11" max="11" width="23.421875" style="135" customWidth="1"/>
    <col min="12" max="12" width="13.421875" style="135" customWidth="1"/>
    <col min="13" max="13" width="9.00390625" style="135" customWidth="1"/>
    <col min="14" max="14" width="17.8515625" style="135" customWidth="1"/>
    <col min="15" max="15" width="18.00390625" style="135" customWidth="1"/>
    <col min="16" max="16" width="9.421875" style="135" customWidth="1"/>
    <col min="17" max="16384" width="9.00390625" style="135" customWidth="1"/>
  </cols>
  <sheetData>
    <row r="1" spans="1:12" s="342" customFormat="1" ht="14.25">
      <c r="A1" s="342" t="s">
        <v>164</v>
      </c>
      <c r="L1" s="796"/>
    </row>
    <row r="2" s="342" customFormat="1" ht="14.25">
      <c r="L2" s="343"/>
    </row>
    <row r="3" spans="1:16" s="342" customFormat="1" ht="14.25">
      <c r="A3" s="344" t="s">
        <v>763</v>
      </c>
      <c r="M3" s="354"/>
      <c r="N3" s="354"/>
      <c r="O3" s="354"/>
      <c r="P3" s="354"/>
    </row>
    <row r="4" spans="3:16" s="342" customFormat="1" ht="15" customHeight="1">
      <c r="C4" s="342" t="s">
        <v>992</v>
      </c>
      <c r="J4" s="355"/>
      <c r="M4" s="354"/>
      <c r="N4" s="354"/>
      <c r="O4" s="354"/>
      <c r="P4" s="354"/>
    </row>
    <row r="5" spans="3:16" s="342" customFormat="1" ht="15" customHeight="1">
      <c r="C5" s="342" t="s">
        <v>991</v>
      </c>
      <c r="J5" s="355"/>
      <c r="M5" s="354"/>
      <c r="N5" s="354"/>
      <c r="O5" s="354"/>
      <c r="P5" s="354"/>
    </row>
    <row r="6" spans="3:16" s="342" customFormat="1" ht="15" customHeight="1">
      <c r="C6" s="344"/>
      <c r="M6" s="354"/>
      <c r="N6" s="354"/>
      <c r="O6" s="354"/>
      <c r="P6" s="354"/>
    </row>
    <row r="7" spans="1:16" s="342" customFormat="1" ht="15" customHeight="1">
      <c r="A7" s="344" t="s">
        <v>799</v>
      </c>
      <c r="C7" s="344"/>
      <c r="M7" s="354"/>
      <c r="N7" s="354"/>
      <c r="O7" s="354"/>
      <c r="P7" s="354"/>
    </row>
    <row r="8" spans="1:16" s="342" customFormat="1" ht="15" customHeight="1">
      <c r="A8" s="344"/>
      <c r="C8" s="344"/>
      <c r="M8" s="354"/>
      <c r="N8" s="354"/>
      <c r="O8" s="354"/>
      <c r="P8" s="354"/>
    </row>
    <row r="9" spans="1:16" s="342" customFormat="1" ht="15" customHeight="1">
      <c r="A9" s="342">
        <v>1</v>
      </c>
      <c r="B9" s="342" t="s">
        <v>762</v>
      </c>
      <c r="M9" s="354"/>
      <c r="N9" s="354"/>
      <c r="O9" s="354"/>
      <c r="P9" s="354"/>
    </row>
    <row r="10" spans="3:16" s="342" customFormat="1" ht="15" customHeight="1">
      <c r="C10" s="847" t="s">
        <v>986</v>
      </c>
      <c r="D10" s="848"/>
      <c r="E10" s="848"/>
      <c r="F10" s="848"/>
      <c r="G10" s="849"/>
      <c r="I10" s="36"/>
      <c r="M10" s="354"/>
      <c r="N10" s="354"/>
      <c r="O10" s="354"/>
      <c r="P10" s="354"/>
    </row>
    <row r="11" spans="6:16" s="342" customFormat="1" ht="15" customHeight="1">
      <c r="F11" s="345"/>
      <c r="G11" s="345"/>
      <c r="H11" s="346"/>
      <c r="I11" s="347"/>
      <c r="M11" s="354"/>
      <c r="N11" s="354"/>
      <c r="O11" s="354"/>
      <c r="P11" s="354"/>
    </row>
    <row r="12" spans="1:16" s="342" customFormat="1" ht="15" customHeight="1">
      <c r="A12" s="342">
        <v>2</v>
      </c>
      <c r="B12" s="136" t="s">
        <v>746</v>
      </c>
      <c r="D12" s="136"/>
      <c r="E12" s="136"/>
      <c r="F12" s="136"/>
      <c r="G12" s="136"/>
      <c r="H12" s="136"/>
      <c r="I12" s="136"/>
      <c r="M12" s="354"/>
      <c r="N12" s="354"/>
      <c r="O12" s="354"/>
      <c r="P12" s="354"/>
    </row>
    <row r="13" spans="3:16" s="342" customFormat="1" ht="15" customHeight="1">
      <c r="C13" s="354"/>
      <c r="D13" s="354"/>
      <c r="E13" s="347"/>
      <c r="F13" s="347"/>
      <c r="G13" s="347"/>
      <c r="H13" s="347"/>
      <c r="I13" s="347"/>
      <c r="M13" s="354"/>
      <c r="N13" s="354"/>
      <c r="O13" s="354"/>
      <c r="P13" s="354"/>
    </row>
    <row r="14" spans="3:16" s="342" customFormat="1" ht="15" customHeight="1">
      <c r="C14" s="348"/>
      <c r="D14" s="349"/>
      <c r="E14" s="348"/>
      <c r="F14" s="348"/>
      <c r="G14" s="348"/>
      <c r="H14" s="347"/>
      <c r="I14" s="347"/>
      <c r="M14" s="354"/>
      <c r="N14" s="354"/>
      <c r="O14" s="354"/>
      <c r="P14" s="354"/>
    </row>
    <row r="15" spans="1:16" s="342" customFormat="1" ht="15" customHeight="1">
      <c r="A15" s="354"/>
      <c r="B15" s="354"/>
      <c r="C15" s="801">
        <v>1</v>
      </c>
      <c r="D15" s="349"/>
      <c r="E15" s="349"/>
      <c r="F15" s="349"/>
      <c r="G15" s="376"/>
      <c r="H15" s="345"/>
      <c r="I15" s="347"/>
      <c r="M15" s="354"/>
      <c r="N15" s="354"/>
      <c r="O15" s="354"/>
      <c r="P15" s="354"/>
    </row>
    <row r="16" spans="3:16" s="342" customFormat="1" ht="15" customHeight="1">
      <c r="C16" s="349"/>
      <c r="D16" s="349"/>
      <c r="E16" s="349"/>
      <c r="F16" s="349"/>
      <c r="G16" s="349"/>
      <c r="H16" s="354"/>
      <c r="I16" s="354"/>
      <c r="J16" s="354"/>
      <c r="M16" s="354"/>
      <c r="N16" s="354"/>
      <c r="O16" s="354"/>
      <c r="P16" s="354"/>
    </row>
    <row r="17" spans="3:16" s="342" customFormat="1" ht="15" customHeight="1">
      <c r="C17" s="349"/>
      <c r="D17" s="349"/>
      <c r="E17" s="349"/>
      <c r="F17" s="349"/>
      <c r="G17" s="349"/>
      <c r="H17" s="354"/>
      <c r="I17" s="354"/>
      <c r="J17" s="354"/>
      <c r="M17" s="354"/>
      <c r="N17" s="354"/>
      <c r="O17" s="354"/>
      <c r="P17" s="354"/>
    </row>
    <row r="18" spans="3:16" s="342" customFormat="1" ht="15" customHeight="1">
      <c r="C18" s="349"/>
      <c r="D18" s="349"/>
      <c r="E18" s="349"/>
      <c r="F18" s="349"/>
      <c r="G18" s="349"/>
      <c r="H18" s="354"/>
      <c r="I18" s="354"/>
      <c r="J18" s="354"/>
      <c r="M18" s="354"/>
      <c r="N18" s="354"/>
      <c r="O18" s="354"/>
      <c r="P18" s="354"/>
    </row>
    <row r="19" spans="3:16" s="342" customFormat="1" ht="15" customHeight="1">
      <c r="C19" s="349"/>
      <c r="D19" s="349"/>
      <c r="E19" s="349"/>
      <c r="F19" s="349"/>
      <c r="G19" s="349"/>
      <c r="H19" s="354"/>
      <c r="I19" s="354"/>
      <c r="J19" s="354"/>
      <c r="M19" s="354"/>
      <c r="N19" s="354"/>
      <c r="O19" s="354"/>
      <c r="P19" s="354"/>
    </row>
    <row r="20" spans="3:16" s="342" customFormat="1" ht="15" customHeight="1">
      <c r="C20" s="349"/>
      <c r="D20" s="349"/>
      <c r="E20" s="349"/>
      <c r="F20" s="349"/>
      <c r="G20" s="349"/>
      <c r="H20" s="354"/>
      <c r="I20" s="354"/>
      <c r="J20" s="354"/>
      <c r="M20" s="354"/>
      <c r="N20" s="354"/>
      <c r="O20" s="354"/>
      <c r="P20" s="354"/>
    </row>
    <row r="21" spans="3:16" s="342" customFormat="1" ht="15" customHeight="1">
      <c r="C21" s="349"/>
      <c r="D21" s="349"/>
      <c r="E21" s="349"/>
      <c r="F21" s="349"/>
      <c r="G21" s="349"/>
      <c r="H21" s="354"/>
      <c r="I21" s="354"/>
      <c r="J21" s="354"/>
      <c r="M21" s="354"/>
      <c r="N21" s="354"/>
      <c r="O21" s="354"/>
      <c r="P21" s="354"/>
    </row>
    <row r="22" spans="3:16" s="342" customFormat="1" ht="15" customHeight="1">
      <c r="C22" s="349"/>
      <c r="D22" s="349"/>
      <c r="E22" s="349"/>
      <c r="F22" s="349"/>
      <c r="G22" s="349"/>
      <c r="H22" s="354"/>
      <c r="I22" s="354"/>
      <c r="J22" s="354"/>
      <c r="M22" s="354"/>
      <c r="N22" s="354"/>
      <c r="O22" s="354"/>
      <c r="P22" s="354"/>
    </row>
    <row r="23" spans="3:16" s="342" customFormat="1" ht="15" customHeight="1">
      <c r="C23" s="349"/>
      <c r="D23" s="349"/>
      <c r="E23" s="349"/>
      <c r="F23" s="349"/>
      <c r="G23" s="349"/>
      <c r="H23" s="354"/>
      <c r="I23" s="354"/>
      <c r="J23" s="354"/>
      <c r="M23" s="354"/>
      <c r="N23" s="354"/>
      <c r="O23" s="354"/>
      <c r="P23" s="354"/>
    </row>
    <row r="24" spans="3:10" s="342" customFormat="1" ht="15" customHeight="1">
      <c r="C24" s="349"/>
      <c r="D24" s="349"/>
      <c r="E24" s="349"/>
      <c r="F24" s="349"/>
      <c r="G24" s="349"/>
      <c r="H24" s="354"/>
      <c r="I24" s="354"/>
      <c r="J24" s="354"/>
    </row>
    <row r="25" spans="3:13" s="342" customFormat="1" ht="15" customHeight="1">
      <c r="C25" s="354"/>
      <c r="D25" s="354"/>
      <c r="F25" s="354"/>
      <c r="G25" s="354"/>
      <c r="H25" s="354"/>
      <c r="I25" s="354"/>
      <c r="J25" s="354"/>
      <c r="M25" s="350"/>
    </row>
    <row r="26" spans="3:9" s="342" customFormat="1" ht="18.75" customHeight="1">
      <c r="C26" s="138"/>
      <c r="D26" s="138"/>
      <c r="E26" s="138"/>
      <c r="F26" s="138"/>
      <c r="G26" s="345"/>
      <c r="H26" s="345"/>
      <c r="I26" s="347"/>
    </row>
    <row r="27" spans="1:15" s="342" customFormat="1" ht="14.25">
      <c r="A27" s="342">
        <v>3</v>
      </c>
      <c r="B27" s="138" t="s">
        <v>990</v>
      </c>
      <c r="D27" s="138"/>
      <c r="E27" s="138"/>
      <c r="O27" s="351"/>
    </row>
    <row r="28" spans="2:15" s="342" customFormat="1" ht="14.25">
      <c r="B28" s="138"/>
      <c r="D28" s="138"/>
      <c r="E28" s="138"/>
      <c r="O28" s="351"/>
    </row>
    <row r="29" spans="3:9" s="342" customFormat="1" ht="14.25">
      <c r="C29" s="855" t="s">
        <v>987</v>
      </c>
      <c r="D29" s="856"/>
      <c r="E29" s="856"/>
      <c r="F29" s="856"/>
      <c r="G29" s="857"/>
      <c r="H29" s="345"/>
      <c r="I29" s="36"/>
    </row>
    <row r="30" spans="3:9" s="342" customFormat="1" ht="14.25">
      <c r="C30" s="138"/>
      <c r="D30" s="138"/>
      <c r="E30" s="138"/>
      <c r="F30" s="138"/>
      <c r="G30" s="345"/>
      <c r="H30" s="345"/>
      <c r="I30" s="347"/>
    </row>
    <row r="31" spans="1:6" s="342" customFormat="1" ht="14.25">
      <c r="A31" s="342">
        <v>4</v>
      </c>
      <c r="B31" s="138" t="s">
        <v>747</v>
      </c>
      <c r="D31" s="138"/>
      <c r="E31" s="138"/>
      <c r="F31" s="138"/>
    </row>
    <row r="32" spans="2:6" s="342" customFormat="1" ht="14.25">
      <c r="B32" s="138"/>
      <c r="D32" s="138"/>
      <c r="E32" s="138"/>
      <c r="F32" s="138"/>
    </row>
    <row r="33" spans="3:9" s="342" customFormat="1" ht="14.25">
      <c r="C33" s="852" t="s">
        <v>988</v>
      </c>
      <c r="D33" s="853"/>
      <c r="E33" s="853"/>
      <c r="F33" s="853"/>
      <c r="G33" s="854"/>
      <c r="I33" s="36"/>
    </row>
    <row r="34" spans="3:9" s="342" customFormat="1" ht="14.25">
      <c r="C34" s="852" t="s">
        <v>989</v>
      </c>
      <c r="D34" s="853"/>
      <c r="E34" s="853"/>
      <c r="F34" s="853"/>
      <c r="G34" s="854"/>
      <c r="H34" s="345"/>
      <c r="I34" s="36"/>
    </row>
    <row r="35" spans="4:9" s="342" customFormat="1" ht="14.25">
      <c r="D35" s="138"/>
      <c r="E35" s="138"/>
      <c r="F35" s="138"/>
      <c r="G35" s="140"/>
      <c r="H35" s="345"/>
      <c r="I35" s="347"/>
    </row>
    <row r="36" spans="3:9" s="342" customFormat="1" ht="14.25">
      <c r="C36" s="138" t="s">
        <v>159</v>
      </c>
      <c r="D36" s="138"/>
      <c r="E36" s="138"/>
      <c r="F36" s="138"/>
      <c r="G36" s="140"/>
      <c r="H36" s="345"/>
      <c r="I36" s="347"/>
    </row>
    <row r="37" spans="3:9" s="342" customFormat="1" ht="14.25">
      <c r="C37" s="138"/>
      <c r="D37" s="138"/>
      <c r="E37" s="138"/>
      <c r="F37" s="138"/>
      <c r="G37" s="140"/>
      <c r="H37" s="345"/>
      <c r="I37" s="347"/>
    </row>
    <row r="38" spans="1:2" s="342" customFormat="1" ht="14.25">
      <c r="A38" s="342">
        <v>5</v>
      </c>
      <c r="B38" s="342" t="s">
        <v>993</v>
      </c>
    </row>
    <row r="39" s="342" customFormat="1" ht="15" customHeight="1">
      <c r="B39" s="342" t="s">
        <v>768</v>
      </c>
    </row>
    <row r="40" spans="2:5" s="342" customFormat="1" ht="14.25">
      <c r="B40" s="350" t="s">
        <v>994</v>
      </c>
      <c r="C40" s="350"/>
      <c r="D40" s="350"/>
      <c r="E40" s="350"/>
    </row>
    <row r="41" spans="2:4" s="342" customFormat="1" ht="14.25">
      <c r="B41" s="373"/>
      <c r="C41" s="374" t="s">
        <v>787</v>
      </c>
      <c r="D41" s="373"/>
    </row>
    <row r="42" spans="2:4" s="342" customFormat="1" ht="14.25">
      <c r="B42" s="373"/>
      <c r="C42" s="374" t="s">
        <v>788</v>
      </c>
      <c r="D42" s="373"/>
    </row>
    <row r="43" spans="2:4" s="342" customFormat="1" ht="14.25">
      <c r="B43" s="373"/>
      <c r="C43" s="374" t="s">
        <v>765</v>
      </c>
      <c r="D43" s="373"/>
    </row>
    <row r="44" spans="2:4" s="342" customFormat="1" ht="14.25">
      <c r="B44" s="373"/>
      <c r="C44" s="374" t="s">
        <v>766</v>
      </c>
      <c r="D44" s="373"/>
    </row>
    <row r="45" spans="2:4" s="342" customFormat="1" ht="14.25">
      <c r="B45" s="373"/>
      <c r="C45" s="374" t="s">
        <v>767</v>
      </c>
      <c r="D45" s="373"/>
    </row>
    <row r="46" spans="2:4" s="342" customFormat="1" ht="14.25">
      <c r="B46" s="373"/>
      <c r="C46" s="374" t="s">
        <v>137</v>
      </c>
      <c r="D46" s="374"/>
    </row>
    <row r="47" spans="2:4" s="342" customFormat="1" ht="14.25">
      <c r="B47" s="373"/>
      <c r="C47" s="374" t="s">
        <v>138</v>
      </c>
      <c r="D47" s="374"/>
    </row>
    <row r="48" spans="2:4" s="342" customFormat="1" ht="14.25">
      <c r="B48" s="373"/>
      <c r="C48" s="374" t="s">
        <v>139</v>
      </c>
      <c r="D48" s="374"/>
    </row>
    <row r="49" spans="2:4" s="342" customFormat="1" ht="14.25">
      <c r="B49" s="373"/>
      <c r="C49" s="374" t="s">
        <v>789</v>
      </c>
      <c r="D49" s="374"/>
    </row>
    <row r="50" spans="2:4" s="342" customFormat="1" ht="14.25">
      <c r="B50" s="373"/>
      <c r="C50" s="374" t="s">
        <v>140</v>
      </c>
      <c r="D50" s="374"/>
    </row>
    <row r="51" spans="2:4" s="342" customFormat="1" ht="14.25">
      <c r="B51" s="373"/>
      <c r="C51" s="374" t="s">
        <v>790</v>
      </c>
      <c r="D51" s="374"/>
    </row>
    <row r="52" s="342" customFormat="1" ht="14.25"/>
    <row r="53" spans="3:7" s="342" customFormat="1" ht="14.25">
      <c r="C53" s="342" t="s">
        <v>160</v>
      </c>
      <c r="G53" s="352"/>
    </row>
    <row r="54" s="342" customFormat="1" ht="14.25">
      <c r="C54" s="342" t="s">
        <v>748</v>
      </c>
    </row>
    <row r="55" s="342" customFormat="1" ht="14.25">
      <c r="C55" s="342" t="s">
        <v>995</v>
      </c>
    </row>
    <row r="56" s="342" customFormat="1" ht="14.25">
      <c r="C56" s="342" t="s">
        <v>161</v>
      </c>
    </row>
    <row r="57" s="342" customFormat="1" ht="14.25">
      <c r="C57" s="342" t="s">
        <v>749</v>
      </c>
    </row>
    <row r="58" s="342" customFormat="1" ht="14.25"/>
    <row r="59" spans="1:2" s="342" customFormat="1" ht="15" customHeight="1">
      <c r="A59" s="342">
        <v>6</v>
      </c>
      <c r="B59" s="342" t="s">
        <v>162</v>
      </c>
    </row>
    <row r="60" s="342" customFormat="1" ht="15" customHeight="1"/>
    <row r="61" s="342" customFormat="1" ht="15" customHeight="1" hidden="1">
      <c r="B61" s="136" t="s">
        <v>163</v>
      </c>
    </row>
    <row r="62" s="342" customFormat="1" ht="15" customHeight="1" hidden="1">
      <c r="B62" s="136" t="s">
        <v>122</v>
      </c>
    </row>
    <row r="63" s="342" customFormat="1" ht="15" customHeight="1" hidden="1"/>
    <row r="64" spans="2:4" s="342" customFormat="1" ht="15" customHeight="1" hidden="1">
      <c r="B64" s="136" t="s">
        <v>793</v>
      </c>
      <c r="D64" s="370"/>
    </row>
    <row r="65" s="342" customFormat="1" ht="15" customHeight="1" hidden="1"/>
    <row r="66" spans="2:11" s="342" customFormat="1" ht="15" customHeight="1" hidden="1">
      <c r="B66" s="375" t="s">
        <v>769</v>
      </c>
      <c r="K66" s="371"/>
    </row>
    <row r="67" spans="3:11" s="342" customFormat="1" ht="15" customHeight="1" hidden="1">
      <c r="C67" s="136" t="s">
        <v>659</v>
      </c>
      <c r="D67" s="136"/>
      <c r="K67" s="371"/>
    </row>
    <row r="68" spans="2:11" s="342" customFormat="1" ht="15" customHeight="1" hidden="1">
      <c r="B68" s="464"/>
      <c r="C68" s="465" t="s">
        <v>770</v>
      </c>
      <c r="D68" s="464"/>
      <c r="K68" s="371"/>
    </row>
    <row r="69" spans="3:11" s="342" customFormat="1" ht="15" customHeight="1" hidden="1">
      <c r="C69" s="370"/>
      <c r="K69" s="371"/>
    </row>
    <row r="70" spans="2:11" s="342" customFormat="1" ht="15" customHeight="1" hidden="1">
      <c r="B70" s="375" t="s">
        <v>772</v>
      </c>
      <c r="K70" s="371"/>
    </row>
    <row r="71" spans="2:11" s="342" customFormat="1" ht="15" customHeight="1" hidden="1">
      <c r="B71" s="464"/>
      <c r="C71" s="467" t="s">
        <v>771</v>
      </c>
      <c r="D71" s="464"/>
      <c r="K71" s="371"/>
    </row>
    <row r="72" spans="3:11" s="342" customFormat="1" ht="15" customHeight="1" hidden="1">
      <c r="C72" s="342" t="s">
        <v>657</v>
      </c>
      <c r="K72" s="371"/>
    </row>
    <row r="73" spans="3:11" s="342" customFormat="1" ht="15" customHeight="1" hidden="1">
      <c r="C73" s="342" t="s">
        <v>893</v>
      </c>
      <c r="K73" s="371"/>
    </row>
    <row r="74" s="342" customFormat="1" ht="15" customHeight="1" hidden="1">
      <c r="K74" s="371"/>
    </row>
    <row r="75" spans="2:11" s="342" customFormat="1" ht="15" customHeight="1" hidden="1">
      <c r="B75" s="464"/>
      <c r="C75" s="465" t="s">
        <v>773</v>
      </c>
      <c r="D75" s="464"/>
      <c r="K75" s="371"/>
    </row>
    <row r="76" s="342" customFormat="1" ht="15" customHeight="1" hidden="1">
      <c r="C76" s="342" t="s">
        <v>892</v>
      </c>
    </row>
    <row r="77" s="342" customFormat="1" ht="15" customHeight="1" hidden="1">
      <c r="C77" s="342" t="s">
        <v>774</v>
      </c>
    </row>
    <row r="78" s="342" customFormat="1" ht="15" customHeight="1" hidden="1"/>
    <row r="79" s="342" customFormat="1" ht="15" customHeight="1" hidden="1">
      <c r="B79" s="375" t="s">
        <v>775</v>
      </c>
    </row>
    <row r="80" spans="2:4" s="342" customFormat="1" ht="15" customHeight="1" hidden="1">
      <c r="B80" s="464"/>
      <c r="C80" s="467" t="s">
        <v>776</v>
      </c>
      <c r="D80" s="464"/>
    </row>
    <row r="81" s="342" customFormat="1" ht="15" customHeight="1" hidden="1">
      <c r="C81" s="344" t="s">
        <v>797</v>
      </c>
    </row>
    <row r="82" s="342" customFormat="1" ht="15" customHeight="1" hidden="1">
      <c r="C82" s="344" t="s">
        <v>660</v>
      </c>
    </row>
    <row r="83" spans="3:9" s="342" customFormat="1" ht="15" customHeight="1" hidden="1">
      <c r="C83" s="344" t="s">
        <v>658</v>
      </c>
      <c r="G83" s="356"/>
      <c r="H83" s="356"/>
      <c r="I83" s="356"/>
    </row>
    <row r="84" spans="3:9" s="342" customFormat="1" ht="15" customHeight="1" hidden="1">
      <c r="C84" s="344"/>
      <c r="G84" s="357"/>
      <c r="H84" s="356"/>
      <c r="I84" s="356"/>
    </row>
    <row r="85" spans="3:11" s="342" customFormat="1" ht="15" customHeight="1" hidden="1">
      <c r="C85" s="344" t="s">
        <v>798</v>
      </c>
      <c r="G85" s="357"/>
      <c r="H85" s="356"/>
      <c r="I85" s="356"/>
      <c r="K85" s="136"/>
    </row>
    <row r="86" spans="3:11" s="342" customFormat="1" ht="15" customHeight="1" hidden="1">
      <c r="C86" s="344" t="s">
        <v>750</v>
      </c>
      <c r="G86" s="357"/>
      <c r="H86" s="356"/>
      <c r="I86" s="356"/>
      <c r="K86" s="136"/>
    </row>
    <row r="87" spans="3:11" s="342" customFormat="1" ht="15" customHeight="1" hidden="1">
      <c r="C87" s="344" t="s">
        <v>751</v>
      </c>
      <c r="G87" s="357"/>
      <c r="H87" s="356"/>
      <c r="I87" s="356"/>
      <c r="K87" s="136"/>
    </row>
    <row r="88" spans="7:11" s="342" customFormat="1" ht="15" customHeight="1" hidden="1">
      <c r="G88" s="357"/>
      <c r="H88" s="356"/>
      <c r="I88" s="356"/>
      <c r="K88" s="136"/>
    </row>
    <row r="89" spans="3:12" s="342" customFormat="1" ht="15" customHeight="1" hidden="1" thickBot="1">
      <c r="C89" s="342" t="s">
        <v>761</v>
      </c>
      <c r="H89" s="357"/>
      <c r="I89" s="356"/>
      <c r="J89" s="356"/>
      <c r="L89" s="136"/>
    </row>
    <row r="90" spans="3:12" s="342" customFormat="1" ht="15" customHeight="1" hidden="1" thickBot="1">
      <c r="C90" s="843" t="s">
        <v>87</v>
      </c>
      <c r="D90" s="844"/>
      <c r="E90" s="850" t="s">
        <v>733</v>
      </c>
      <c r="F90" s="851"/>
      <c r="I90" s="356"/>
      <c r="J90" s="356"/>
      <c r="L90" s="136"/>
    </row>
    <row r="91" spans="3:12" s="342" customFormat="1" ht="15" customHeight="1" hidden="1">
      <c r="C91" s="836" t="s">
        <v>128</v>
      </c>
      <c r="D91" s="837"/>
      <c r="E91" s="359" t="s">
        <v>90</v>
      </c>
      <c r="F91" s="360">
        <v>49.85</v>
      </c>
      <c r="G91" s="353"/>
      <c r="H91" s="342" t="s">
        <v>743</v>
      </c>
      <c r="L91" s="136"/>
    </row>
    <row r="92" spans="3:13" s="342" customFormat="1" ht="15" customHeight="1" hidden="1">
      <c r="C92" s="834" t="s">
        <v>89</v>
      </c>
      <c r="D92" s="835"/>
      <c r="E92" s="359" t="s">
        <v>90</v>
      </c>
      <c r="F92" s="361">
        <v>0</v>
      </c>
      <c r="G92" s="342" t="s">
        <v>742</v>
      </c>
      <c r="L92" s="136"/>
      <c r="M92" s="371"/>
    </row>
    <row r="93" spans="3:13" s="342" customFormat="1" ht="15" customHeight="1" hidden="1">
      <c r="C93" s="834" t="s">
        <v>151</v>
      </c>
      <c r="D93" s="835"/>
      <c r="E93" s="359" t="s">
        <v>90</v>
      </c>
      <c r="F93" s="362">
        <v>8.6</v>
      </c>
      <c r="H93" s="342" t="s">
        <v>734</v>
      </c>
      <c r="L93" s="136"/>
      <c r="M93" s="371"/>
    </row>
    <row r="94" spans="3:13" s="342" customFormat="1" ht="15" customHeight="1" hidden="1">
      <c r="C94" s="834" t="s">
        <v>753</v>
      </c>
      <c r="D94" s="835"/>
      <c r="E94" s="359" t="s">
        <v>90</v>
      </c>
      <c r="F94" s="362">
        <v>7.9</v>
      </c>
      <c r="M94" s="371"/>
    </row>
    <row r="95" spans="3:8" s="342" customFormat="1" ht="15" customHeight="1" hidden="1">
      <c r="C95" s="834" t="s">
        <v>663</v>
      </c>
      <c r="D95" s="835"/>
      <c r="E95" s="359" t="s">
        <v>90</v>
      </c>
      <c r="F95" s="361">
        <v>85.6</v>
      </c>
      <c r="H95" s="342" t="s">
        <v>735</v>
      </c>
    </row>
    <row r="96" spans="3:12" s="342" customFormat="1" ht="15" customHeight="1" hidden="1">
      <c r="C96" s="834" t="s">
        <v>664</v>
      </c>
      <c r="D96" s="835"/>
      <c r="E96" s="359" t="s">
        <v>90</v>
      </c>
      <c r="F96" s="361">
        <v>87.37</v>
      </c>
      <c r="L96" s="363"/>
    </row>
    <row r="97" spans="3:12" s="342" customFormat="1" ht="15" customHeight="1" hidden="1">
      <c r="C97" s="841" t="s">
        <v>728</v>
      </c>
      <c r="D97" s="842"/>
      <c r="E97" s="359" t="s">
        <v>90</v>
      </c>
      <c r="F97" s="362">
        <v>1.5</v>
      </c>
      <c r="H97" s="342" t="s">
        <v>741</v>
      </c>
      <c r="L97" s="364"/>
    </row>
    <row r="98" spans="3:17" s="342" customFormat="1" ht="15" customHeight="1" hidden="1">
      <c r="C98" s="838" t="s">
        <v>648</v>
      </c>
      <c r="D98" s="839"/>
      <c r="E98" s="359" t="s">
        <v>90</v>
      </c>
      <c r="F98" s="361">
        <v>0</v>
      </c>
      <c r="G98" s="371"/>
      <c r="H98" s="342" t="s">
        <v>903</v>
      </c>
      <c r="Q98" s="372"/>
    </row>
    <row r="99" spans="3:17" s="342" customFormat="1" ht="15" customHeight="1" hidden="1">
      <c r="C99" s="834" t="s">
        <v>648</v>
      </c>
      <c r="D99" s="835"/>
      <c r="E99" s="359" t="s">
        <v>90</v>
      </c>
      <c r="F99" s="361">
        <v>0</v>
      </c>
      <c r="G99" s="342" t="s">
        <v>742</v>
      </c>
      <c r="Q99" s="372"/>
    </row>
    <row r="100" spans="3:10" s="342" customFormat="1" ht="15" customHeight="1" hidden="1">
      <c r="C100" s="834" t="s">
        <v>647</v>
      </c>
      <c r="D100" s="835"/>
      <c r="E100" s="359" t="s">
        <v>90</v>
      </c>
      <c r="F100" s="361">
        <v>0</v>
      </c>
      <c r="G100" s="65"/>
      <c r="H100" s="342" t="s">
        <v>764</v>
      </c>
      <c r="I100" s="371"/>
      <c r="J100" s="371"/>
    </row>
    <row r="101" spans="3:13" s="342" customFormat="1" ht="15" customHeight="1" hidden="1">
      <c r="C101" s="834" t="s">
        <v>647</v>
      </c>
      <c r="D101" s="835"/>
      <c r="E101" s="359" t="s">
        <v>90</v>
      </c>
      <c r="F101" s="362">
        <v>0</v>
      </c>
      <c r="G101" s="342" t="s">
        <v>742</v>
      </c>
      <c r="H101" s="342" t="s">
        <v>736</v>
      </c>
      <c r="I101" s="371"/>
      <c r="J101" s="371"/>
      <c r="M101" s="136"/>
    </row>
    <row r="102" spans="3:13" s="342" customFormat="1" ht="15" customHeight="1" hidden="1">
      <c r="C102" s="834" t="s">
        <v>91</v>
      </c>
      <c r="D102" s="835"/>
      <c r="E102" s="359" t="s">
        <v>90</v>
      </c>
      <c r="F102" s="797">
        <v>8.5</v>
      </c>
      <c r="G102" s="65"/>
      <c r="I102" s="371"/>
      <c r="M102" s="347"/>
    </row>
    <row r="103" spans="3:13" s="342" customFormat="1" ht="15" customHeight="1" hidden="1">
      <c r="C103" s="834" t="s">
        <v>92</v>
      </c>
      <c r="D103" s="835"/>
      <c r="E103" s="359" t="s">
        <v>90</v>
      </c>
      <c r="F103" s="797">
        <v>5</v>
      </c>
      <c r="M103" s="347"/>
    </row>
    <row r="104" spans="3:13" s="342" customFormat="1" ht="15" customHeight="1" hidden="1" thickBot="1">
      <c r="C104" s="845" t="s">
        <v>92</v>
      </c>
      <c r="D104" s="846"/>
      <c r="E104" s="359" t="s">
        <v>90</v>
      </c>
      <c r="F104" s="798">
        <v>0</v>
      </c>
      <c r="G104" s="342" t="s">
        <v>742</v>
      </c>
      <c r="H104" s="342" t="s">
        <v>737</v>
      </c>
      <c r="M104" s="363"/>
    </row>
    <row r="105" spans="3:13" s="342" customFormat="1" ht="15" customHeight="1" hidden="1" thickBot="1">
      <c r="C105" s="843" t="s">
        <v>93</v>
      </c>
      <c r="D105" s="844"/>
      <c r="E105" s="358"/>
      <c r="F105" s="365"/>
      <c r="H105" s="138" t="s">
        <v>738</v>
      </c>
      <c r="M105" s="363"/>
    </row>
    <row r="106" spans="6:11" s="342" customFormat="1" ht="15" customHeight="1" hidden="1">
      <c r="F106" s="366"/>
      <c r="H106" s="342" t="s">
        <v>739</v>
      </c>
      <c r="K106" s="363"/>
    </row>
    <row r="107" spans="3:11" s="342" customFormat="1" ht="15" customHeight="1" hidden="1">
      <c r="C107" s="840"/>
      <c r="D107" s="840"/>
      <c r="E107" s="368"/>
      <c r="F107" s="369"/>
      <c r="G107" s="356"/>
      <c r="K107" s="363"/>
    </row>
    <row r="108" spans="3:11" s="342" customFormat="1" ht="15" customHeight="1" hidden="1">
      <c r="C108" s="840"/>
      <c r="D108" s="840"/>
      <c r="E108" s="368"/>
      <c r="F108" s="377"/>
      <c r="G108" s="356"/>
      <c r="H108" s="342" t="s">
        <v>740</v>
      </c>
      <c r="K108" s="363"/>
    </row>
    <row r="109" spans="3:7" s="342" customFormat="1" ht="15" customHeight="1" hidden="1">
      <c r="C109" s="800"/>
      <c r="D109" s="800"/>
      <c r="E109" s="368"/>
      <c r="F109" s="377"/>
      <c r="G109" s="356"/>
    </row>
    <row r="110" spans="3:11" s="342" customFormat="1" ht="15" customHeight="1" hidden="1">
      <c r="C110" s="800"/>
      <c r="D110" s="800"/>
      <c r="E110" s="368"/>
      <c r="F110" s="377"/>
      <c r="G110" s="356"/>
      <c r="K110" s="363"/>
    </row>
    <row r="111" spans="3:10" s="342" customFormat="1" ht="15" customHeight="1" hidden="1">
      <c r="C111" s="342" t="s">
        <v>731</v>
      </c>
      <c r="J111" s="363"/>
    </row>
    <row r="112" spans="3:10" s="342" customFormat="1" ht="15" customHeight="1" hidden="1">
      <c r="C112" s="342" t="s">
        <v>732</v>
      </c>
      <c r="J112" s="363"/>
    </row>
    <row r="113" s="342" customFormat="1" ht="15" customHeight="1" hidden="1"/>
    <row r="114" spans="3:11" s="342" customFormat="1" ht="15" customHeight="1" hidden="1">
      <c r="C114" s="342" t="s">
        <v>752</v>
      </c>
      <c r="G114" s="357"/>
      <c r="H114" s="356"/>
      <c r="I114" s="356"/>
      <c r="K114" s="136"/>
    </row>
    <row r="115" spans="7:11" s="342" customFormat="1" ht="15" customHeight="1" hidden="1">
      <c r="G115" s="357"/>
      <c r="H115" s="356"/>
      <c r="I115" s="356"/>
      <c r="K115" s="136"/>
    </row>
    <row r="116" spans="2:11" s="342" customFormat="1" ht="15" customHeight="1" hidden="1">
      <c r="B116" s="375" t="s">
        <v>792</v>
      </c>
      <c r="K116" s="136"/>
    </row>
    <row r="117" spans="2:11" s="342" customFormat="1" ht="15" customHeight="1">
      <c r="B117" s="464"/>
      <c r="C117" s="467" t="s">
        <v>960</v>
      </c>
      <c r="D117" s="464"/>
      <c r="E117" s="464"/>
      <c r="K117" s="136"/>
    </row>
    <row r="118" spans="2:11" s="342" customFormat="1" ht="15" customHeight="1">
      <c r="B118" s="464"/>
      <c r="C118" s="467" t="s">
        <v>959</v>
      </c>
      <c r="D118" s="464"/>
      <c r="E118" s="464"/>
      <c r="G118" s="367"/>
      <c r="H118" s="368"/>
      <c r="I118" s="369"/>
      <c r="K118" s="136"/>
    </row>
    <row r="119" spans="3:11" s="342" customFormat="1" ht="15" customHeight="1">
      <c r="C119" s="342" t="s">
        <v>996</v>
      </c>
      <c r="F119" s="357"/>
      <c r="G119" s="356"/>
      <c r="H119" s="356"/>
      <c r="I119" s="369"/>
      <c r="K119" s="136"/>
    </row>
    <row r="120" spans="3:11" s="342" customFormat="1" ht="15" customHeight="1">
      <c r="C120" s="342" t="s">
        <v>997</v>
      </c>
      <c r="E120" s="367"/>
      <c r="F120" s="368"/>
      <c r="H120" s="369"/>
      <c r="I120" s="369"/>
      <c r="K120" s="136"/>
    </row>
    <row r="121" spans="3:11" s="342" customFormat="1" ht="15" customHeight="1">
      <c r="C121" s="342" t="s">
        <v>998</v>
      </c>
      <c r="D121" s="367"/>
      <c r="E121" s="368"/>
      <c r="F121" s="369"/>
      <c r="H121" s="369"/>
      <c r="K121" s="136"/>
    </row>
    <row r="122" spans="4:11" s="342" customFormat="1" ht="15" customHeight="1">
      <c r="D122" s="367" t="s">
        <v>894</v>
      </c>
      <c r="E122" s="368"/>
      <c r="F122" s="369"/>
      <c r="H122" s="369"/>
      <c r="K122" s="136"/>
    </row>
    <row r="123" spans="3:11" s="342" customFormat="1" ht="15" customHeight="1">
      <c r="C123" s="342" t="s">
        <v>1006</v>
      </c>
      <c r="D123" s="367"/>
      <c r="E123" s="368"/>
      <c r="F123" s="369"/>
      <c r="H123" s="369"/>
      <c r="K123" s="136"/>
    </row>
    <row r="124" spans="3:11" s="342" customFormat="1" ht="15" customHeight="1">
      <c r="C124" s="342" t="s">
        <v>1007</v>
      </c>
      <c r="E124" s="367"/>
      <c r="F124" s="368"/>
      <c r="H124" s="369"/>
      <c r="K124" s="136"/>
    </row>
    <row r="125" spans="3:11" s="342" customFormat="1" ht="15" customHeight="1">
      <c r="C125" s="342" t="s">
        <v>999</v>
      </c>
      <c r="E125" s="347"/>
      <c r="G125" s="367"/>
      <c r="H125" s="368"/>
      <c r="I125" s="369"/>
      <c r="K125" s="136"/>
    </row>
    <row r="126" spans="3:11" s="342" customFormat="1" ht="15" customHeight="1">
      <c r="C126" s="342" t="s">
        <v>1001</v>
      </c>
      <c r="G126" s="367"/>
      <c r="H126" s="356"/>
      <c r="I126" s="356"/>
      <c r="K126" s="136"/>
    </row>
    <row r="127" s="354" customFormat="1" ht="14.25">
      <c r="C127" s="354" t="s">
        <v>1000</v>
      </c>
    </row>
    <row r="128" s="354" customFormat="1" ht="14.25">
      <c r="C128" s="354" t="s">
        <v>1002</v>
      </c>
    </row>
    <row r="129" s="354" customFormat="1" ht="14.25"/>
    <row r="130" spans="3:10" s="100" customFormat="1" ht="18" customHeight="1">
      <c r="C130" s="139" t="s">
        <v>971</v>
      </c>
      <c r="D130" s="320"/>
      <c r="E130" s="179"/>
      <c r="F130" s="179"/>
      <c r="G130" s="320"/>
      <c r="H130" s="170"/>
      <c r="J130" s="180"/>
    </row>
    <row r="131" spans="2:11" s="342" customFormat="1" ht="15" customHeight="1">
      <c r="B131" s="466"/>
      <c r="C131" s="472" t="s">
        <v>968</v>
      </c>
      <c r="D131" s="466"/>
      <c r="E131" s="619"/>
      <c r="F131" s="8"/>
      <c r="K131" s="136"/>
    </row>
    <row r="132" ht="18" customHeight="1">
      <c r="C132" t="s">
        <v>904</v>
      </c>
    </row>
    <row r="133" ht="18" customHeight="1">
      <c r="C133" t="s">
        <v>905</v>
      </c>
    </row>
    <row r="134" ht="18" customHeight="1"/>
    <row r="135" ht="18" customHeight="1"/>
    <row r="136" spans="2:5" ht="18" customHeight="1">
      <c r="B136" s="620"/>
      <c r="C136" s="472" t="s">
        <v>966</v>
      </c>
      <c r="D136" s="620"/>
      <c r="E136" s="620"/>
    </row>
    <row r="137" ht="18" customHeight="1">
      <c r="C137" t="s">
        <v>1003</v>
      </c>
    </row>
    <row r="138" s="100" customFormat="1" ht="18" customHeight="1">
      <c r="C138" s="100" t="s">
        <v>906</v>
      </c>
    </row>
    <row r="139" s="100" customFormat="1" ht="18" customHeight="1">
      <c r="C139" s="100" t="s">
        <v>1004</v>
      </c>
    </row>
    <row r="140" s="100" customFormat="1" ht="18" customHeight="1">
      <c r="C140" s="100" t="s">
        <v>1005</v>
      </c>
    </row>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mergeCells count="23">
    <mergeCell ref="C10:G10"/>
    <mergeCell ref="E90:F90"/>
    <mergeCell ref="C34:G34"/>
    <mergeCell ref="C33:G33"/>
    <mergeCell ref="C29:G29"/>
    <mergeCell ref="C90:D90"/>
    <mergeCell ref="C108:D108"/>
    <mergeCell ref="C96:D96"/>
    <mergeCell ref="C95:D95"/>
    <mergeCell ref="C107:D107"/>
    <mergeCell ref="C97:D97"/>
    <mergeCell ref="C105:D105"/>
    <mergeCell ref="C104:D104"/>
    <mergeCell ref="C103:D103"/>
    <mergeCell ref="C102:D102"/>
    <mergeCell ref="C94:D94"/>
    <mergeCell ref="C93:D93"/>
    <mergeCell ref="C101:D101"/>
    <mergeCell ref="C100:D100"/>
    <mergeCell ref="C92:D92"/>
    <mergeCell ref="C91:D91"/>
    <mergeCell ref="C99:D99"/>
    <mergeCell ref="C98:D98"/>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6" location="'様式第５の別紙　経費明細表　印刷用'!A1" display="様式第５の別紙　経費明細表　印刷用"/>
    <hyperlink ref="C131" location="経費明細表チェックリスト!A1" display="経費明細表チェックリスト"/>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67" customWidth="1"/>
    <col min="10" max="13" width="16.28125" style="100" customWidth="1"/>
    <col min="14" max="14" width="16.28125" style="567" customWidth="1"/>
    <col min="15" max="18" width="16.28125" style="100" customWidth="1"/>
    <col min="19" max="19" width="16.28125" style="567"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0"/>
      <c r="J1" s="8"/>
      <c r="K1" s="8"/>
      <c r="L1" s="8"/>
      <c r="M1" s="8"/>
      <c r="N1" s="191"/>
      <c r="O1" s="3"/>
      <c r="P1" s="3"/>
      <c r="Q1" s="2"/>
      <c r="R1" s="2"/>
    </row>
    <row r="2" spans="1:18" ht="13.5">
      <c r="A2" s="3"/>
      <c r="B2" s="802" t="s">
        <v>898</v>
      </c>
      <c r="E2" s="4"/>
      <c r="F2" s="7"/>
      <c r="G2" s="8"/>
      <c r="H2" s="13"/>
      <c r="I2" s="480"/>
      <c r="J2" s="8"/>
      <c r="K2" s="8"/>
      <c r="L2" s="8"/>
      <c r="M2" s="8"/>
      <c r="N2" s="191"/>
      <c r="O2" s="3"/>
      <c r="P2" s="3"/>
      <c r="Q2" s="2"/>
      <c r="R2" s="2"/>
    </row>
    <row r="3" spans="1:18" ht="13.5">
      <c r="A3" s="3"/>
      <c r="E3" s="4"/>
      <c r="F3" s="7"/>
      <c r="G3" s="8"/>
      <c r="H3" s="13"/>
      <c r="I3" s="480"/>
      <c r="J3" s="8"/>
      <c r="K3" s="8"/>
      <c r="L3" s="8"/>
      <c r="M3" s="8"/>
      <c r="N3" s="191"/>
      <c r="O3" s="3"/>
      <c r="P3" s="3"/>
      <c r="Q3" s="2"/>
      <c r="R3" s="2"/>
    </row>
    <row r="4" spans="1:6" ht="17.25">
      <c r="A4" s="1022"/>
      <c r="B4" s="1022"/>
      <c r="C4" s="1022"/>
      <c r="D4" s="1022"/>
      <c r="E4" s="1022"/>
      <c r="F4" s="47"/>
    </row>
    <row r="5" spans="1:20" ht="17.25">
      <c r="A5" s="122"/>
      <c r="B5" s="123" t="s">
        <v>99</v>
      </c>
      <c r="C5" s="1023" t="s">
        <v>908</v>
      </c>
      <c r="D5" s="1023"/>
      <c r="E5" s="1023"/>
      <c r="F5" s="1023"/>
      <c r="G5" s="6"/>
      <c r="H5" s="6"/>
      <c r="J5" s="6"/>
      <c r="K5" s="6"/>
      <c r="L5" s="6"/>
      <c r="M5" s="6"/>
      <c r="O5" s="6"/>
      <c r="P5" s="6"/>
      <c r="Q5" s="6"/>
      <c r="R5" s="6"/>
      <c r="T5" s="6"/>
    </row>
    <row r="6" spans="1:20" ht="17.25">
      <c r="A6" s="6"/>
      <c r="B6" s="26"/>
      <c r="C6" s="26"/>
      <c r="D6" s="26"/>
      <c r="E6" s="26"/>
      <c r="F6" s="6"/>
      <c r="G6" s="6"/>
      <c r="H6" s="6"/>
      <c r="J6" s="6"/>
      <c r="K6" s="6"/>
      <c r="L6" s="6"/>
      <c r="M6" s="6"/>
      <c r="O6" s="6"/>
      <c r="P6" s="6"/>
      <c r="Q6" s="6"/>
      <c r="T6" s="122" t="s">
        <v>37</v>
      </c>
    </row>
    <row r="7" spans="1:22" ht="17.25">
      <c r="A7" s="6"/>
      <c r="B7" s="26" t="s">
        <v>2</v>
      </c>
      <c r="C7" s="26"/>
      <c r="D7" s="26"/>
      <c r="E7" s="26"/>
      <c r="F7" s="6"/>
      <c r="G7" s="6"/>
      <c r="H7" s="6"/>
      <c r="J7" s="6"/>
      <c r="K7" s="6"/>
      <c r="L7" s="6"/>
      <c r="N7" s="572"/>
      <c r="O7" s="27"/>
      <c r="Q7" s="124" t="s">
        <v>114</v>
      </c>
      <c r="R7" s="168" t="str">
        <f>IF('基本情報入力（使い方）'!$C$10="","",'基本情報入力（使い方）'!$C$10)</f>
        <v>Ｂ金属株式会社</v>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24" t="s">
        <v>158</v>
      </c>
      <c r="C9" s="1014"/>
      <c r="D9" s="1014"/>
      <c r="E9" s="1025"/>
      <c r="F9" s="995" t="s">
        <v>937</v>
      </c>
      <c r="G9" s="993"/>
      <c r="H9" s="993"/>
      <c r="I9" s="993"/>
      <c r="J9" s="994"/>
      <c r="K9" s="998" t="s">
        <v>940</v>
      </c>
      <c r="L9" s="999"/>
      <c r="M9" s="999"/>
      <c r="N9" s="999"/>
      <c r="O9" s="1000"/>
      <c r="P9" s="1010" t="s">
        <v>941</v>
      </c>
      <c r="Q9" s="1011"/>
      <c r="R9" s="1011"/>
      <c r="S9" s="1011"/>
      <c r="T9" s="1012"/>
      <c r="V9" s="28"/>
    </row>
    <row r="10" spans="1:22" ht="33.75" customHeight="1">
      <c r="A10" s="6"/>
      <c r="B10" s="1001" t="s">
        <v>710</v>
      </c>
      <c r="C10" s="1002"/>
      <c r="D10" s="1002"/>
      <c r="E10" s="1003"/>
      <c r="F10" s="290" t="s">
        <v>4</v>
      </c>
      <c r="G10" s="291" t="s">
        <v>5</v>
      </c>
      <c r="H10" s="292" t="s">
        <v>6</v>
      </c>
      <c r="I10" s="1019" t="s">
        <v>649</v>
      </c>
      <c r="J10" s="996" t="s">
        <v>650</v>
      </c>
      <c r="K10" s="290" t="s">
        <v>4</v>
      </c>
      <c r="L10" s="291" t="s">
        <v>5</v>
      </c>
      <c r="M10" s="292" t="s">
        <v>6</v>
      </c>
      <c r="N10" s="1019" t="s">
        <v>649</v>
      </c>
      <c r="O10" s="996" t="s">
        <v>650</v>
      </c>
      <c r="P10" s="290" t="s">
        <v>4</v>
      </c>
      <c r="Q10" s="291" t="s">
        <v>5</v>
      </c>
      <c r="R10" s="293" t="s">
        <v>6</v>
      </c>
      <c r="S10" s="1019" t="s">
        <v>649</v>
      </c>
      <c r="T10" s="996" t="s">
        <v>650</v>
      </c>
      <c r="V10" s="28"/>
    </row>
    <row r="11" spans="1:22" ht="14.25" customHeight="1">
      <c r="A11" s="6"/>
      <c r="B11" s="1004"/>
      <c r="C11" s="1005"/>
      <c r="D11" s="1005"/>
      <c r="E11" s="1006"/>
      <c r="F11" s="294" t="s">
        <v>7</v>
      </c>
      <c r="G11" s="295" t="s">
        <v>8</v>
      </c>
      <c r="H11" s="296"/>
      <c r="I11" s="1020"/>
      <c r="J11" s="997"/>
      <c r="K11" s="294" t="s">
        <v>7</v>
      </c>
      <c r="L11" s="295" t="s">
        <v>8</v>
      </c>
      <c r="M11" s="296"/>
      <c r="N11" s="1020"/>
      <c r="O11" s="997"/>
      <c r="P11" s="294" t="s">
        <v>7</v>
      </c>
      <c r="Q11" s="295" t="s">
        <v>8</v>
      </c>
      <c r="R11" s="297"/>
      <c r="S11" s="1020"/>
      <c r="T11" s="997"/>
      <c r="V11" s="28"/>
    </row>
    <row r="12" spans="1:22" ht="14.25" customHeight="1" thickBot="1">
      <c r="A12" s="6"/>
      <c r="B12" s="1007"/>
      <c r="C12" s="1008"/>
      <c r="D12" s="1008"/>
      <c r="E12" s="1009"/>
      <c r="F12" s="294" t="s">
        <v>9</v>
      </c>
      <c r="G12" s="295" t="s">
        <v>10</v>
      </c>
      <c r="H12" s="296" t="s">
        <v>11</v>
      </c>
      <c r="I12" s="1020"/>
      <c r="J12" s="997"/>
      <c r="K12" s="294" t="s">
        <v>9</v>
      </c>
      <c r="L12" s="295" t="s">
        <v>10</v>
      </c>
      <c r="M12" s="296" t="s">
        <v>11</v>
      </c>
      <c r="N12" s="1020"/>
      <c r="O12" s="997"/>
      <c r="P12" s="294" t="s">
        <v>9</v>
      </c>
      <c r="Q12" s="295" t="s">
        <v>10</v>
      </c>
      <c r="R12" s="297" t="s">
        <v>11</v>
      </c>
      <c r="S12" s="1020"/>
      <c r="T12" s="997"/>
      <c r="V12" s="28"/>
    </row>
    <row r="13" spans="1:20" ht="25.5" customHeight="1">
      <c r="A13" s="6"/>
      <c r="B13" s="621">
        <v>27</v>
      </c>
      <c r="C13" s="125" t="s">
        <v>30</v>
      </c>
      <c r="D13" s="624">
        <v>8</v>
      </c>
      <c r="E13" s="147" t="s">
        <v>31</v>
      </c>
      <c r="F13" s="821">
        <v>1853</v>
      </c>
      <c r="G13" s="468">
        <v>160</v>
      </c>
      <c r="H13" s="116">
        <f aca="true" t="shared" si="0" ref="H13:H23">IF(F13="","",ROUNDDOWN((G13*F13),0))</f>
        <v>296480</v>
      </c>
      <c r="I13" s="824"/>
      <c r="J13" s="704">
        <f>IF(F13="","",MIN(H13,I13))</f>
        <v>296480</v>
      </c>
      <c r="K13" s="821">
        <v>0</v>
      </c>
      <c r="L13" s="468"/>
      <c r="M13" s="117">
        <f aca="true" t="shared" si="1" ref="M13:M23">IF(K13="","",ROUNDDOWN((L13*K13),0))</f>
        <v>0</v>
      </c>
      <c r="N13" s="824"/>
      <c r="O13" s="303">
        <f>IF(K13="","",MIN(M13,N13))</f>
        <v>0</v>
      </c>
      <c r="P13" s="821">
        <v>0</v>
      </c>
      <c r="Q13" s="468"/>
      <c r="R13" s="117">
        <f aca="true" t="shared" si="2" ref="R13:R23">IF(P13="","",ROUNDDOWN((Q13*P13),0))</f>
        <v>0</v>
      </c>
      <c r="S13" s="824"/>
      <c r="T13" s="705">
        <f aca="true" t="shared" si="3" ref="T13:T23">IF(P13="","",MIN(R13,S13))</f>
        <v>0</v>
      </c>
    </row>
    <row r="14" spans="1:20" ht="25.5" customHeight="1">
      <c r="A14" s="6"/>
      <c r="B14" s="622">
        <v>27</v>
      </c>
      <c r="C14" s="119" t="s">
        <v>30</v>
      </c>
      <c r="D14" s="625">
        <v>9</v>
      </c>
      <c r="E14" s="119" t="s">
        <v>31</v>
      </c>
      <c r="F14" s="822">
        <v>1853</v>
      </c>
      <c r="G14" s="469">
        <v>160</v>
      </c>
      <c r="H14" s="118">
        <f t="shared" si="0"/>
        <v>296480</v>
      </c>
      <c r="I14" s="825"/>
      <c r="J14" s="305">
        <f aca="true" t="shared" si="4" ref="J14:J23">IF(F14="","",MIN(H14,I14))</f>
        <v>296480</v>
      </c>
      <c r="K14" s="822">
        <v>0</v>
      </c>
      <c r="L14" s="469"/>
      <c r="M14" s="112">
        <f t="shared" si="1"/>
        <v>0</v>
      </c>
      <c r="N14" s="825"/>
      <c r="O14" s="305">
        <f aca="true" t="shared" si="5" ref="O14:O23">IF(K14="","",MIN(M14,N14))</f>
        <v>0</v>
      </c>
      <c r="P14" s="822">
        <v>0</v>
      </c>
      <c r="Q14" s="469"/>
      <c r="R14" s="112">
        <f t="shared" si="2"/>
        <v>0</v>
      </c>
      <c r="S14" s="825"/>
      <c r="T14" s="706">
        <f t="shared" si="3"/>
        <v>0</v>
      </c>
    </row>
    <row r="15" spans="1:20" ht="25.5" customHeight="1">
      <c r="A15" s="6"/>
      <c r="B15" s="622">
        <v>27</v>
      </c>
      <c r="C15" s="119" t="s">
        <v>30</v>
      </c>
      <c r="D15" s="626">
        <v>10</v>
      </c>
      <c r="E15" s="148" t="s">
        <v>31</v>
      </c>
      <c r="F15" s="822">
        <v>1853</v>
      </c>
      <c r="G15" s="469">
        <v>160</v>
      </c>
      <c r="H15" s="118">
        <f t="shared" si="0"/>
        <v>296480</v>
      </c>
      <c r="I15" s="825"/>
      <c r="J15" s="305">
        <f t="shared" si="4"/>
        <v>296480</v>
      </c>
      <c r="K15" s="822">
        <v>0</v>
      </c>
      <c r="L15" s="469"/>
      <c r="M15" s="112">
        <f t="shared" si="1"/>
        <v>0</v>
      </c>
      <c r="N15" s="825"/>
      <c r="O15" s="305">
        <f t="shared" si="5"/>
        <v>0</v>
      </c>
      <c r="P15" s="822">
        <v>0</v>
      </c>
      <c r="Q15" s="469"/>
      <c r="R15" s="112">
        <f t="shared" si="2"/>
        <v>0</v>
      </c>
      <c r="S15" s="825"/>
      <c r="T15" s="706">
        <f t="shared" si="3"/>
        <v>0</v>
      </c>
    </row>
    <row r="16" spans="1:20" ht="25.5" customHeight="1">
      <c r="A16" s="6"/>
      <c r="B16" s="622">
        <v>27</v>
      </c>
      <c r="C16" s="120" t="s">
        <v>30</v>
      </c>
      <c r="D16" s="625">
        <v>11</v>
      </c>
      <c r="E16" s="120" t="s">
        <v>22</v>
      </c>
      <c r="F16" s="822">
        <v>1853</v>
      </c>
      <c r="G16" s="469"/>
      <c r="H16" s="118">
        <f t="shared" si="0"/>
        <v>0</v>
      </c>
      <c r="I16" s="825"/>
      <c r="J16" s="305">
        <f t="shared" si="4"/>
        <v>0</v>
      </c>
      <c r="K16" s="822">
        <v>0</v>
      </c>
      <c r="L16" s="470"/>
      <c r="M16" s="112">
        <f t="shared" si="1"/>
        <v>0</v>
      </c>
      <c r="N16" s="825"/>
      <c r="O16" s="305">
        <f t="shared" si="5"/>
        <v>0</v>
      </c>
      <c r="P16" s="822">
        <v>0</v>
      </c>
      <c r="Q16" s="470"/>
      <c r="R16" s="112">
        <f t="shared" si="2"/>
        <v>0</v>
      </c>
      <c r="S16" s="825"/>
      <c r="T16" s="706">
        <f t="shared" si="3"/>
        <v>0</v>
      </c>
    </row>
    <row r="17" spans="1:20" ht="25.5" customHeight="1">
      <c r="A17" s="6"/>
      <c r="B17" s="622">
        <v>27</v>
      </c>
      <c r="C17" s="119" t="s">
        <v>30</v>
      </c>
      <c r="D17" s="625">
        <v>12</v>
      </c>
      <c r="E17" s="119" t="s">
        <v>22</v>
      </c>
      <c r="F17" s="822">
        <v>1853</v>
      </c>
      <c r="G17" s="469"/>
      <c r="H17" s="118">
        <f t="shared" si="0"/>
        <v>0</v>
      </c>
      <c r="I17" s="825"/>
      <c r="J17" s="305">
        <f t="shared" si="4"/>
        <v>0</v>
      </c>
      <c r="K17" s="822">
        <v>0</v>
      </c>
      <c r="L17" s="469"/>
      <c r="M17" s="112">
        <f t="shared" si="1"/>
        <v>0</v>
      </c>
      <c r="N17" s="825"/>
      <c r="O17" s="305">
        <f t="shared" si="5"/>
        <v>0</v>
      </c>
      <c r="P17" s="822">
        <v>0</v>
      </c>
      <c r="Q17" s="469"/>
      <c r="R17" s="112">
        <f t="shared" si="2"/>
        <v>0</v>
      </c>
      <c r="S17" s="825"/>
      <c r="T17" s="706">
        <f t="shared" si="3"/>
        <v>0</v>
      </c>
    </row>
    <row r="18" spans="1:22" ht="25.5" customHeight="1">
      <c r="A18" s="6"/>
      <c r="B18" s="622">
        <v>28</v>
      </c>
      <c r="C18" s="119" t="s">
        <v>30</v>
      </c>
      <c r="D18" s="625">
        <v>1</v>
      </c>
      <c r="E18" s="119" t="s">
        <v>22</v>
      </c>
      <c r="F18" s="822">
        <v>1853</v>
      </c>
      <c r="G18" s="469"/>
      <c r="H18" s="118">
        <f t="shared" si="0"/>
        <v>0</v>
      </c>
      <c r="I18" s="825"/>
      <c r="J18" s="305">
        <f t="shared" si="4"/>
        <v>0</v>
      </c>
      <c r="K18" s="822">
        <v>0</v>
      </c>
      <c r="L18" s="469"/>
      <c r="M18" s="112">
        <f t="shared" si="1"/>
        <v>0</v>
      </c>
      <c r="N18" s="825"/>
      <c r="O18" s="305">
        <f t="shared" si="5"/>
        <v>0</v>
      </c>
      <c r="P18" s="822">
        <v>0</v>
      </c>
      <c r="Q18" s="469"/>
      <c r="R18" s="112">
        <f t="shared" si="2"/>
        <v>0</v>
      </c>
      <c r="S18" s="825"/>
      <c r="T18" s="706">
        <f t="shared" si="3"/>
        <v>0</v>
      </c>
      <c r="V18" s="103"/>
    </row>
    <row r="19" spans="1:22" ht="25.5" customHeight="1">
      <c r="A19" s="6"/>
      <c r="B19" s="622">
        <v>28</v>
      </c>
      <c r="C19" s="119" t="s">
        <v>30</v>
      </c>
      <c r="D19" s="625">
        <v>2</v>
      </c>
      <c r="E19" s="119" t="s">
        <v>22</v>
      </c>
      <c r="F19" s="822">
        <v>1853</v>
      </c>
      <c r="G19" s="469"/>
      <c r="H19" s="118">
        <f t="shared" si="0"/>
        <v>0</v>
      </c>
      <c r="I19" s="825"/>
      <c r="J19" s="305">
        <f t="shared" si="4"/>
        <v>0</v>
      </c>
      <c r="K19" s="822">
        <v>0</v>
      </c>
      <c r="L19" s="469"/>
      <c r="M19" s="112">
        <f t="shared" si="1"/>
        <v>0</v>
      </c>
      <c r="N19" s="825"/>
      <c r="O19" s="305">
        <f t="shared" si="5"/>
        <v>0</v>
      </c>
      <c r="P19" s="822">
        <v>0</v>
      </c>
      <c r="Q19" s="469"/>
      <c r="R19" s="112">
        <f t="shared" si="2"/>
        <v>0</v>
      </c>
      <c r="S19" s="825"/>
      <c r="T19" s="706">
        <f t="shared" si="3"/>
        <v>0</v>
      </c>
      <c r="V19" s="103"/>
    </row>
    <row r="20" spans="1:22" ht="25.5" customHeight="1">
      <c r="A20" s="6"/>
      <c r="B20" s="622"/>
      <c r="C20" s="119" t="s">
        <v>30</v>
      </c>
      <c r="D20" s="625"/>
      <c r="E20" s="119" t="s">
        <v>31</v>
      </c>
      <c r="F20" s="822">
        <v>1853</v>
      </c>
      <c r="G20" s="469"/>
      <c r="H20" s="118">
        <f t="shared" si="0"/>
        <v>0</v>
      </c>
      <c r="I20" s="825"/>
      <c r="J20" s="305">
        <f t="shared" si="4"/>
        <v>0</v>
      </c>
      <c r="K20" s="822">
        <v>0</v>
      </c>
      <c r="L20" s="469"/>
      <c r="M20" s="112">
        <f t="shared" si="1"/>
        <v>0</v>
      </c>
      <c r="N20" s="825"/>
      <c r="O20" s="305">
        <f t="shared" si="5"/>
        <v>0</v>
      </c>
      <c r="P20" s="822">
        <v>0</v>
      </c>
      <c r="Q20" s="469"/>
      <c r="R20" s="112">
        <f t="shared" si="2"/>
        <v>0</v>
      </c>
      <c r="S20" s="825"/>
      <c r="T20" s="706">
        <f t="shared" si="3"/>
        <v>0</v>
      </c>
      <c r="V20" s="76"/>
    </row>
    <row r="21" spans="1:22" ht="25.5" customHeight="1">
      <c r="A21" s="6"/>
      <c r="B21" s="622"/>
      <c r="C21" s="119" t="s">
        <v>30</v>
      </c>
      <c r="D21" s="625"/>
      <c r="E21" s="119" t="s">
        <v>22</v>
      </c>
      <c r="F21" s="822">
        <v>1853</v>
      </c>
      <c r="G21" s="469"/>
      <c r="H21" s="118">
        <f t="shared" si="0"/>
        <v>0</v>
      </c>
      <c r="I21" s="825"/>
      <c r="J21" s="305">
        <f t="shared" si="4"/>
        <v>0</v>
      </c>
      <c r="K21" s="822">
        <v>0</v>
      </c>
      <c r="L21" s="469"/>
      <c r="M21" s="112">
        <f t="shared" si="1"/>
        <v>0</v>
      </c>
      <c r="N21" s="825"/>
      <c r="O21" s="305">
        <f t="shared" si="5"/>
        <v>0</v>
      </c>
      <c r="P21" s="822">
        <v>0</v>
      </c>
      <c r="Q21" s="469"/>
      <c r="R21" s="112">
        <f t="shared" si="2"/>
        <v>0</v>
      </c>
      <c r="S21" s="825"/>
      <c r="T21" s="706">
        <f t="shared" si="3"/>
        <v>0</v>
      </c>
      <c r="V21" s="76"/>
    </row>
    <row r="22" spans="1:22" ht="25.5" customHeight="1">
      <c r="A22" s="6"/>
      <c r="B22" s="622"/>
      <c r="C22" s="119" t="s">
        <v>30</v>
      </c>
      <c r="D22" s="625"/>
      <c r="E22" s="119" t="s">
        <v>22</v>
      </c>
      <c r="F22" s="822">
        <v>1853</v>
      </c>
      <c r="G22" s="469"/>
      <c r="H22" s="118">
        <f t="shared" si="0"/>
        <v>0</v>
      </c>
      <c r="I22" s="826"/>
      <c r="J22" s="305">
        <f t="shared" si="4"/>
        <v>0</v>
      </c>
      <c r="K22" s="822">
        <v>0</v>
      </c>
      <c r="L22" s="470"/>
      <c r="M22" s="112">
        <f t="shared" si="1"/>
        <v>0</v>
      </c>
      <c r="N22" s="826"/>
      <c r="O22" s="305">
        <f t="shared" si="5"/>
        <v>0</v>
      </c>
      <c r="P22" s="822">
        <v>0</v>
      </c>
      <c r="Q22" s="470"/>
      <c r="R22" s="112">
        <f t="shared" si="2"/>
        <v>0</v>
      </c>
      <c r="S22" s="826"/>
      <c r="T22" s="706">
        <f t="shared" si="3"/>
        <v>0</v>
      </c>
      <c r="V22" s="76"/>
    </row>
    <row r="23" spans="1:20" ht="25.5" customHeight="1" thickBot="1">
      <c r="A23" s="6"/>
      <c r="B23" s="623"/>
      <c r="C23" s="121" t="s">
        <v>30</v>
      </c>
      <c r="D23" s="627"/>
      <c r="E23" s="121" t="s">
        <v>22</v>
      </c>
      <c r="F23" s="823">
        <v>1853</v>
      </c>
      <c r="G23" s="471"/>
      <c r="H23" s="126">
        <f t="shared" si="0"/>
        <v>0</v>
      </c>
      <c r="I23" s="827"/>
      <c r="J23" s="306">
        <f t="shared" si="4"/>
        <v>0</v>
      </c>
      <c r="K23" s="823">
        <v>0</v>
      </c>
      <c r="L23" s="471"/>
      <c r="M23" s="127">
        <f t="shared" si="1"/>
        <v>0</v>
      </c>
      <c r="N23" s="827"/>
      <c r="O23" s="306">
        <f t="shared" si="5"/>
        <v>0</v>
      </c>
      <c r="P23" s="823">
        <v>0</v>
      </c>
      <c r="Q23" s="471"/>
      <c r="R23" s="127">
        <f t="shared" si="2"/>
        <v>0</v>
      </c>
      <c r="S23" s="827"/>
      <c r="T23" s="707">
        <f t="shared" si="3"/>
        <v>0</v>
      </c>
    </row>
    <row r="24" spans="1:20" ht="25.5" customHeight="1" thickBot="1">
      <c r="A24" s="6"/>
      <c r="B24" s="1016" t="s">
        <v>1</v>
      </c>
      <c r="C24" s="1017"/>
      <c r="D24" s="1017"/>
      <c r="E24" s="1018"/>
      <c r="F24" s="107"/>
      <c r="G24" s="108">
        <f>SUM(G13:G23)</f>
        <v>480</v>
      </c>
      <c r="H24" s="109">
        <f>SUM(H13:H23)</f>
        <v>889440</v>
      </c>
      <c r="I24" s="575">
        <f>SUM(I13:I23)</f>
        <v>0</v>
      </c>
      <c r="J24" s="153">
        <f>SUM(J13:J23)</f>
        <v>889440</v>
      </c>
      <c r="K24" s="110"/>
      <c r="L24" s="108">
        <f>SUM(L13:L23)</f>
        <v>0</v>
      </c>
      <c r="M24" s="109">
        <f>SUM(M13:M23)</f>
        <v>0</v>
      </c>
      <c r="N24" s="575">
        <f>SUM(N13:N23)</f>
        <v>0</v>
      </c>
      <c r="O24" s="153">
        <f>SUM(O13:O23)</f>
        <v>0</v>
      </c>
      <c r="P24" s="110"/>
      <c r="Q24" s="108">
        <f>SUM(Q13:Q23)</f>
        <v>0</v>
      </c>
      <c r="R24" s="111">
        <f>SUM(R13:R23)</f>
        <v>0</v>
      </c>
      <c r="S24" s="577">
        <f>SUM(S13:S23)</f>
        <v>0</v>
      </c>
      <c r="T24" s="167">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990" t="s">
        <v>3</v>
      </c>
      <c r="C26" s="991"/>
      <c r="D26" s="991"/>
      <c r="E26" s="991"/>
      <c r="F26" s="992" t="s">
        <v>943</v>
      </c>
      <c r="G26" s="993"/>
      <c r="H26" s="993"/>
      <c r="I26" s="993"/>
      <c r="J26" s="994"/>
      <c r="K26" s="995" t="s">
        <v>944</v>
      </c>
      <c r="L26" s="993"/>
      <c r="M26" s="993"/>
      <c r="N26" s="993"/>
      <c r="O26" s="994"/>
      <c r="P26" s="995" t="s">
        <v>947</v>
      </c>
      <c r="Q26" s="993"/>
      <c r="R26" s="993"/>
      <c r="S26" s="993"/>
      <c r="T26" s="1021"/>
    </row>
    <row r="27" spans="1:20" ht="33.75" customHeight="1">
      <c r="A27" s="6"/>
      <c r="B27" s="1001" t="s">
        <v>710</v>
      </c>
      <c r="C27" s="1002"/>
      <c r="D27" s="1002"/>
      <c r="E27" s="1003"/>
      <c r="F27" s="298" t="s">
        <v>4</v>
      </c>
      <c r="G27" s="291" t="s">
        <v>5</v>
      </c>
      <c r="H27" s="292" t="s">
        <v>6</v>
      </c>
      <c r="I27" s="1019" t="s">
        <v>649</v>
      </c>
      <c r="J27" s="996" t="s">
        <v>650</v>
      </c>
      <c r="K27" s="290" t="s">
        <v>4</v>
      </c>
      <c r="L27" s="291" t="s">
        <v>5</v>
      </c>
      <c r="M27" s="292" t="s">
        <v>6</v>
      </c>
      <c r="N27" s="1019" t="s">
        <v>649</v>
      </c>
      <c r="O27" s="996" t="s">
        <v>650</v>
      </c>
      <c r="P27" s="290" t="s">
        <v>4</v>
      </c>
      <c r="Q27" s="291" t="s">
        <v>5</v>
      </c>
      <c r="R27" s="292" t="s">
        <v>6</v>
      </c>
      <c r="S27" s="1019" t="s">
        <v>649</v>
      </c>
      <c r="T27" s="996" t="s">
        <v>650</v>
      </c>
    </row>
    <row r="28" spans="1:20" ht="14.25" customHeight="1">
      <c r="A28" s="6"/>
      <c r="B28" s="1004"/>
      <c r="C28" s="1005"/>
      <c r="D28" s="1005"/>
      <c r="E28" s="1006"/>
      <c r="F28" s="299" t="s">
        <v>7</v>
      </c>
      <c r="G28" s="295" t="s">
        <v>8</v>
      </c>
      <c r="H28" s="296"/>
      <c r="I28" s="1020"/>
      <c r="J28" s="997"/>
      <c r="K28" s="294" t="s">
        <v>7</v>
      </c>
      <c r="L28" s="295" t="s">
        <v>8</v>
      </c>
      <c r="M28" s="296"/>
      <c r="N28" s="1020"/>
      <c r="O28" s="997"/>
      <c r="P28" s="294" t="s">
        <v>7</v>
      </c>
      <c r="Q28" s="295" t="s">
        <v>8</v>
      </c>
      <c r="R28" s="296"/>
      <c r="S28" s="1020"/>
      <c r="T28" s="997"/>
    </row>
    <row r="29" spans="1:20" ht="14.25" customHeight="1" thickBot="1">
      <c r="A29" s="6"/>
      <c r="B29" s="1007"/>
      <c r="C29" s="1008"/>
      <c r="D29" s="1008"/>
      <c r="E29" s="1009"/>
      <c r="F29" s="299" t="s">
        <v>9</v>
      </c>
      <c r="G29" s="295" t="s">
        <v>10</v>
      </c>
      <c r="H29" s="296" t="s">
        <v>11</v>
      </c>
      <c r="I29" s="1020"/>
      <c r="J29" s="997"/>
      <c r="K29" s="294" t="s">
        <v>9</v>
      </c>
      <c r="L29" s="295" t="s">
        <v>10</v>
      </c>
      <c r="M29" s="296" t="s">
        <v>11</v>
      </c>
      <c r="N29" s="1020"/>
      <c r="O29" s="997"/>
      <c r="P29" s="294" t="s">
        <v>9</v>
      </c>
      <c r="Q29" s="295" t="s">
        <v>10</v>
      </c>
      <c r="R29" s="296" t="s">
        <v>11</v>
      </c>
      <c r="S29" s="1020"/>
      <c r="T29" s="997"/>
    </row>
    <row r="30" spans="1:22" ht="25.5" customHeight="1">
      <c r="A30" s="6"/>
      <c r="B30" s="621"/>
      <c r="C30" s="125" t="s">
        <v>30</v>
      </c>
      <c r="D30" s="624"/>
      <c r="E30" s="147" t="s">
        <v>31</v>
      </c>
      <c r="F30" s="821">
        <v>0</v>
      </c>
      <c r="G30" s="468"/>
      <c r="H30" s="117">
        <f aca="true" t="shared" si="6" ref="H30:H40">IF(F30="","",ROUNDDOWN((G30*F30),0))</f>
        <v>0</v>
      </c>
      <c r="I30" s="824"/>
      <c r="J30" s="704">
        <f>IF(F30="","",MIN(H30,I30))</f>
        <v>0</v>
      </c>
      <c r="K30" s="821">
        <v>0</v>
      </c>
      <c r="L30" s="468"/>
      <c r="M30" s="117">
        <f aca="true" t="shared" si="7" ref="M30:M40">IF(K30="","",ROUNDDOWN((L30*K30),0))</f>
        <v>0</v>
      </c>
      <c r="N30" s="824"/>
      <c r="O30" s="704">
        <f>IF(K30="","",MIN(M30,N30))</f>
        <v>0</v>
      </c>
      <c r="P30" s="821">
        <v>0</v>
      </c>
      <c r="Q30" s="468"/>
      <c r="R30" s="117">
        <f aca="true" t="shared" si="8" ref="R30:R40">IF(P30="","",ROUNDDOWN((Q30*P30),0))</f>
        <v>0</v>
      </c>
      <c r="S30" s="824"/>
      <c r="T30" s="704">
        <f>IF(P30="","",MIN(R30,S30))</f>
        <v>0</v>
      </c>
      <c r="V30" s="2"/>
    </row>
    <row r="31" spans="1:22" ht="25.5" customHeight="1">
      <c r="A31" s="6"/>
      <c r="B31" s="622"/>
      <c r="C31" s="119" t="s">
        <v>30</v>
      </c>
      <c r="D31" s="625"/>
      <c r="E31" s="119" t="s">
        <v>31</v>
      </c>
      <c r="F31" s="822">
        <v>0</v>
      </c>
      <c r="G31" s="469"/>
      <c r="H31" s="112">
        <f t="shared" si="6"/>
        <v>0</v>
      </c>
      <c r="I31" s="825"/>
      <c r="J31" s="305">
        <f aca="true" t="shared" si="9" ref="J31:J40">IF(F31="","",MIN(H31,I31))</f>
        <v>0</v>
      </c>
      <c r="K31" s="822">
        <v>0</v>
      </c>
      <c r="L31" s="469"/>
      <c r="M31" s="112">
        <f t="shared" si="7"/>
        <v>0</v>
      </c>
      <c r="N31" s="825"/>
      <c r="O31" s="305">
        <f aca="true" t="shared" si="10" ref="O31:O40">IF(K31="","",MIN(M31,N31))</f>
        <v>0</v>
      </c>
      <c r="P31" s="822">
        <v>0</v>
      </c>
      <c r="Q31" s="469"/>
      <c r="R31" s="112">
        <f t="shared" si="8"/>
        <v>0</v>
      </c>
      <c r="S31" s="825"/>
      <c r="T31" s="706">
        <f aca="true" t="shared" si="11" ref="T31:T40">IF(P31="","",MIN(R31,S31))</f>
        <v>0</v>
      </c>
      <c r="V31" s="2"/>
    </row>
    <row r="32" spans="1:22" ht="25.5" customHeight="1">
      <c r="A32" s="6"/>
      <c r="B32" s="622"/>
      <c r="C32" s="119" t="s">
        <v>30</v>
      </c>
      <c r="D32" s="625"/>
      <c r="E32" s="148" t="s">
        <v>31</v>
      </c>
      <c r="F32" s="822">
        <v>0</v>
      </c>
      <c r="G32" s="469"/>
      <c r="H32" s="112">
        <f t="shared" si="6"/>
        <v>0</v>
      </c>
      <c r="I32" s="825"/>
      <c r="J32" s="305">
        <f t="shared" si="9"/>
        <v>0</v>
      </c>
      <c r="K32" s="822">
        <v>0</v>
      </c>
      <c r="L32" s="469"/>
      <c r="M32" s="112">
        <f t="shared" si="7"/>
        <v>0</v>
      </c>
      <c r="N32" s="825"/>
      <c r="O32" s="305">
        <f t="shared" si="10"/>
        <v>0</v>
      </c>
      <c r="P32" s="822">
        <v>0</v>
      </c>
      <c r="Q32" s="469"/>
      <c r="R32" s="112">
        <f t="shared" si="8"/>
        <v>0</v>
      </c>
      <c r="S32" s="825"/>
      <c r="T32" s="706">
        <f t="shared" si="11"/>
        <v>0</v>
      </c>
      <c r="V32" s="43"/>
    </row>
    <row r="33" spans="1:20" ht="25.5" customHeight="1">
      <c r="A33" s="6"/>
      <c r="B33" s="628"/>
      <c r="C33" s="120" t="s">
        <v>30</v>
      </c>
      <c r="D33" s="626"/>
      <c r="E33" s="120" t="s">
        <v>22</v>
      </c>
      <c r="F33" s="822">
        <v>0</v>
      </c>
      <c r="G33" s="470"/>
      <c r="H33" s="112">
        <f t="shared" si="6"/>
        <v>0</v>
      </c>
      <c r="I33" s="825"/>
      <c r="J33" s="305">
        <f t="shared" si="9"/>
        <v>0</v>
      </c>
      <c r="K33" s="822">
        <v>0</v>
      </c>
      <c r="L33" s="470"/>
      <c r="M33" s="112">
        <f t="shared" si="7"/>
        <v>0</v>
      </c>
      <c r="N33" s="825"/>
      <c r="O33" s="305">
        <f t="shared" si="10"/>
        <v>0</v>
      </c>
      <c r="P33" s="822">
        <v>0</v>
      </c>
      <c r="Q33" s="470"/>
      <c r="R33" s="112">
        <f t="shared" si="8"/>
        <v>0</v>
      </c>
      <c r="S33" s="825"/>
      <c r="T33" s="706">
        <f t="shared" si="11"/>
        <v>0</v>
      </c>
    </row>
    <row r="34" spans="1:20" ht="25.5" customHeight="1">
      <c r="A34" s="6"/>
      <c r="B34" s="622"/>
      <c r="C34" s="119" t="s">
        <v>30</v>
      </c>
      <c r="D34" s="625"/>
      <c r="E34" s="119" t="s">
        <v>22</v>
      </c>
      <c r="F34" s="822">
        <v>0</v>
      </c>
      <c r="G34" s="469"/>
      <c r="H34" s="112">
        <f t="shared" si="6"/>
        <v>0</v>
      </c>
      <c r="I34" s="825"/>
      <c r="J34" s="305">
        <f t="shared" si="9"/>
        <v>0</v>
      </c>
      <c r="K34" s="822">
        <v>0</v>
      </c>
      <c r="L34" s="469"/>
      <c r="M34" s="112">
        <f t="shared" si="7"/>
        <v>0</v>
      </c>
      <c r="N34" s="825"/>
      <c r="O34" s="305">
        <f t="shared" si="10"/>
        <v>0</v>
      </c>
      <c r="P34" s="822">
        <v>0</v>
      </c>
      <c r="Q34" s="469"/>
      <c r="R34" s="112">
        <f t="shared" si="8"/>
        <v>0</v>
      </c>
      <c r="S34" s="825"/>
      <c r="T34" s="706">
        <f t="shared" si="11"/>
        <v>0</v>
      </c>
    </row>
    <row r="35" spans="1:20" ht="25.5" customHeight="1">
      <c r="A35" s="6"/>
      <c r="B35" s="622"/>
      <c r="C35" s="119" t="s">
        <v>30</v>
      </c>
      <c r="D35" s="625"/>
      <c r="E35" s="119" t="s">
        <v>22</v>
      </c>
      <c r="F35" s="822">
        <v>0</v>
      </c>
      <c r="G35" s="469"/>
      <c r="H35" s="112">
        <f t="shared" si="6"/>
        <v>0</v>
      </c>
      <c r="I35" s="825"/>
      <c r="J35" s="305">
        <f t="shared" si="9"/>
        <v>0</v>
      </c>
      <c r="K35" s="822">
        <v>0</v>
      </c>
      <c r="L35" s="469"/>
      <c r="M35" s="112">
        <f t="shared" si="7"/>
        <v>0</v>
      </c>
      <c r="N35" s="825"/>
      <c r="O35" s="305">
        <f t="shared" si="10"/>
        <v>0</v>
      </c>
      <c r="P35" s="822">
        <v>0</v>
      </c>
      <c r="Q35" s="469"/>
      <c r="R35" s="112">
        <f t="shared" si="8"/>
        <v>0</v>
      </c>
      <c r="S35" s="825"/>
      <c r="T35" s="706">
        <f t="shared" si="11"/>
        <v>0</v>
      </c>
    </row>
    <row r="36" spans="1:20" ht="25.5" customHeight="1">
      <c r="A36" s="6"/>
      <c r="B36" s="622"/>
      <c r="C36" s="119" t="s">
        <v>30</v>
      </c>
      <c r="D36" s="625"/>
      <c r="E36" s="119" t="s">
        <v>22</v>
      </c>
      <c r="F36" s="822">
        <v>0</v>
      </c>
      <c r="G36" s="469"/>
      <c r="H36" s="112">
        <f t="shared" si="6"/>
        <v>0</v>
      </c>
      <c r="I36" s="825"/>
      <c r="J36" s="305">
        <f t="shared" si="9"/>
        <v>0</v>
      </c>
      <c r="K36" s="822">
        <v>0</v>
      </c>
      <c r="L36" s="469"/>
      <c r="M36" s="112">
        <f t="shared" si="7"/>
        <v>0</v>
      </c>
      <c r="N36" s="825"/>
      <c r="O36" s="305">
        <f t="shared" si="10"/>
        <v>0</v>
      </c>
      <c r="P36" s="822">
        <v>0</v>
      </c>
      <c r="Q36" s="469"/>
      <c r="R36" s="112">
        <f t="shared" si="8"/>
        <v>0</v>
      </c>
      <c r="S36" s="825"/>
      <c r="T36" s="706">
        <f t="shared" si="11"/>
        <v>0</v>
      </c>
    </row>
    <row r="37" spans="1:20" ht="25.5" customHeight="1">
      <c r="A37" s="6"/>
      <c r="B37" s="622"/>
      <c r="C37" s="119" t="s">
        <v>30</v>
      </c>
      <c r="D37" s="625"/>
      <c r="E37" s="119" t="s">
        <v>31</v>
      </c>
      <c r="F37" s="822">
        <v>0</v>
      </c>
      <c r="G37" s="469"/>
      <c r="H37" s="112">
        <f t="shared" si="6"/>
        <v>0</v>
      </c>
      <c r="I37" s="825"/>
      <c r="J37" s="305">
        <f t="shared" si="9"/>
        <v>0</v>
      </c>
      <c r="K37" s="822">
        <v>0</v>
      </c>
      <c r="L37" s="469"/>
      <c r="M37" s="112">
        <f t="shared" si="7"/>
        <v>0</v>
      </c>
      <c r="N37" s="825"/>
      <c r="O37" s="305">
        <f t="shared" si="10"/>
        <v>0</v>
      </c>
      <c r="P37" s="822">
        <v>0</v>
      </c>
      <c r="Q37" s="469"/>
      <c r="R37" s="112">
        <f t="shared" si="8"/>
        <v>0</v>
      </c>
      <c r="S37" s="825"/>
      <c r="T37" s="706">
        <f t="shared" si="11"/>
        <v>0</v>
      </c>
    </row>
    <row r="38" spans="1:20" ht="25.5" customHeight="1">
      <c r="A38" s="6"/>
      <c r="B38" s="622"/>
      <c r="C38" s="119" t="s">
        <v>30</v>
      </c>
      <c r="D38" s="625"/>
      <c r="E38" s="119" t="s">
        <v>22</v>
      </c>
      <c r="F38" s="822">
        <v>0</v>
      </c>
      <c r="G38" s="469"/>
      <c r="H38" s="112">
        <f t="shared" si="6"/>
        <v>0</v>
      </c>
      <c r="I38" s="825"/>
      <c r="J38" s="305">
        <f t="shared" si="9"/>
        <v>0</v>
      </c>
      <c r="K38" s="822">
        <v>0</v>
      </c>
      <c r="L38" s="469"/>
      <c r="M38" s="112">
        <f t="shared" si="7"/>
        <v>0</v>
      </c>
      <c r="N38" s="825"/>
      <c r="O38" s="305">
        <f t="shared" si="10"/>
        <v>0</v>
      </c>
      <c r="P38" s="822">
        <v>0</v>
      </c>
      <c r="Q38" s="469"/>
      <c r="R38" s="112">
        <f t="shared" si="8"/>
        <v>0</v>
      </c>
      <c r="S38" s="825"/>
      <c r="T38" s="706">
        <f t="shared" si="11"/>
        <v>0</v>
      </c>
    </row>
    <row r="39" spans="1:20" ht="25.5" customHeight="1">
      <c r="A39" s="6"/>
      <c r="B39" s="622"/>
      <c r="C39" s="119" t="s">
        <v>30</v>
      </c>
      <c r="D39" s="625"/>
      <c r="E39" s="119" t="s">
        <v>22</v>
      </c>
      <c r="F39" s="822">
        <v>0</v>
      </c>
      <c r="G39" s="470"/>
      <c r="H39" s="112">
        <f t="shared" si="6"/>
        <v>0</v>
      </c>
      <c r="I39" s="826"/>
      <c r="J39" s="305">
        <f t="shared" si="9"/>
        <v>0</v>
      </c>
      <c r="K39" s="822">
        <v>0</v>
      </c>
      <c r="L39" s="470"/>
      <c r="M39" s="112">
        <f t="shared" si="7"/>
        <v>0</v>
      </c>
      <c r="N39" s="826"/>
      <c r="O39" s="305">
        <f t="shared" si="10"/>
        <v>0</v>
      </c>
      <c r="P39" s="822">
        <v>0</v>
      </c>
      <c r="Q39" s="470"/>
      <c r="R39" s="112">
        <f t="shared" si="8"/>
        <v>0</v>
      </c>
      <c r="S39" s="826"/>
      <c r="T39" s="706">
        <f t="shared" si="11"/>
        <v>0</v>
      </c>
    </row>
    <row r="40" spans="1:20" ht="25.5" customHeight="1" thickBot="1">
      <c r="A40" s="6"/>
      <c r="B40" s="623"/>
      <c r="C40" s="121" t="s">
        <v>30</v>
      </c>
      <c r="D40" s="627"/>
      <c r="E40" s="121" t="s">
        <v>22</v>
      </c>
      <c r="F40" s="823">
        <v>0</v>
      </c>
      <c r="G40" s="471"/>
      <c r="H40" s="127">
        <f t="shared" si="6"/>
        <v>0</v>
      </c>
      <c r="I40" s="827"/>
      <c r="J40" s="306">
        <f t="shared" si="9"/>
        <v>0</v>
      </c>
      <c r="K40" s="823">
        <v>0</v>
      </c>
      <c r="L40" s="471"/>
      <c r="M40" s="127">
        <f t="shared" si="7"/>
        <v>0</v>
      </c>
      <c r="N40" s="827"/>
      <c r="O40" s="306">
        <f t="shared" si="10"/>
        <v>0</v>
      </c>
      <c r="P40" s="823">
        <v>0</v>
      </c>
      <c r="Q40" s="471"/>
      <c r="R40" s="127">
        <f t="shared" si="8"/>
        <v>0</v>
      </c>
      <c r="S40" s="827"/>
      <c r="T40" s="707">
        <f t="shared" si="11"/>
        <v>0</v>
      </c>
    </row>
    <row r="41" spans="1:20" ht="25.5" customHeight="1" thickBot="1">
      <c r="A41" s="6"/>
      <c r="B41" s="1013" t="s">
        <v>1</v>
      </c>
      <c r="C41" s="1014"/>
      <c r="D41" s="1014"/>
      <c r="E41" s="1015"/>
      <c r="F41" s="107"/>
      <c r="G41" s="108">
        <f>SUM(G30:G40)</f>
        <v>0</v>
      </c>
      <c r="H41" s="109">
        <f>SUM(H30:H40)</f>
        <v>0</v>
      </c>
      <c r="I41" s="575">
        <f>SUM(I30:I40)</f>
        <v>0</v>
      </c>
      <c r="J41" s="153">
        <f>SUM(J30:J40)</f>
        <v>0</v>
      </c>
      <c r="K41" s="110"/>
      <c r="L41" s="108">
        <f>SUM(L30:L40)</f>
        <v>0</v>
      </c>
      <c r="M41" s="109">
        <f>SUM(M30:M40)</f>
        <v>0</v>
      </c>
      <c r="N41" s="575">
        <f>SUM(N30:N40)</f>
        <v>0</v>
      </c>
      <c r="O41" s="153">
        <f>SUM(O30:O40)</f>
        <v>0</v>
      </c>
      <c r="P41" s="110"/>
      <c r="Q41" s="108">
        <f>SUM(Q30:Q40)</f>
        <v>0</v>
      </c>
      <c r="R41" s="109">
        <f>SUM(R30:R40)</f>
        <v>0</v>
      </c>
      <c r="S41" s="575">
        <f>SUM(S30:S40)</f>
        <v>0</v>
      </c>
      <c r="T41" s="153">
        <f>SUM(T30:T40)</f>
        <v>0</v>
      </c>
    </row>
    <row r="42" spans="1:20" ht="14.25" thickBot="1">
      <c r="A42" s="6"/>
      <c r="B42" s="30"/>
      <c r="C42" s="30"/>
      <c r="D42" s="30"/>
      <c r="E42" s="30"/>
      <c r="F42" s="77"/>
      <c r="G42" s="77"/>
      <c r="H42" s="77"/>
      <c r="I42" s="480"/>
      <c r="J42" s="77"/>
      <c r="K42" s="77"/>
      <c r="L42" s="77"/>
      <c r="M42" s="77"/>
      <c r="N42" s="480"/>
      <c r="O42" s="77"/>
      <c r="P42" s="77"/>
      <c r="Q42" s="77"/>
      <c r="R42" s="77"/>
      <c r="S42" s="480"/>
      <c r="T42" s="77"/>
    </row>
    <row r="43" spans="1:20" ht="25.5" customHeight="1" thickBot="1">
      <c r="A43" s="6"/>
      <c r="B43" s="988" t="s">
        <v>98</v>
      </c>
      <c r="C43" s="989"/>
      <c r="D43" s="989"/>
      <c r="E43" s="989"/>
      <c r="F43" s="78"/>
      <c r="G43" s="114">
        <f>SUM(J24,O24,T24,J41,O41,T41)</f>
        <v>889440</v>
      </c>
      <c r="H43" s="79" t="s">
        <v>12</v>
      </c>
      <c r="I43" s="576"/>
      <c r="J43" s="105"/>
      <c r="K43" s="77"/>
      <c r="L43" s="77"/>
      <c r="M43" s="77"/>
      <c r="N43" s="480"/>
      <c r="O43" s="77"/>
      <c r="P43" s="77"/>
      <c r="Q43" s="77"/>
      <c r="R43" s="77"/>
      <c r="S43" s="480"/>
      <c r="T43" s="77"/>
    </row>
    <row r="44" spans="1:20" ht="13.5">
      <c r="A44" s="6"/>
      <c r="B44" s="106"/>
      <c r="C44" s="106"/>
      <c r="D44" s="106"/>
      <c r="E44" s="106"/>
      <c r="F44" s="31"/>
      <c r="G44" s="31"/>
      <c r="H44" s="32"/>
      <c r="I44" s="570"/>
      <c r="J44" s="32"/>
      <c r="K44" s="6"/>
      <c r="L44" s="6"/>
      <c r="M44" s="6"/>
      <c r="O44" s="6"/>
      <c r="P44" s="6"/>
      <c r="Q44" s="6"/>
      <c r="R44" s="6"/>
      <c r="T44" s="6"/>
    </row>
    <row r="45" ht="13.5">
      <c r="B45" s="100" t="s">
        <v>662</v>
      </c>
    </row>
    <row r="46" spans="2:12" ht="13.5">
      <c r="B46" s="100" t="s">
        <v>744</v>
      </c>
      <c r="L46" s="103"/>
    </row>
    <row r="47" spans="2:12" ht="13.5">
      <c r="B47" s="100" t="s">
        <v>745</v>
      </c>
      <c r="L47" s="103"/>
    </row>
    <row r="48" spans="2:12" ht="13.5">
      <c r="B48" s="184" t="s">
        <v>670</v>
      </c>
      <c r="L48" s="103"/>
    </row>
    <row r="49" spans="2:12" ht="13.5">
      <c r="B49" s="100" t="s">
        <v>666</v>
      </c>
      <c r="L49" s="103"/>
    </row>
    <row r="50" spans="2:21" ht="13.5">
      <c r="B50" s="100" t="s">
        <v>667</v>
      </c>
      <c r="C50" s="5"/>
      <c r="D50" s="5"/>
      <c r="E50" s="5"/>
      <c r="F50" s="5"/>
      <c r="G50" s="5"/>
      <c r="H50" s="5"/>
      <c r="I50" s="571"/>
      <c r="J50" s="5"/>
      <c r="K50" s="104"/>
      <c r="L50" s="5"/>
      <c r="M50" s="5"/>
      <c r="N50" s="571"/>
      <c r="O50" s="5"/>
      <c r="P50" s="5"/>
      <c r="Q50" s="5"/>
      <c r="R50" s="5"/>
      <c r="S50" s="571"/>
      <c r="T50" s="5"/>
      <c r="U50" s="5"/>
    </row>
    <row r="51" spans="2:12" ht="13.5">
      <c r="B51" s="100" t="s">
        <v>668</v>
      </c>
      <c r="L51" s="103"/>
    </row>
  </sheetData>
  <sheetProtection sheet="1" objects="1" scenarios="1"/>
  <mergeCells count="27">
    <mergeCell ref="A4:E4"/>
    <mergeCell ref="C5:F5"/>
    <mergeCell ref="B9:E9"/>
    <mergeCell ref="F9:J9"/>
    <mergeCell ref="T27:T29"/>
    <mergeCell ref="I10:I12"/>
    <mergeCell ref="N10:N12"/>
    <mergeCell ref="S10:S12"/>
    <mergeCell ref="J10:J12"/>
    <mergeCell ref="I27:I29"/>
    <mergeCell ref="P9:T9"/>
    <mergeCell ref="B41:E41"/>
    <mergeCell ref="J27:J29"/>
    <mergeCell ref="O10:O12"/>
    <mergeCell ref="B10:E12"/>
    <mergeCell ref="B24:E24"/>
    <mergeCell ref="N27:N29"/>
    <mergeCell ref="S27:S29"/>
    <mergeCell ref="P26:T26"/>
    <mergeCell ref="T10:T12"/>
    <mergeCell ref="B43:E43"/>
    <mergeCell ref="B26:E26"/>
    <mergeCell ref="F26:J26"/>
    <mergeCell ref="K26:O26"/>
    <mergeCell ref="O27:O29"/>
    <mergeCell ref="K9:O9"/>
    <mergeCell ref="B27:E29"/>
  </mergeCells>
  <dataValidations count="1">
    <dataValidation allowBlank="1" showInputMessage="1" showErrorMessage="1" imeMode="halfAlpha" sqref="V32 F13:T23 F30:T40"/>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67" customWidth="1"/>
    <col min="10" max="13" width="16.28125" style="100" customWidth="1"/>
    <col min="14" max="14" width="16.28125" style="567" customWidth="1"/>
    <col min="15" max="18" width="16.28125" style="100" customWidth="1"/>
    <col min="19" max="19" width="16.28125" style="567"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0"/>
      <c r="J1" s="8"/>
      <c r="K1" s="8"/>
      <c r="L1" s="8"/>
      <c r="M1" s="8"/>
      <c r="N1" s="191"/>
      <c r="O1" s="3"/>
      <c r="P1" s="3"/>
      <c r="Q1" s="2"/>
      <c r="R1" s="2"/>
    </row>
    <row r="2" spans="1:18" ht="13.5">
      <c r="A2" s="3"/>
      <c r="B2" s="802" t="s">
        <v>898</v>
      </c>
      <c r="E2" s="4"/>
      <c r="F2" s="7"/>
      <c r="G2" s="8"/>
      <c r="H2" s="13"/>
      <c r="I2" s="480"/>
      <c r="J2" s="8"/>
      <c r="K2" s="8"/>
      <c r="L2" s="8"/>
      <c r="M2" s="8"/>
      <c r="N2" s="191"/>
      <c r="O2" s="3"/>
      <c r="P2" s="3"/>
      <c r="Q2" s="2"/>
      <c r="R2" s="2"/>
    </row>
    <row r="3" spans="1:18" ht="13.5">
      <c r="A3" s="3"/>
      <c r="E3" s="4"/>
      <c r="F3" s="7"/>
      <c r="G3" s="8"/>
      <c r="H3" s="13"/>
      <c r="I3" s="480"/>
      <c r="J3" s="8"/>
      <c r="K3" s="8"/>
      <c r="L3" s="8"/>
      <c r="M3" s="8"/>
      <c r="N3" s="191"/>
      <c r="O3" s="3"/>
      <c r="P3" s="3"/>
      <c r="Q3" s="2"/>
      <c r="R3" s="2"/>
    </row>
    <row r="4" spans="1:6" ht="17.25">
      <c r="A4" s="1022"/>
      <c r="B4" s="1022"/>
      <c r="C4" s="1022"/>
      <c r="D4" s="1022"/>
      <c r="E4" s="1022"/>
      <c r="F4" s="47"/>
    </row>
    <row r="5" spans="1:20" ht="17.25">
      <c r="A5" s="122"/>
      <c r="B5" s="123" t="s">
        <v>157</v>
      </c>
      <c r="C5" s="1023" t="s">
        <v>32</v>
      </c>
      <c r="D5" s="1023"/>
      <c r="E5" s="1023"/>
      <c r="F5" s="1023"/>
      <c r="G5" s="6"/>
      <c r="H5" s="6"/>
      <c r="J5" s="6"/>
      <c r="K5" s="6"/>
      <c r="L5" s="6"/>
      <c r="M5" s="6"/>
      <c r="O5" s="6"/>
      <c r="P5" s="6"/>
      <c r="Q5" s="6"/>
      <c r="R5" s="6"/>
      <c r="T5" s="6"/>
    </row>
    <row r="6" spans="1:20" ht="17.25">
      <c r="A6" s="6"/>
      <c r="B6" s="26"/>
      <c r="C6" s="26"/>
      <c r="D6" s="26"/>
      <c r="E6" s="26"/>
      <c r="F6" s="6"/>
      <c r="G6" s="6"/>
      <c r="H6" s="6"/>
      <c r="J6" s="6"/>
      <c r="K6" s="6"/>
      <c r="L6" s="6"/>
      <c r="M6" s="6"/>
      <c r="O6" s="6"/>
      <c r="P6" s="6"/>
      <c r="Q6" s="6"/>
      <c r="R6" s="122"/>
      <c r="S6" s="574"/>
      <c r="T6" s="122" t="s">
        <v>37</v>
      </c>
    </row>
    <row r="7" spans="1:22" ht="17.25">
      <c r="A7" s="6"/>
      <c r="B7" s="26" t="s">
        <v>2</v>
      </c>
      <c r="C7" s="26"/>
      <c r="D7" s="26"/>
      <c r="E7" s="26"/>
      <c r="F7" s="6"/>
      <c r="G7" s="6"/>
      <c r="H7" s="6"/>
      <c r="J7" s="6"/>
      <c r="K7" s="6"/>
      <c r="L7" s="6"/>
      <c r="N7" s="572"/>
      <c r="O7" s="27"/>
      <c r="P7" s="144"/>
      <c r="Q7" s="124" t="s">
        <v>114</v>
      </c>
      <c r="R7" s="168" t="str">
        <f>IF('基本情報入力（使い方）'!$C$10="","",'基本情報入力（使い方）'!$C$10)</f>
        <v>Ｂ金属株式会社</v>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24" t="s">
        <v>3</v>
      </c>
      <c r="C9" s="1014"/>
      <c r="D9" s="1014"/>
      <c r="E9" s="1014"/>
      <c r="F9" s="992" t="s">
        <v>949</v>
      </c>
      <c r="G9" s="993"/>
      <c r="H9" s="993"/>
      <c r="I9" s="993"/>
      <c r="J9" s="994"/>
      <c r="K9" s="998" t="s">
        <v>950</v>
      </c>
      <c r="L9" s="999"/>
      <c r="M9" s="999"/>
      <c r="N9" s="999"/>
      <c r="O9" s="1000"/>
      <c r="P9" s="998" t="s">
        <v>951</v>
      </c>
      <c r="Q9" s="999"/>
      <c r="R9" s="999"/>
      <c r="S9" s="999"/>
      <c r="T9" s="1026"/>
      <c r="V9" s="28"/>
    </row>
    <row r="10" spans="1:22" ht="33.75" customHeight="1">
      <c r="A10" s="6"/>
      <c r="B10" s="1001" t="s">
        <v>710</v>
      </c>
      <c r="C10" s="1002"/>
      <c r="D10" s="1002"/>
      <c r="E10" s="1003"/>
      <c r="F10" s="298" t="s">
        <v>4</v>
      </c>
      <c r="G10" s="291" t="s">
        <v>5</v>
      </c>
      <c r="H10" s="311" t="s">
        <v>6</v>
      </c>
      <c r="I10" s="1019" t="s">
        <v>649</v>
      </c>
      <c r="J10" s="996" t="s">
        <v>650</v>
      </c>
      <c r="K10" s="312" t="s">
        <v>4</v>
      </c>
      <c r="L10" s="291" t="s">
        <v>5</v>
      </c>
      <c r="M10" s="311" t="s">
        <v>6</v>
      </c>
      <c r="N10" s="1019" t="s">
        <v>649</v>
      </c>
      <c r="O10" s="996" t="s">
        <v>650</v>
      </c>
      <c r="P10" s="312" t="s">
        <v>4</v>
      </c>
      <c r="Q10" s="291" t="s">
        <v>5</v>
      </c>
      <c r="R10" s="311" t="s">
        <v>6</v>
      </c>
      <c r="S10" s="1019" t="s">
        <v>649</v>
      </c>
      <c r="T10" s="996" t="s">
        <v>650</v>
      </c>
      <c r="V10" s="28"/>
    </row>
    <row r="11" spans="1:22" ht="14.25" customHeight="1">
      <c r="A11" s="6"/>
      <c r="B11" s="1004"/>
      <c r="C11" s="1005"/>
      <c r="D11" s="1005"/>
      <c r="E11" s="1006"/>
      <c r="F11" s="299" t="s">
        <v>7</v>
      </c>
      <c r="G11" s="295" t="s">
        <v>8</v>
      </c>
      <c r="H11" s="313"/>
      <c r="I11" s="1020"/>
      <c r="J11" s="997"/>
      <c r="K11" s="314" t="s">
        <v>7</v>
      </c>
      <c r="L11" s="295" t="s">
        <v>8</v>
      </c>
      <c r="M11" s="313"/>
      <c r="N11" s="1020"/>
      <c r="O11" s="997"/>
      <c r="P11" s="314" t="s">
        <v>7</v>
      </c>
      <c r="Q11" s="295" t="s">
        <v>8</v>
      </c>
      <c r="R11" s="313"/>
      <c r="S11" s="1020"/>
      <c r="T11" s="997"/>
      <c r="V11" s="28"/>
    </row>
    <row r="12" spans="1:22" ht="14.25" customHeight="1" thickBot="1">
      <c r="A12" s="6"/>
      <c r="B12" s="1007"/>
      <c r="C12" s="1008"/>
      <c r="D12" s="1008"/>
      <c r="E12" s="1009"/>
      <c r="F12" s="299" t="s">
        <v>9</v>
      </c>
      <c r="G12" s="295" t="s">
        <v>10</v>
      </c>
      <c r="H12" s="313" t="s">
        <v>11</v>
      </c>
      <c r="I12" s="1020"/>
      <c r="J12" s="997"/>
      <c r="K12" s="314" t="s">
        <v>9</v>
      </c>
      <c r="L12" s="295" t="s">
        <v>10</v>
      </c>
      <c r="M12" s="313" t="s">
        <v>11</v>
      </c>
      <c r="N12" s="1020"/>
      <c r="O12" s="997"/>
      <c r="P12" s="314" t="s">
        <v>9</v>
      </c>
      <c r="Q12" s="295" t="s">
        <v>10</v>
      </c>
      <c r="R12" s="313" t="s">
        <v>11</v>
      </c>
      <c r="S12" s="1020"/>
      <c r="T12" s="997"/>
      <c r="V12" s="28"/>
    </row>
    <row r="13" spans="1:20" ht="25.5" customHeight="1">
      <c r="A13" s="6"/>
      <c r="B13" s="621"/>
      <c r="C13" s="125" t="s">
        <v>30</v>
      </c>
      <c r="D13" s="624"/>
      <c r="E13" s="147" t="s">
        <v>31</v>
      </c>
      <c r="F13" s="821">
        <v>0</v>
      </c>
      <c r="G13" s="468"/>
      <c r="H13" s="117">
        <f aca="true" t="shared" si="0" ref="H13:H23">IF(F13="","",ROUNDDOWN((G13*F13),0))</f>
        <v>0</v>
      </c>
      <c r="I13" s="824"/>
      <c r="J13" s="307">
        <f>IF(F13="","",MIN(H13,I13))</f>
        <v>0</v>
      </c>
      <c r="K13" s="821">
        <v>0</v>
      </c>
      <c r="L13" s="468"/>
      <c r="M13" s="117">
        <f aca="true" t="shared" si="1" ref="M13:M23">IF(K13="","",ROUNDDOWN((L13*K13),0))</f>
        <v>0</v>
      </c>
      <c r="N13" s="824"/>
      <c r="O13" s="307">
        <f>IF(K13="","",MIN(M13,N13))</f>
        <v>0</v>
      </c>
      <c r="P13" s="821">
        <v>0</v>
      </c>
      <c r="Q13" s="468"/>
      <c r="R13" s="117">
        <f aca="true" t="shared" si="2" ref="R13:R23">IF(P13="","",ROUNDDOWN((Q13*P13),0))</f>
        <v>0</v>
      </c>
      <c r="S13" s="824"/>
      <c r="T13" s="307">
        <f>IF(P13="","",MIN(R13,S13))</f>
        <v>0</v>
      </c>
    </row>
    <row r="14" spans="1:20" ht="25.5" customHeight="1">
      <c r="A14" s="6"/>
      <c r="B14" s="622"/>
      <c r="C14" s="119" t="s">
        <v>30</v>
      </c>
      <c r="D14" s="625"/>
      <c r="E14" s="119" t="s">
        <v>31</v>
      </c>
      <c r="F14" s="822">
        <v>0</v>
      </c>
      <c r="G14" s="469"/>
      <c r="H14" s="112">
        <f t="shared" si="0"/>
        <v>0</v>
      </c>
      <c r="I14" s="825"/>
      <c r="J14" s="308">
        <f aca="true" t="shared" si="3" ref="J14:J23">IF(F14="","",MIN(H14,I14))</f>
        <v>0</v>
      </c>
      <c r="K14" s="822">
        <v>0</v>
      </c>
      <c r="L14" s="469"/>
      <c r="M14" s="112">
        <f t="shared" si="1"/>
        <v>0</v>
      </c>
      <c r="N14" s="825"/>
      <c r="O14" s="308">
        <f aca="true" t="shared" si="4" ref="O14:O23">IF(K14="","",MIN(M14,N14))</f>
        <v>0</v>
      </c>
      <c r="P14" s="822">
        <v>0</v>
      </c>
      <c r="Q14" s="469"/>
      <c r="R14" s="112">
        <f t="shared" si="2"/>
        <v>0</v>
      </c>
      <c r="S14" s="825"/>
      <c r="T14" s="308">
        <f aca="true" t="shared" si="5" ref="T14:T23">IF(P14="","",MIN(R14,S14))</f>
        <v>0</v>
      </c>
    </row>
    <row r="15" spans="1:20" ht="25.5" customHeight="1">
      <c r="A15" s="6"/>
      <c r="B15" s="622"/>
      <c r="C15" s="119" t="s">
        <v>30</v>
      </c>
      <c r="D15" s="625"/>
      <c r="E15" s="148" t="s">
        <v>31</v>
      </c>
      <c r="F15" s="822">
        <v>0</v>
      </c>
      <c r="G15" s="469"/>
      <c r="H15" s="112">
        <f t="shared" si="0"/>
        <v>0</v>
      </c>
      <c r="I15" s="825"/>
      <c r="J15" s="308">
        <f t="shared" si="3"/>
        <v>0</v>
      </c>
      <c r="K15" s="822">
        <v>0</v>
      </c>
      <c r="L15" s="469"/>
      <c r="M15" s="112">
        <f t="shared" si="1"/>
        <v>0</v>
      </c>
      <c r="N15" s="825"/>
      <c r="O15" s="308">
        <f t="shared" si="4"/>
        <v>0</v>
      </c>
      <c r="P15" s="822">
        <v>0</v>
      </c>
      <c r="Q15" s="469"/>
      <c r="R15" s="112">
        <f t="shared" si="2"/>
        <v>0</v>
      </c>
      <c r="S15" s="825"/>
      <c r="T15" s="308">
        <f t="shared" si="5"/>
        <v>0</v>
      </c>
    </row>
    <row r="16" spans="1:20" ht="25.5" customHeight="1">
      <c r="A16" s="6"/>
      <c r="B16" s="628"/>
      <c r="C16" s="120" t="s">
        <v>30</v>
      </c>
      <c r="D16" s="626"/>
      <c r="E16" s="120" t="s">
        <v>22</v>
      </c>
      <c r="F16" s="822">
        <v>0</v>
      </c>
      <c r="G16" s="470"/>
      <c r="H16" s="112">
        <f t="shared" si="0"/>
        <v>0</v>
      </c>
      <c r="I16" s="825"/>
      <c r="J16" s="308">
        <f t="shared" si="3"/>
        <v>0</v>
      </c>
      <c r="K16" s="822">
        <v>0</v>
      </c>
      <c r="L16" s="470"/>
      <c r="M16" s="112">
        <f t="shared" si="1"/>
        <v>0</v>
      </c>
      <c r="N16" s="825"/>
      <c r="O16" s="308">
        <f t="shared" si="4"/>
        <v>0</v>
      </c>
      <c r="P16" s="822">
        <v>0</v>
      </c>
      <c r="Q16" s="470"/>
      <c r="R16" s="112">
        <f t="shared" si="2"/>
        <v>0</v>
      </c>
      <c r="S16" s="825"/>
      <c r="T16" s="308">
        <f t="shared" si="5"/>
        <v>0</v>
      </c>
    </row>
    <row r="17" spans="1:20" ht="25.5" customHeight="1">
      <c r="A17" s="6"/>
      <c r="B17" s="622"/>
      <c r="C17" s="119" t="s">
        <v>30</v>
      </c>
      <c r="D17" s="625"/>
      <c r="E17" s="119" t="s">
        <v>22</v>
      </c>
      <c r="F17" s="822">
        <v>0</v>
      </c>
      <c r="G17" s="469"/>
      <c r="H17" s="112">
        <f t="shared" si="0"/>
        <v>0</v>
      </c>
      <c r="I17" s="825"/>
      <c r="J17" s="308">
        <f t="shared" si="3"/>
        <v>0</v>
      </c>
      <c r="K17" s="822">
        <v>0</v>
      </c>
      <c r="L17" s="469"/>
      <c r="M17" s="112">
        <f t="shared" si="1"/>
        <v>0</v>
      </c>
      <c r="N17" s="825"/>
      <c r="O17" s="308">
        <f t="shared" si="4"/>
        <v>0</v>
      </c>
      <c r="P17" s="822">
        <v>0</v>
      </c>
      <c r="Q17" s="469"/>
      <c r="R17" s="112">
        <f t="shared" si="2"/>
        <v>0</v>
      </c>
      <c r="S17" s="825"/>
      <c r="T17" s="308">
        <f t="shared" si="5"/>
        <v>0</v>
      </c>
    </row>
    <row r="18" spans="1:22" ht="25.5" customHeight="1">
      <c r="A18" s="6"/>
      <c r="B18" s="622"/>
      <c r="C18" s="119" t="s">
        <v>30</v>
      </c>
      <c r="D18" s="625"/>
      <c r="E18" s="119" t="s">
        <v>22</v>
      </c>
      <c r="F18" s="822">
        <v>0</v>
      </c>
      <c r="G18" s="469"/>
      <c r="H18" s="112">
        <f t="shared" si="0"/>
        <v>0</v>
      </c>
      <c r="I18" s="825"/>
      <c r="J18" s="308">
        <f t="shared" si="3"/>
        <v>0</v>
      </c>
      <c r="K18" s="822">
        <v>0</v>
      </c>
      <c r="L18" s="469"/>
      <c r="M18" s="112">
        <f t="shared" si="1"/>
        <v>0</v>
      </c>
      <c r="N18" s="825"/>
      <c r="O18" s="308">
        <f t="shared" si="4"/>
        <v>0</v>
      </c>
      <c r="P18" s="822">
        <v>0</v>
      </c>
      <c r="Q18" s="469"/>
      <c r="R18" s="112">
        <f t="shared" si="2"/>
        <v>0</v>
      </c>
      <c r="S18" s="825"/>
      <c r="T18" s="308">
        <f t="shared" si="5"/>
        <v>0</v>
      </c>
      <c r="V18" s="103"/>
    </row>
    <row r="19" spans="1:22" ht="25.5" customHeight="1">
      <c r="A19" s="6"/>
      <c r="B19" s="622"/>
      <c r="C19" s="119" t="s">
        <v>30</v>
      </c>
      <c r="D19" s="625"/>
      <c r="E19" s="119" t="s">
        <v>22</v>
      </c>
      <c r="F19" s="822">
        <v>0</v>
      </c>
      <c r="G19" s="469"/>
      <c r="H19" s="112">
        <f t="shared" si="0"/>
        <v>0</v>
      </c>
      <c r="I19" s="825"/>
      <c r="J19" s="308">
        <f t="shared" si="3"/>
        <v>0</v>
      </c>
      <c r="K19" s="822">
        <v>0</v>
      </c>
      <c r="L19" s="469"/>
      <c r="M19" s="112">
        <f t="shared" si="1"/>
        <v>0</v>
      </c>
      <c r="N19" s="825"/>
      <c r="O19" s="308">
        <f t="shared" si="4"/>
        <v>0</v>
      </c>
      <c r="P19" s="822">
        <v>0</v>
      </c>
      <c r="Q19" s="469"/>
      <c r="R19" s="112">
        <f t="shared" si="2"/>
        <v>0</v>
      </c>
      <c r="S19" s="825"/>
      <c r="T19" s="308">
        <f t="shared" si="5"/>
        <v>0</v>
      </c>
      <c r="V19" s="103"/>
    </row>
    <row r="20" spans="1:22" ht="25.5" customHeight="1">
      <c r="A20" s="6"/>
      <c r="B20" s="622"/>
      <c r="C20" s="119" t="s">
        <v>30</v>
      </c>
      <c r="D20" s="625"/>
      <c r="E20" s="119" t="s">
        <v>31</v>
      </c>
      <c r="F20" s="822">
        <v>0</v>
      </c>
      <c r="G20" s="469"/>
      <c r="H20" s="112">
        <f t="shared" si="0"/>
        <v>0</v>
      </c>
      <c r="I20" s="825"/>
      <c r="J20" s="308">
        <f t="shared" si="3"/>
        <v>0</v>
      </c>
      <c r="K20" s="822">
        <v>0</v>
      </c>
      <c r="L20" s="469"/>
      <c r="M20" s="112">
        <f t="shared" si="1"/>
        <v>0</v>
      </c>
      <c r="N20" s="825"/>
      <c r="O20" s="308">
        <f t="shared" si="4"/>
        <v>0</v>
      </c>
      <c r="P20" s="822">
        <v>0</v>
      </c>
      <c r="Q20" s="469"/>
      <c r="R20" s="112">
        <f t="shared" si="2"/>
        <v>0</v>
      </c>
      <c r="S20" s="825"/>
      <c r="T20" s="308">
        <f t="shared" si="5"/>
        <v>0</v>
      </c>
      <c r="V20" s="76"/>
    </row>
    <row r="21" spans="1:22" ht="25.5" customHeight="1">
      <c r="A21" s="6"/>
      <c r="B21" s="622"/>
      <c r="C21" s="119" t="s">
        <v>30</v>
      </c>
      <c r="D21" s="625"/>
      <c r="E21" s="119" t="s">
        <v>22</v>
      </c>
      <c r="F21" s="822">
        <v>0</v>
      </c>
      <c r="G21" s="469"/>
      <c r="H21" s="112">
        <f t="shared" si="0"/>
        <v>0</v>
      </c>
      <c r="I21" s="825"/>
      <c r="J21" s="308">
        <f t="shared" si="3"/>
        <v>0</v>
      </c>
      <c r="K21" s="822">
        <v>0</v>
      </c>
      <c r="L21" s="469"/>
      <c r="M21" s="112">
        <f t="shared" si="1"/>
        <v>0</v>
      </c>
      <c r="N21" s="825"/>
      <c r="O21" s="308">
        <f t="shared" si="4"/>
        <v>0</v>
      </c>
      <c r="P21" s="822">
        <v>0</v>
      </c>
      <c r="Q21" s="469"/>
      <c r="R21" s="112">
        <f t="shared" si="2"/>
        <v>0</v>
      </c>
      <c r="S21" s="825"/>
      <c r="T21" s="308">
        <f t="shared" si="5"/>
        <v>0</v>
      </c>
      <c r="V21" s="76"/>
    </row>
    <row r="22" spans="1:22" ht="25.5" customHeight="1">
      <c r="A22" s="6"/>
      <c r="B22" s="622"/>
      <c r="C22" s="119" t="s">
        <v>30</v>
      </c>
      <c r="D22" s="625"/>
      <c r="E22" s="119" t="s">
        <v>22</v>
      </c>
      <c r="F22" s="822">
        <v>0</v>
      </c>
      <c r="G22" s="470"/>
      <c r="H22" s="112">
        <f t="shared" si="0"/>
        <v>0</v>
      </c>
      <c r="I22" s="826"/>
      <c r="J22" s="308">
        <f t="shared" si="3"/>
        <v>0</v>
      </c>
      <c r="K22" s="822">
        <v>0</v>
      </c>
      <c r="L22" s="470"/>
      <c r="M22" s="112">
        <f t="shared" si="1"/>
        <v>0</v>
      </c>
      <c r="N22" s="826"/>
      <c r="O22" s="308">
        <f t="shared" si="4"/>
        <v>0</v>
      </c>
      <c r="P22" s="822">
        <v>0</v>
      </c>
      <c r="Q22" s="470"/>
      <c r="R22" s="112">
        <f t="shared" si="2"/>
        <v>0</v>
      </c>
      <c r="S22" s="826"/>
      <c r="T22" s="308">
        <f t="shared" si="5"/>
        <v>0</v>
      </c>
      <c r="V22" s="76"/>
    </row>
    <row r="23" spans="1:20" ht="25.5" customHeight="1" thickBot="1">
      <c r="A23" s="6"/>
      <c r="B23" s="623"/>
      <c r="C23" s="121" t="s">
        <v>30</v>
      </c>
      <c r="D23" s="627"/>
      <c r="E23" s="121" t="s">
        <v>22</v>
      </c>
      <c r="F23" s="823">
        <v>0</v>
      </c>
      <c r="G23" s="471"/>
      <c r="H23" s="127">
        <f t="shared" si="0"/>
        <v>0</v>
      </c>
      <c r="I23" s="827"/>
      <c r="J23" s="310">
        <f t="shared" si="3"/>
        <v>0</v>
      </c>
      <c r="K23" s="823">
        <v>0</v>
      </c>
      <c r="L23" s="471"/>
      <c r="M23" s="127">
        <f t="shared" si="1"/>
        <v>0</v>
      </c>
      <c r="N23" s="827"/>
      <c r="O23" s="309">
        <f t="shared" si="4"/>
        <v>0</v>
      </c>
      <c r="P23" s="823">
        <v>0</v>
      </c>
      <c r="Q23" s="471"/>
      <c r="R23" s="127">
        <f t="shared" si="2"/>
        <v>0</v>
      </c>
      <c r="S23" s="827"/>
      <c r="T23" s="309">
        <f t="shared" si="5"/>
        <v>0</v>
      </c>
    </row>
    <row r="24" spans="1:20" ht="25.5" customHeight="1" thickBot="1">
      <c r="A24" s="6"/>
      <c r="B24" s="1016" t="s">
        <v>1</v>
      </c>
      <c r="C24" s="1017"/>
      <c r="D24" s="1017"/>
      <c r="E24" s="1018"/>
      <c r="F24" s="107"/>
      <c r="G24" s="108">
        <f>SUM(G13:G23)</f>
        <v>0</v>
      </c>
      <c r="H24" s="151">
        <f>SUM(H13:H23)</f>
        <v>0</v>
      </c>
      <c r="I24" s="568">
        <f>SUM(I13:I23)</f>
        <v>0</v>
      </c>
      <c r="J24" s="153">
        <f>SUM(J13:J23)</f>
        <v>0</v>
      </c>
      <c r="K24" s="152"/>
      <c r="L24" s="108">
        <f>SUM(L13:L23)</f>
        <v>0</v>
      </c>
      <c r="M24" s="151">
        <f>SUM(M13:M23)</f>
        <v>0</v>
      </c>
      <c r="N24" s="568">
        <f>SUM(N13:N23)</f>
        <v>0</v>
      </c>
      <c r="O24" s="153">
        <f>SUM(O13:O23)</f>
        <v>0</v>
      </c>
      <c r="P24" s="152"/>
      <c r="Q24" s="108">
        <f>SUM(Q13:Q23)</f>
        <v>0</v>
      </c>
      <c r="R24" s="151">
        <f>SUM(R13:R23)</f>
        <v>0</v>
      </c>
      <c r="S24" s="568">
        <f>SUM(S13:S23)</f>
        <v>0</v>
      </c>
      <c r="T24" s="153">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990" t="s">
        <v>3</v>
      </c>
      <c r="C26" s="991"/>
      <c r="D26" s="991"/>
      <c r="E26" s="991"/>
      <c r="F26" s="1027" t="s">
        <v>952</v>
      </c>
      <c r="G26" s="1028"/>
      <c r="H26" s="1028"/>
      <c r="I26" s="1028"/>
      <c r="J26" s="1029"/>
      <c r="K26" s="1030" t="s">
        <v>953</v>
      </c>
      <c r="L26" s="1028"/>
      <c r="M26" s="1028"/>
      <c r="N26" s="1028"/>
      <c r="O26" s="1029"/>
      <c r="P26" s="1030" t="s">
        <v>954</v>
      </c>
      <c r="Q26" s="1028"/>
      <c r="R26" s="1028"/>
      <c r="S26" s="1028"/>
      <c r="T26" s="1031"/>
    </row>
    <row r="27" spans="1:20" ht="33.75" customHeight="1">
      <c r="A27" s="6"/>
      <c r="B27" s="1001" t="s">
        <v>710</v>
      </c>
      <c r="C27" s="1002"/>
      <c r="D27" s="1002"/>
      <c r="E27" s="1003"/>
      <c r="F27" s="315" t="s">
        <v>4</v>
      </c>
      <c r="G27" s="316" t="s">
        <v>5</v>
      </c>
      <c r="H27" s="317" t="s">
        <v>6</v>
      </c>
      <c r="I27" s="1019" t="s">
        <v>649</v>
      </c>
      <c r="J27" s="996" t="s">
        <v>650</v>
      </c>
      <c r="K27" s="318" t="s">
        <v>4</v>
      </c>
      <c r="L27" s="316" t="s">
        <v>5</v>
      </c>
      <c r="M27" s="319" t="s">
        <v>6</v>
      </c>
      <c r="N27" s="1019" t="s">
        <v>649</v>
      </c>
      <c r="O27" s="996" t="s">
        <v>650</v>
      </c>
      <c r="P27" s="315" t="s">
        <v>4</v>
      </c>
      <c r="Q27" s="316" t="s">
        <v>5</v>
      </c>
      <c r="R27" s="319" t="s">
        <v>6</v>
      </c>
      <c r="S27" s="1019" t="s">
        <v>649</v>
      </c>
      <c r="T27" s="996" t="s">
        <v>650</v>
      </c>
    </row>
    <row r="28" spans="1:20" ht="14.25" customHeight="1">
      <c r="A28" s="6"/>
      <c r="B28" s="1004"/>
      <c r="C28" s="1005"/>
      <c r="D28" s="1005"/>
      <c r="E28" s="1006"/>
      <c r="F28" s="299" t="s">
        <v>7</v>
      </c>
      <c r="G28" s="295" t="s">
        <v>8</v>
      </c>
      <c r="H28" s="313"/>
      <c r="I28" s="1020"/>
      <c r="J28" s="997"/>
      <c r="K28" s="314" t="s">
        <v>7</v>
      </c>
      <c r="L28" s="295" t="s">
        <v>8</v>
      </c>
      <c r="M28" s="297"/>
      <c r="N28" s="1020"/>
      <c r="O28" s="997"/>
      <c r="P28" s="299" t="s">
        <v>7</v>
      </c>
      <c r="Q28" s="295" t="s">
        <v>8</v>
      </c>
      <c r="R28" s="297"/>
      <c r="S28" s="1020"/>
      <c r="T28" s="997"/>
    </row>
    <row r="29" spans="1:20" ht="14.25" customHeight="1" thickBot="1">
      <c r="A29" s="6"/>
      <c r="B29" s="1007"/>
      <c r="C29" s="1008"/>
      <c r="D29" s="1008"/>
      <c r="E29" s="1009"/>
      <c r="F29" s="299" t="s">
        <v>9</v>
      </c>
      <c r="G29" s="295" t="s">
        <v>10</v>
      </c>
      <c r="H29" s="313" t="s">
        <v>11</v>
      </c>
      <c r="I29" s="1020"/>
      <c r="J29" s="997"/>
      <c r="K29" s="314" t="s">
        <v>9</v>
      </c>
      <c r="L29" s="295" t="s">
        <v>10</v>
      </c>
      <c r="M29" s="297" t="s">
        <v>11</v>
      </c>
      <c r="N29" s="1020"/>
      <c r="O29" s="997"/>
      <c r="P29" s="299" t="s">
        <v>9</v>
      </c>
      <c r="Q29" s="295" t="s">
        <v>10</v>
      </c>
      <c r="R29" s="297" t="s">
        <v>11</v>
      </c>
      <c r="S29" s="1020"/>
      <c r="T29" s="997"/>
    </row>
    <row r="30" spans="1:22" ht="25.5" customHeight="1">
      <c r="A30" s="6"/>
      <c r="B30" s="621"/>
      <c r="C30" s="125" t="s">
        <v>30</v>
      </c>
      <c r="D30" s="624"/>
      <c r="E30" s="147" t="s">
        <v>31</v>
      </c>
      <c r="F30" s="821">
        <v>0</v>
      </c>
      <c r="G30" s="468"/>
      <c r="H30" s="117">
        <f aca="true" t="shared" si="6" ref="H30:H40">IF(F30="","",ROUNDDOWN((G30*F30),0))</f>
        <v>0</v>
      </c>
      <c r="I30" s="824"/>
      <c r="J30" s="307">
        <f>IF(F30="","",MIN(H30,I30))</f>
        <v>0</v>
      </c>
      <c r="K30" s="821">
        <v>0</v>
      </c>
      <c r="L30" s="468"/>
      <c r="M30" s="117">
        <f aca="true" t="shared" si="7" ref="M30:M40">IF(K30="","",ROUNDDOWN((L30*K30),0))</f>
        <v>0</v>
      </c>
      <c r="N30" s="824"/>
      <c r="O30" s="303">
        <f>IF(K30="","",MIN(M30,N30))</f>
        <v>0</v>
      </c>
      <c r="P30" s="821">
        <v>0</v>
      </c>
      <c r="Q30" s="468"/>
      <c r="R30" s="117">
        <f aca="true" t="shared" si="8" ref="R30:R40">IF(P30="","",ROUNDDOWN((Q30*P30),0))</f>
        <v>0</v>
      </c>
      <c r="S30" s="824"/>
      <c r="T30" s="300">
        <f>IF(P30="","",MIN(R30,S30))</f>
        <v>0</v>
      </c>
      <c r="V30" s="2"/>
    </row>
    <row r="31" spans="1:22" ht="25.5" customHeight="1">
      <c r="A31" s="6"/>
      <c r="B31" s="622"/>
      <c r="C31" s="119" t="s">
        <v>30</v>
      </c>
      <c r="D31" s="625"/>
      <c r="E31" s="119" t="s">
        <v>31</v>
      </c>
      <c r="F31" s="822">
        <v>0</v>
      </c>
      <c r="G31" s="469"/>
      <c r="H31" s="112">
        <f t="shared" si="6"/>
        <v>0</v>
      </c>
      <c r="I31" s="825"/>
      <c r="J31" s="308">
        <f aca="true" t="shared" si="9" ref="J31:J40">IF(F31="","",MIN(H31,I31))</f>
        <v>0</v>
      </c>
      <c r="K31" s="822">
        <v>0</v>
      </c>
      <c r="L31" s="469"/>
      <c r="M31" s="112">
        <f t="shared" si="7"/>
        <v>0</v>
      </c>
      <c r="N31" s="825"/>
      <c r="O31" s="304">
        <f aca="true" t="shared" si="10" ref="O31:O40">IF(K31="","",MIN(M31,N31))</f>
        <v>0</v>
      </c>
      <c r="P31" s="822">
        <v>0</v>
      </c>
      <c r="Q31" s="469"/>
      <c r="R31" s="112">
        <f t="shared" si="8"/>
        <v>0</v>
      </c>
      <c r="S31" s="825"/>
      <c r="T31" s="301">
        <f aca="true" t="shared" si="11" ref="T31:T40">IF(P31="","",MIN(R31,S31))</f>
        <v>0</v>
      </c>
      <c r="V31" s="2"/>
    </row>
    <row r="32" spans="1:22" ht="25.5" customHeight="1">
      <c r="A32" s="6"/>
      <c r="B32" s="622"/>
      <c r="C32" s="119" t="s">
        <v>30</v>
      </c>
      <c r="D32" s="625"/>
      <c r="E32" s="148" t="s">
        <v>31</v>
      </c>
      <c r="F32" s="822">
        <v>0</v>
      </c>
      <c r="G32" s="469"/>
      <c r="H32" s="112">
        <f t="shared" si="6"/>
        <v>0</v>
      </c>
      <c r="I32" s="825"/>
      <c r="J32" s="308">
        <f t="shared" si="9"/>
        <v>0</v>
      </c>
      <c r="K32" s="822">
        <v>0</v>
      </c>
      <c r="L32" s="469"/>
      <c r="M32" s="112">
        <f t="shared" si="7"/>
        <v>0</v>
      </c>
      <c r="N32" s="825"/>
      <c r="O32" s="305">
        <f t="shared" si="10"/>
        <v>0</v>
      </c>
      <c r="P32" s="822">
        <v>0</v>
      </c>
      <c r="Q32" s="469"/>
      <c r="R32" s="112">
        <f t="shared" si="8"/>
        <v>0</v>
      </c>
      <c r="S32" s="825"/>
      <c r="T32" s="301">
        <f t="shared" si="11"/>
        <v>0</v>
      </c>
      <c r="V32" s="43"/>
    </row>
    <row r="33" spans="1:20" ht="25.5" customHeight="1">
      <c r="A33" s="6"/>
      <c r="B33" s="628"/>
      <c r="C33" s="120" t="s">
        <v>30</v>
      </c>
      <c r="D33" s="626"/>
      <c r="E33" s="120" t="s">
        <v>22</v>
      </c>
      <c r="F33" s="822">
        <v>0</v>
      </c>
      <c r="G33" s="470"/>
      <c r="H33" s="112">
        <f t="shared" si="6"/>
        <v>0</v>
      </c>
      <c r="I33" s="825"/>
      <c r="J33" s="308">
        <f t="shared" si="9"/>
        <v>0</v>
      </c>
      <c r="K33" s="822">
        <v>0</v>
      </c>
      <c r="L33" s="470"/>
      <c r="M33" s="112">
        <f t="shared" si="7"/>
        <v>0</v>
      </c>
      <c r="N33" s="825"/>
      <c r="O33" s="305">
        <f t="shared" si="10"/>
        <v>0</v>
      </c>
      <c r="P33" s="822">
        <v>0</v>
      </c>
      <c r="Q33" s="470"/>
      <c r="R33" s="112">
        <f t="shared" si="8"/>
        <v>0</v>
      </c>
      <c r="S33" s="825"/>
      <c r="T33" s="301">
        <f t="shared" si="11"/>
        <v>0</v>
      </c>
    </row>
    <row r="34" spans="1:20" ht="25.5" customHeight="1">
      <c r="A34" s="6"/>
      <c r="B34" s="622"/>
      <c r="C34" s="119" t="s">
        <v>30</v>
      </c>
      <c r="D34" s="625"/>
      <c r="E34" s="119" t="s">
        <v>22</v>
      </c>
      <c r="F34" s="822">
        <v>0</v>
      </c>
      <c r="G34" s="469"/>
      <c r="H34" s="112">
        <f t="shared" si="6"/>
        <v>0</v>
      </c>
      <c r="I34" s="825"/>
      <c r="J34" s="308">
        <f t="shared" si="9"/>
        <v>0</v>
      </c>
      <c r="K34" s="822">
        <v>0</v>
      </c>
      <c r="L34" s="469"/>
      <c r="M34" s="112">
        <f t="shared" si="7"/>
        <v>0</v>
      </c>
      <c r="N34" s="825"/>
      <c r="O34" s="305">
        <f t="shared" si="10"/>
        <v>0</v>
      </c>
      <c r="P34" s="822">
        <v>0</v>
      </c>
      <c r="Q34" s="469"/>
      <c r="R34" s="112">
        <f t="shared" si="8"/>
        <v>0</v>
      </c>
      <c r="S34" s="825"/>
      <c r="T34" s="301">
        <f t="shared" si="11"/>
        <v>0</v>
      </c>
    </row>
    <row r="35" spans="1:20" ht="25.5" customHeight="1">
      <c r="A35" s="6"/>
      <c r="B35" s="622"/>
      <c r="C35" s="119" t="s">
        <v>30</v>
      </c>
      <c r="D35" s="625"/>
      <c r="E35" s="119" t="s">
        <v>22</v>
      </c>
      <c r="F35" s="822">
        <v>0</v>
      </c>
      <c r="G35" s="469"/>
      <c r="H35" s="112">
        <f t="shared" si="6"/>
        <v>0</v>
      </c>
      <c r="I35" s="825"/>
      <c r="J35" s="308">
        <f t="shared" si="9"/>
        <v>0</v>
      </c>
      <c r="K35" s="822">
        <v>0</v>
      </c>
      <c r="L35" s="469"/>
      <c r="M35" s="112">
        <f t="shared" si="7"/>
        <v>0</v>
      </c>
      <c r="N35" s="825"/>
      <c r="O35" s="305">
        <f t="shared" si="10"/>
        <v>0</v>
      </c>
      <c r="P35" s="822">
        <v>0</v>
      </c>
      <c r="Q35" s="469"/>
      <c r="R35" s="112">
        <f t="shared" si="8"/>
        <v>0</v>
      </c>
      <c r="S35" s="825"/>
      <c r="T35" s="301">
        <f t="shared" si="11"/>
        <v>0</v>
      </c>
    </row>
    <row r="36" spans="1:20" ht="25.5" customHeight="1">
      <c r="A36" s="6"/>
      <c r="B36" s="622"/>
      <c r="C36" s="119" t="s">
        <v>30</v>
      </c>
      <c r="D36" s="625"/>
      <c r="E36" s="119" t="s">
        <v>22</v>
      </c>
      <c r="F36" s="822">
        <v>0</v>
      </c>
      <c r="G36" s="469"/>
      <c r="H36" s="112">
        <f t="shared" si="6"/>
        <v>0</v>
      </c>
      <c r="I36" s="825"/>
      <c r="J36" s="308">
        <f t="shared" si="9"/>
        <v>0</v>
      </c>
      <c r="K36" s="822">
        <v>0</v>
      </c>
      <c r="L36" s="469"/>
      <c r="M36" s="112">
        <f t="shared" si="7"/>
        <v>0</v>
      </c>
      <c r="N36" s="825"/>
      <c r="O36" s="305">
        <f t="shared" si="10"/>
        <v>0</v>
      </c>
      <c r="P36" s="822">
        <v>0</v>
      </c>
      <c r="Q36" s="469"/>
      <c r="R36" s="112">
        <f t="shared" si="8"/>
        <v>0</v>
      </c>
      <c r="S36" s="825"/>
      <c r="T36" s="301">
        <f t="shared" si="11"/>
        <v>0</v>
      </c>
    </row>
    <row r="37" spans="1:20" ht="25.5" customHeight="1">
      <c r="A37" s="6"/>
      <c r="B37" s="622"/>
      <c r="C37" s="119" t="s">
        <v>30</v>
      </c>
      <c r="D37" s="625"/>
      <c r="E37" s="119" t="s">
        <v>31</v>
      </c>
      <c r="F37" s="822">
        <v>0</v>
      </c>
      <c r="G37" s="469"/>
      <c r="H37" s="112">
        <f t="shared" si="6"/>
        <v>0</v>
      </c>
      <c r="I37" s="825"/>
      <c r="J37" s="308">
        <f t="shared" si="9"/>
        <v>0</v>
      </c>
      <c r="K37" s="822">
        <v>0</v>
      </c>
      <c r="L37" s="469"/>
      <c r="M37" s="112">
        <f t="shared" si="7"/>
        <v>0</v>
      </c>
      <c r="N37" s="825"/>
      <c r="O37" s="305">
        <f t="shared" si="10"/>
        <v>0</v>
      </c>
      <c r="P37" s="822">
        <v>0</v>
      </c>
      <c r="Q37" s="469"/>
      <c r="R37" s="112">
        <f t="shared" si="8"/>
        <v>0</v>
      </c>
      <c r="S37" s="825"/>
      <c r="T37" s="301">
        <f t="shared" si="11"/>
        <v>0</v>
      </c>
    </row>
    <row r="38" spans="1:20" ht="25.5" customHeight="1">
      <c r="A38" s="6"/>
      <c r="B38" s="622"/>
      <c r="C38" s="119" t="s">
        <v>30</v>
      </c>
      <c r="D38" s="625"/>
      <c r="E38" s="119" t="s">
        <v>22</v>
      </c>
      <c r="F38" s="822">
        <v>0</v>
      </c>
      <c r="G38" s="469"/>
      <c r="H38" s="112">
        <f t="shared" si="6"/>
        <v>0</v>
      </c>
      <c r="I38" s="825"/>
      <c r="J38" s="308">
        <f t="shared" si="9"/>
        <v>0</v>
      </c>
      <c r="K38" s="822">
        <v>0</v>
      </c>
      <c r="L38" s="469"/>
      <c r="M38" s="112">
        <f t="shared" si="7"/>
        <v>0</v>
      </c>
      <c r="N38" s="825"/>
      <c r="O38" s="305">
        <f t="shared" si="10"/>
        <v>0</v>
      </c>
      <c r="P38" s="822">
        <v>0</v>
      </c>
      <c r="Q38" s="469"/>
      <c r="R38" s="112">
        <f t="shared" si="8"/>
        <v>0</v>
      </c>
      <c r="S38" s="825"/>
      <c r="T38" s="301">
        <f t="shared" si="11"/>
        <v>0</v>
      </c>
    </row>
    <row r="39" spans="1:20" ht="25.5" customHeight="1">
      <c r="A39" s="6"/>
      <c r="B39" s="622"/>
      <c r="C39" s="119" t="s">
        <v>30</v>
      </c>
      <c r="D39" s="625"/>
      <c r="E39" s="119" t="s">
        <v>22</v>
      </c>
      <c r="F39" s="822">
        <v>0</v>
      </c>
      <c r="G39" s="470"/>
      <c r="H39" s="112">
        <f t="shared" si="6"/>
        <v>0</v>
      </c>
      <c r="I39" s="826"/>
      <c r="J39" s="308">
        <f t="shared" si="9"/>
        <v>0</v>
      </c>
      <c r="K39" s="822">
        <v>0</v>
      </c>
      <c r="L39" s="470"/>
      <c r="M39" s="112">
        <f t="shared" si="7"/>
        <v>0</v>
      </c>
      <c r="N39" s="826"/>
      <c r="O39" s="305">
        <f t="shared" si="10"/>
        <v>0</v>
      </c>
      <c r="P39" s="822">
        <v>0</v>
      </c>
      <c r="Q39" s="470"/>
      <c r="R39" s="112">
        <f t="shared" si="8"/>
        <v>0</v>
      </c>
      <c r="S39" s="826"/>
      <c r="T39" s="301">
        <f t="shared" si="11"/>
        <v>0</v>
      </c>
    </row>
    <row r="40" spans="1:20" ht="25.5" customHeight="1" thickBot="1">
      <c r="A40" s="6"/>
      <c r="B40" s="623"/>
      <c r="C40" s="121" t="s">
        <v>30</v>
      </c>
      <c r="D40" s="627"/>
      <c r="E40" s="121" t="s">
        <v>22</v>
      </c>
      <c r="F40" s="823">
        <v>0</v>
      </c>
      <c r="G40" s="471"/>
      <c r="H40" s="127">
        <f t="shared" si="6"/>
        <v>0</v>
      </c>
      <c r="I40" s="827"/>
      <c r="J40" s="309">
        <f t="shared" si="9"/>
        <v>0</v>
      </c>
      <c r="K40" s="823">
        <v>0</v>
      </c>
      <c r="L40" s="471"/>
      <c r="M40" s="127">
        <f t="shared" si="7"/>
        <v>0</v>
      </c>
      <c r="N40" s="827"/>
      <c r="O40" s="306">
        <f t="shared" si="10"/>
        <v>0</v>
      </c>
      <c r="P40" s="823">
        <v>0</v>
      </c>
      <c r="Q40" s="471"/>
      <c r="R40" s="127">
        <f t="shared" si="8"/>
        <v>0</v>
      </c>
      <c r="S40" s="827"/>
      <c r="T40" s="302">
        <f t="shared" si="11"/>
        <v>0</v>
      </c>
    </row>
    <row r="41" spans="1:20" ht="25.5" customHeight="1" thickBot="1">
      <c r="A41" s="6"/>
      <c r="B41" s="1013" t="s">
        <v>1</v>
      </c>
      <c r="C41" s="1014"/>
      <c r="D41" s="1014"/>
      <c r="E41" s="1015"/>
      <c r="F41" s="107"/>
      <c r="G41" s="108">
        <f>SUM(G30:G40)</f>
        <v>0</v>
      </c>
      <c r="H41" s="151">
        <f>SUM(H30:H40)</f>
        <v>0</v>
      </c>
      <c r="I41" s="568">
        <f>SUM(I30:I40)</f>
        <v>0</v>
      </c>
      <c r="J41" s="153">
        <f>SUM(J30:J40)</f>
        <v>0</v>
      </c>
      <c r="K41" s="152"/>
      <c r="L41" s="108">
        <f>SUM(L30:L40)</f>
        <v>0</v>
      </c>
      <c r="M41" s="109">
        <f>SUM(M30:M40)</f>
        <v>0</v>
      </c>
      <c r="N41" s="573">
        <f>SUM(N30:N40)</f>
        <v>0</v>
      </c>
      <c r="O41" s="153">
        <f>SUM(O30:O40)</f>
        <v>0</v>
      </c>
      <c r="P41" s="110"/>
      <c r="Q41" s="108">
        <f>SUM(Q30:Q40)</f>
        <v>0</v>
      </c>
      <c r="R41" s="109">
        <f>SUM(R30:R40)</f>
        <v>0</v>
      </c>
      <c r="S41" s="575">
        <f>SUM(S30:S40)</f>
        <v>0</v>
      </c>
      <c r="T41" s="111">
        <f>SUM(T30:T40)</f>
        <v>0</v>
      </c>
    </row>
    <row r="42" spans="1:20" ht="14.25" thickBot="1">
      <c r="A42" s="6"/>
      <c r="B42" s="30"/>
      <c r="C42" s="30"/>
      <c r="D42" s="30"/>
      <c r="E42" s="30"/>
      <c r="F42" s="77"/>
      <c r="G42" s="77"/>
      <c r="H42" s="77"/>
      <c r="I42" s="480"/>
      <c r="J42" s="77"/>
      <c r="K42" s="77"/>
      <c r="L42" s="77"/>
      <c r="M42" s="77"/>
      <c r="N42" s="480"/>
      <c r="O42" s="77"/>
      <c r="P42" s="77"/>
      <c r="Q42" s="77"/>
      <c r="R42" s="77"/>
      <c r="S42" s="480"/>
      <c r="T42" s="77"/>
    </row>
    <row r="43" spans="1:20" ht="25.5" customHeight="1" thickBot="1">
      <c r="A43" s="6"/>
      <c r="B43" s="988" t="s">
        <v>155</v>
      </c>
      <c r="C43" s="989"/>
      <c r="D43" s="989"/>
      <c r="E43" s="989"/>
      <c r="F43" s="113"/>
      <c r="G43" s="114">
        <f>SUM(J24,O24,T24,J41,O41,T41)</f>
        <v>0</v>
      </c>
      <c r="H43" s="115" t="s">
        <v>12</v>
      </c>
      <c r="I43" s="569"/>
      <c r="J43" s="105"/>
      <c r="K43" s="77"/>
      <c r="L43" s="77"/>
      <c r="M43" s="77"/>
      <c r="N43" s="480"/>
      <c r="O43" s="77"/>
      <c r="P43" s="77"/>
      <c r="Q43" s="77"/>
      <c r="R43" s="77"/>
      <c r="S43" s="480"/>
      <c r="T43" s="77"/>
    </row>
    <row r="44" spans="1:20" ht="25.5" customHeight="1" thickBot="1">
      <c r="A44" s="6"/>
      <c r="B44" s="988" t="s">
        <v>156</v>
      </c>
      <c r="C44" s="989"/>
      <c r="D44" s="989"/>
      <c r="E44" s="989"/>
      <c r="F44" s="113"/>
      <c r="G44" s="114">
        <f>G43+'直接人件費明細書(1)'!G43</f>
        <v>889440</v>
      </c>
      <c r="H44" s="115" t="s">
        <v>12</v>
      </c>
      <c r="I44" s="569"/>
      <c r="J44" s="105"/>
      <c r="K44" s="77"/>
      <c r="L44" s="77"/>
      <c r="M44" s="77"/>
      <c r="N44" s="480"/>
      <c r="O44" s="77"/>
      <c r="P44" s="77"/>
      <c r="Q44" s="77"/>
      <c r="R44" s="77"/>
      <c r="S44" s="480"/>
      <c r="T44" s="77"/>
    </row>
    <row r="45" spans="1:20" ht="13.5">
      <c r="A45" s="6"/>
      <c r="B45" s="106"/>
      <c r="C45" s="106"/>
      <c r="D45" s="106"/>
      <c r="E45" s="106"/>
      <c r="F45" s="31"/>
      <c r="G45" s="31"/>
      <c r="H45" s="32"/>
      <c r="I45" s="570"/>
      <c r="J45" s="32"/>
      <c r="K45" s="6"/>
      <c r="L45" s="6"/>
      <c r="M45" s="6"/>
      <c r="O45" s="6"/>
      <c r="P45" s="6"/>
      <c r="Q45" s="6"/>
      <c r="R45" s="6"/>
      <c r="T45" s="6"/>
    </row>
    <row r="46" ht="13.5">
      <c r="B46" s="100" t="s">
        <v>662</v>
      </c>
    </row>
    <row r="47" spans="2:12" ht="13.5">
      <c r="B47" s="100" t="s">
        <v>744</v>
      </c>
      <c r="L47" s="103"/>
    </row>
    <row r="48" spans="2:12" ht="13.5">
      <c r="B48" s="100" t="s">
        <v>745</v>
      </c>
      <c r="L48" s="103"/>
    </row>
    <row r="49" spans="2:12" ht="13.5">
      <c r="B49" s="184" t="s">
        <v>670</v>
      </c>
      <c r="L49" s="103"/>
    </row>
    <row r="50" spans="2:12" ht="13.5">
      <c r="B50" s="100" t="s">
        <v>666</v>
      </c>
      <c r="L50" s="103"/>
    </row>
    <row r="51" spans="2:21" ht="13.5">
      <c r="B51" s="100" t="s">
        <v>667</v>
      </c>
      <c r="C51" s="5"/>
      <c r="D51" s="5"/>
      <c r="E51" s="5"/>
      <c r="F51" s="5"/>
      <c r="G51" s="5"/>
      <c r="H51" s="5"/>
      <c r="I51" s="571"/>
      <c r="J51" s="5"/>
      <c r="K51" s="104"/>
      <c r="L51" s="5"/>
      <c r="M51" s="5"/>
      <c r="N51" s="571"/>
      <c r="O51" s="5"/>
      <c r="P51" s="5"/>
      <c r="Q51" s="5"/>
      <c r="R51" s="5"/>
      <c r="S51" s="571"/>
      <c r="T51" s="5"/>
      <c r="U51" s="5"/>
    </row>
    <row r="52" spans="2:12" ht="13.5">
      <c r="B52" s="100" t="s">
        <v>668</v>
      </c>
      <c r="L52" s="103"/>
    </row>
  </sheetData>
  <sheetProtection sheet="1" objects="1" scenarios="1"/>
  <mergeCells count="28">
    <mergeCell ref="J27:J29"/>
    <mergeCell ref="N27:N29"/>
    <mergeCell ref="A4:E4"/>
    <mergeCell ref="C5:F5"/>
    <mergeCell ref="B9:E9"/>
    <mergeCell ref="F9:J9"/>
    <mergeCell ref="K9:O9"/>
    <mergeCell ref="B10:E12"/>
    <mergeCell ref="P9:T9"/>
    <mergeCell ref="I10:I12"/>
    <mergeCell ref="I27:I29"/>
    <mergeCell ref="B44:E44"/>
    <mergeCell ref="F26:J26"/>
    <mergeCell ref="K26:O26"/>
    <mergeCell ref="P26:T26"/>
    <mergeCell ref="N10:N12"/>
    <mergeCell ref="S10:S12"/>
    <mergeCell ref="O27:O29"/>
    <mergeCell ref="S27:S29"/>
    <mergeCell ref="B41:E41"/>
    <mergeCell ref="B24:E24"/>
    <mergeCell ref="T27:T29"/>
    <mergeCell ref="B43:E43"/>
    <mergeCell ref="J10:J12"/>
    <mergeCell ref="O10:O12"/>
    <mergeCell ref="T10:T12"/>
    <mergeCell ref="B26:E26"/>
    <mergeCell ref="B27:E29"/>
  </mergeCells>
  <dataValidations count="1">
    <dataValidation allowBlank="1" showInputMessage="1" showErrorMessage="1" imeMode="halfAlpha" sqref="V32 F13:T23 F30:T40"/>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2.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IF('対象者一覧表'!E10="","",'対象者一覧表'!E10)</f>
        <v>設計部</v>
      </c>
      <c r="C6" s="1096"/>
      <c r="D6" s="784" t="str">
        <f>IF('対象者一覧表'!F10="","",'対象者一覧表'!F10)</f>
        <v>チーフ</v>
      </c>
      <c r="G6" s="736"/>
      <c r="H6" s="736"/>
      <c r="I6" s="736"/>
      <c r="K6" s="90"/>
      <c r="L6" s="15" t="s">
        <v>877</v>
      </c>
      <c r="N6" s="93"/>
      <c r="O6" s="93"/>
      <c r="P6" s="93"/>
      <c r="Q6"/>
      <c r="R6"/>
      <c r="S6"/>
      <c r="T6"/>
      <c r="U6"/>
      <c r="V6"/>
      <c r="W6" s="736"/>
      <c r="X6" s="736"/>
    </row>
    <row r="7" spans="1:24" ht="18" customHeight="1">
      <c r="A7" s="786" t="s">
        <v>74</v>
      </c>
      <c r="B7" s="1096" t="str">
        <f>IF('対象者一覧表'!D10="","",'対象者一覧表'!D10)</f>
        <v>山田　美子</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IF('対象者一覧表'!H10="","",'対象者一覧表'!H10)</f>
        <v>27395</v>
      </c>
      <c r="C8" s="1097"/>
      <c r="D8" s="788">
        <f>IF(B8="","",DATEDIF(B8,E13,"Y"))</f>
        <v>39</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881</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882</v>
      </c>
      <c r="H12" s="205"/>
      <c r="I12"/>
      <c r="J12" s="205"/>
      <c r="K12"/>
      <c r="L12" s="205" t="s">
        <v>883</v>
      </c>
      <c r="M12"/>
      <c r="N12" s="205"/>
      <c r="P12" s="205" t="s">
        <v>883</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v>100000</v>
      </c>
      <c r="F14" s="746">
        <v>100000</v>
      </c>
      <c r="G14" s="746">
        <v>100000</v>
      </c>
      <c r="H14" s="746">
        <v>100000</v>
      </c>
      <c r="I14" s="746">
        <v>100000</v>
      </c>
      <c r="J14" s="746">
        <v>100000</v>
      </c>
      <c r="K14" s="746">
        <v>100000</v>
      </c>
      <c r="L14" s="746">
        <v>1555555</v>
      </c>
      <c r="M14" s="746">
        <v>100000</v>
      </c>
      <c r="N14" s="746">
        <v>100000</v>
      </c>
      <c r="O14" s="746">
        <v>100000</v>
      </c>
      <c r="P14" s="746">
        <v>100000</v>
      </c>
      <c r="Q14" s="746">
        <v>100000</v>
      </c>
      <c r="R14" s="746">
        <v>100000</v>
      </c>
      <c r="S14" s="746">
        <v>100000</v>
      </c>
      <c r="T14" s="747">
        <f>SUM(E14:S14)</f>
        <v>2955555</v>
      </c>
      <c r="U14" s="55"/>
      <c r="V14" s="55"/>
      <c r="Z14" s="195"/>
      <c r="AA14" s="195"/>
    </row>
    <row r="15" spans="1:27" ht="17.25" customHeight="1">
      <c r="A15" s="1084" t="s">
        <v>78</v>
      </c>
      <c r="B15" s="1085"/>
      <c r="C15" s="1086"/>
      <c r="D15" s="1087"/>
      <c r="E15" s="201">
        <v>10000</v>
      </c>
      <c r="F15" s="201">
        <v>10000</v>
      </c>
      <c r="G15" s="748"/>
      <c r="H15" s="201">
        <v>10000</v>
      </c>
      <c r="I15" s="201">
        <v>10000</v>
      </c>
      <c r="J15" s="201">
        <v>10000</v>
      </c>
      <c r="K15" s="201">
        <v>10000</v>
      </c>
      <c r="L15" s="201"/>
      <c r="M15" s="201">
        <v>10000</v>
      </c>
      <c r="N15" s="201">
        <v>10000</v>
      </c>
      <c r="O15" s="201">
        <v>10000</v>
      </c>
      <c r="P15" s="201"/>
      <c r="Q15" s="749">
        <v>10000</v>
      </c>
      <c r="R15" s="749">
        <v>10000</v>
      </c>
      <c r="S15" s="749">
        <v>10000</v>
      </c>
      <c r="T15" s="750">
        <f aca="true" t="shared" si="0" ref="T15:T26">SUM(E15:S15)</f>
        <v>120000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110000</v>
      </c>
      <c r="F26" s="754">
        <f t="shared" si="1"/>
        <v>110000</v>
      </c>
      <c r="G26" s="754">
        <f t="shared" si="1"/>
        <v>100000</v>
      </c>
      <c r="H26" s="754">
        <f t="shared" si="1"/>
        <v>110000</v>
      </c>
      <c r="I26" s="754">
        <f t="shared" si="1"/>
        <v>110000</v>
      </c>
      <c r="J26" s="754">
        <f t="shared" si="1"/>
        <v>110000</v>
      </c>
      <c r="K26" s="754">
        <f t="shared" si="1"/>
        <v>110000</v>
      </c>
      <c r="L26" s="755">
        <f t="shared" si="1"/>
        <v>1555555</v>
      </c>
      <c r="M26" s="754">
        <f t="shared" si="1"/>
        <v>110000</v>
      </c>
      <c r="N26" s="754">
        <f t="shared" si="1"/>
        <v>110000</v>
      </c>
      <c r="O26" s="754">
        <f t="shared" si="1"/>
        <v>110000</v>
      </c>
      <c r="P26" s="755">
        <f t="shared" si="1"/>
        <v>100000</v>
      </c>
      <c r="Q26" s="754">
        <f t="shared" si="1"/>
        <v>110000</v>
      </c>
      <c r="R26" s="754">
        <f t="shared" si="1"/>
        <v>110000</v>
      </c>
      <c r="S26" s="754">
        <f t="shared" si="1"/>
        <v>110000</v>
      </c>
      <c r="T26" s="756">
        <f t="shared" si="0"/>
        <v>3075555</v>
      </c>
      <c r="U26" s="55"/>
      <c r="V26" s="55"/>
      <c r="Z26" s="204"/>
      <c r="AA26" s="204"/>
      <c r="AB26" s="7"/>
    </row>
    <row r="27" spans="1:27" ht="17.25" customHeight="1">
      <c r="A27" s="1080" t="s">
        <v>677</v>
      </c>
      <c r="B27" s="1081"/>
      <c r="C27" s="1082" t="s">
        <v>124</v>
      </c>
      <c r="D27" s="1083"/>
      <c r="E27" s="203">
        <v>110000</v>
      </c>
      <c r="F27" s="203">
        <v>110000</v>
      </c>
      <c r="G27" s="202"/>
      <c r="H27" s="203">
        <v>110000</v>
      </c>
      <c r="I27" s="203">
        <v>110000</v>
      </c>
      <c r="J27" s="203">
        <v>110000</v>
      </c>
      <c r="K27" s="203">
        <v>110000</v>
      </c>
      <c r="L27" s="202"/>
      <c r="M27" s="203">
        <v>110000</v>
      </c>
      <c r="N27" s="203">
        <v>110000</v>
      </c>
      <c r="O27" s="203">
        <v>110000</v>
      </c>
      <c r="P27" s="202"/>
      <c r="Q27" s="203">
        <v>110000</v>
      </c>
      <c r="R27" s="203">
        <v>110000</v>
      </c>
      <c r="S27" s="203">
        <v>110000</v>
      </c>
      <c r="T27" s="757"/>
      <c r="U27" s="55"/>
      <c r="V27" s="55"/>
      <c r="Z27" s="198"/>
      <c r="AA27" s="198"/>
    </row>
    <row r="28" spans="1:27" ht="17.25" customHeight="1" thickBot="1">
      <c r="A28" s="1062" t="s">
        <v>676</v>
      </c>
      <c r="B28" s="1063"/>
      <c r="C28" s="1064" t="s">
        <v>124</v>
      </c>
      <c r="D28" s="1065"/>
      <c r="E28" s="200">
        <v>110000</v>
      </c>
      <c r="F28" s="200">
        <v>110000</v>
      </c>
      <c r="G28" s="758"/>
      <c r="H28" s="200">
        <v>110000</v>
      </c>
      <c r="I28" s="200">
        <v>110000</v>
      </c>
      <c r="J28" s="200">
        <v>110000</v>
      </c>
      <c r="K28" s="200">
        <v>110000</v>
      </c>
      <c r="L28" s="758"/>
      <c r="M28" s="200">
        <v>110000</v>
      </c>
      <c r="N28" s="200">
        <v>110000</v>
      </c>
      <c r="O28" s="200">
        <v>110000</v>
      </c>
      <c r="P28" s="758"/>
      <c r="Q28" s="200">
        <v>110000</v>
      </c>
      <c r="R28" s="200">
        <v>110000</v>
      </c>
      <c r="S28" s="200">
        <v>110000</v>
      </c>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49.85</v>
      </c>
      <c r="E32" s="645">
        <f>IF(E$27=0,"",ROUND(E$27*$D32/1000,0))</f>
        <v>5484</v>
      </c>
      <c r="F32" s="645">
        <f>IF(F$27=0,"",ROUND(F$27*$D32/1000,0))</f>
        <v>5484</v>
      </c>
      <c r="G32" s="708">
        <f>IF(G26=0,"",ROUND((ROUNDDOWN(G26,-3)*$D$32/1000),0))</f>
        <v>4985</v>
      </c>
      <c r="H32" s="645">
        <f aca="true" t="shared" si="2" ref="H32:M34">IF(H$27=0,"",ROUND(H$27*$D32/1000,0))</f>
        <v>5484</v>
      </c>
      <c r="I32" s="645">
        <f t="shared" si="2"/>
        <v>5484</v>
      </c>
      <c r="J32" s="645">
        <f t="shared" si="2"/>
        <v>5484</v>
      </c>
      <c r="K32" s="645">
        <f t="shared" si="2"/>
        <v>5484</v>
      </c>
      <c r="L32" s="708">
        <f>IF(L26=0,"",ROUND((ROUNDDOWN(L26,-3)*$D$32/1000),0))</f>
        <v>77517</v>
      </c>
      <c r="M32" s="645">
        <f aca="true" t="shared" si="3" ref="M32:O34">IF(M$27=0,"",ROUND(M$27*$D32/1000,0))</f>
        <v>5484</v>
      </c>
      <c r="N32" s="645">
        <f t="shared" si="3"/>
        <v>5484</v>
      </c>
      <c r="O32" s="645">
        <f t="shared" si="3"/>
        <v>5484</v>
      </c>
      <c r="P32" s="708">
        <f>IF(P26=0,"",ROUND((ROUNDDOWN(P26,-3)*$D$32/1000),0))</f>
        <v>4985</v>
      </c>
      <c r="Q32" s="645">
        <f aca="true" t="shared" si="4" ref="Q32:S33">IF(Q$27=0,"",ROUND(Q$27*$D32/1000,0))</f>
        <v>5484</v>
      </c>
      <c r="R32" s="645">
        <f t="shared" si="4"/>
        <v>5484</v>
      </c>
      <c r="S32" s="645">
        <f t="shared" si="4"/>
        <v>5484</v>
      </c>
      <c r="T32" s="709">
        <f aca="true" t="shared" si="5" ref="T32:T45">SUM(E32:S32)</f>
        <v>153295</v>
      </c>
      <c r="Z32" s="195"/>
      <c r="AA32" s="195"/>
    </row>
    <row r="33" spans="1:27" ht="17.25" customHeight="1" thickBot="1">
      <c r="A33" s="1060" t="s">
        <v>89</v>
      </c>
      <c r="B33" s="1061"/>
      <c r="C33" s="337" t="s">
        <v>90</v>
      </c>
      <c r="D33" s="765">
        <v>0</v>
      </c>
      <c r="E33" s="646">
        <f>IF(E$27=0,"",ROUND(E$27*$D33/1000,0))</f>
        <v>0</v>
      </c>
      <c r="F33" s="646">
        <f>IF(F$27=0,"",ROUND(F$27*$D33/1000,0))</f>
        <v>0</v>
      </c>
      <c r="G33" s="710">
        <f>IF(G$26=0,"",ROUND((ROUNDDOWN(G$26,-3)*$D33/1000),0))</f>
        <v>0</v>
      </c>
      <c r="H33" s="646">
        <f t="shared" si="2"/>
        <v>0</v>
      </c>
      <c r="I33" s="646">
        <f t="shared" si="2"/>
        <v>0</v>
      </c>
      <c r="J33" s="646">
        <f t="shared" si="2"/>
        <v>0</v>
      </c>
      <c r="K33" s="646">
        <f t="shared" si="2"/>
        <v>0</v>
      </c>
      <c r="L33" s="710">
        <f>IF(L$26=0,"",ROUND((ROUNDDOWN(L$26,-3)*$D33/1000),0))</f>
        <v>0</v>
      </c>
      <c r="M33" s="646">
        <f t="shared" si="3"/>
        <v>0</v>
      </c>
      <c r="N33" s="646">
        <f t="shared" si="3"/>
        <v>0</v>
      </c>
      <c r="O33" s="646">
        <f t="shared" si="3"/>
        <v>0</v>
      </c>
      <c r="P33" s="710">
        <f>IF(P$26=0,"",ROUND((ROUNDDOWN(P$26,-3)*$D33/1000),0))</f>
        <v>0</v>
      </c>
      <c r="Q33" s="646">
        <f t="shared" si="4"/>
        <v>0</v>
      </c>
      <c r="R33" s="646">
        <f t="shared" si="4"/>
        <v>0</v>
      </c>
      <c r="S33" s="646">
        <f t="shared" si="4"/>
        <v>0</v>
      </c>
      <c r="T33" s="711">
        <f t="shared" si="5"/>
        <v>0</v>
      </c>
      <c r="Z33" s="195"/>
      <c r="AA33" s="195"/>
    </row>
    <row r="34" spans="1:27" s="191" customFormat="1" ht="17.25" customHeight="1" thickBot="1">
      <c r="A34" s="1060" t="s">
        <v>151</v>
      </c>
      <c r="B34" s="1061"/>
      <c r="C34" s="337" t="s">
        <v>90</v>
      </c>
      <c r="D34" s="765">
        <v>8.6</v>
      </c>
      <c r="E34" s="809">
        <v>0</v>
      </c>
      <c r="F34" s="809">
        <v>0</v>
      </c>
      <c r="G34" s="809">
        <v>0</v>
      </c>
      <c r="H34" s="809">
        <v>0</v>
      </c>
      <c r="I34" s="809">
        <v>0</v>
      </c>
      <c r="J34" s="809">
        <v>0</v>
      </c>
      <c r="K34" s="808">
        <f t="shared" si="2"/>
        <v>946</v>
      </c>
      <c r="L34" s="808">
        <f>IF(L$26=0,"",ROUND((ROUNDDOWN(L$26,-3)*$D34/1000),0))</f>
        <v>13373</v>
      </c>
      <c r="M34" s="808">
        <f t="shared" si="2"/>
        <v>946</v>
      </c>
      <c r="N34" s="647">
        <f t="shared" si="3"/>
        <v>946</v>
      </c>
      <c r="O34" s="647">
        <f t="shared" si="3"/>
        <v>946</v>
      </c>
      <c r="P34" s="710">
        <f>IF(P$26=0,"",ROUND((ROUNDDOWN(P$26,-3)*$D34/1000),0))</f>
        <v>860</v>
      </c>
      <c r="Q34" s="712" t="s">
        <v>871</v>
      </c>
      <c r="R34" s="713" t="s">
        <v>885</v>
      </c>
      <c r="S34" s="713" t="s">
        <v>885</v>
      </c>
      <c r="T34" s="714">
        <f>SUM(E34:S34)</f>
        <v>18017</v>
      </c>
      <c r="Z34" s="193"/>
      <c r="AA34" s="193"/>
    </row>
    <row r="35" spans="1:27" s="191" customFormat="1" ht="17.25" customHeight="1" thickBot="1">
      <c r="A35" s="1050" t="s">
        <v>729</v>
      </c>
      <c r="B35" s="1051"/>
      <c r="C35" s="337" t="s">
        <v>90</v>
      </c>
      <c r="D35" s="765">
        <v>7.9</v>
      </c>
      <c r="E35" s="715" t="s">
        <v>885</v>
      </c>
      <c r="F35" s="715" t="s">
        <v>871</v>
      </c>
      <c r="G35" s="716" t="s">
        <v>885</v>
      </c>
      <c r="H35" s="715" t="s">
        <v>885</v>
      </c>
      <c r="I35" s="713" t="s">
        <v>885</v>
      </c>
      <c r="J35" s="712" t="s">
        <v>821</v>
      </c>
      <c r="K35" s="713" t="s">
        <v>871</v>
      </c>
      <c r="L35" s="713" t="s">
        <v>821</v>
      </c>
      <c r="M35" s="713" t="s">
        <v>871</v>
      </c>
      <c r="N35" s="713" t="s">
        <v>871</v>
      </c>
      <c r="O35" s="717" t="s">
        <v>871</v>
      </c>
      <c r="P35" s="713" t="s">
        <v>885</v>
      </c>
      <c r="Q35" s="718">
        <f>IF(Q$27=0,"",ROUND(Q$27*$D35/1000,0))</f>
        <v>869</v>
      </c>
      <c r="R35" s="718">
        <f>IF(R$27=0,"",ROUND(R$27*$D35/1000,0))</f>
        <v>869</v>
      </c>
      <c r="S35" s="718">
        <f>IF(S$27=0,"",ROUND(S$27*$D35/1000,0))</f>
        <v>869</v>
      </c>
      <c r="T35" s="711">
        <f t="shared" si="5"/>
        <v>2607</v>
      </c>
      <c r="Z35" s="193"/>
      <c r="AA35" s="193"/>
    </row>
    <row r="36" spans="1:27" s="191" customFormat="1" ht="17.25" customHeight="1" thickBot="1">
      <c r="A36" s="1058" t="s">
        <v>663</v>
      </c>
      <c r="B36" s="1059"/>
      <c r="C36" s="338" t="s">
        <v>90</v>
      </c>
      <c r="D36" s="766">
        <v>85.6</v>
      </c>
      <c r="E36" s="202">
        <f>IF(E$28=0,"",ROUND(E$28*$D36/1000,0))</f>
        <v>9416</v>
      </c>
      <c r="F36" s="202">
        <f>IF(F$28=0,"",ROUND(F$28*$D36/1000,0))</f>
        <v>9416</v>
      </c>
      <c r="G36" s="719">
        <f>IF(G26=0,"",ROUND((IF(ROUNDDOWN(G26,-3)&gt;1500000,1500000,ROUNDDOWN(G26,-3))*$D$36/1000),0))</f>
        <v>8560</v>
      </c>
      <c r="H36" s="715" t="s">
        <v>821</v>
      </c>
      <c r="I36" s="713" t="s">
        <v>885</v>
      </c>
      <c r="J36" s="712" t="s">
        <v>885</v>
      </c>
      <c r="K36" s="713" t="s">
        <v>821</v>
      </c>
      <c r="L36" s="713" t="s">
        <v>885</v>
      </c>
      <c r="M36" s="713" t="s">
        <v>821</v>
      </c>
      <c r="N36" s="713" t="s">
        <v>871</v>
      </c>
      <c r="O36" s="717" t="s">
        <v>885</v>
      </c>
      <c r="P36" s="713" t="s">
        <v>821</v>
      </c>
      <c r="Q36" s="712" t="s">
        <v>821</v>
      </c>
      <c r="R36" s="713" t="s">
        <v>871</v>
      </c>
      <c r="S36" s="713" t="s">
        <v>871</v>
      </c>
      <c r="T36" s="711">
        <f t="shared" si="5"/>
        <v>27392</v>
      </c>
      <c r="Z36" s="193"/>
      <c r="AA36" s="193"/>
    </row>
    <row r="37" spans="1:27" s="191" customFormat="1" ht="17.25" customHeight="1" thickBot="1">
      <c r="A37" s="1058" t="s">
        <v>664</v>
      </c>
      <c r="B37" s="1059"/>
      <c r="C37" s="338" t="s">
        <v>90</v>
      </c>
      <c r="D37" s="766">
        <v>87.37</v>
      </c>
      <c r="E37" s="713" t="s">
        <v>871</v>
      </c>
      <c r="F37" s="713" t="s">
        <v>885</v>
      </c>
      <c r="G37" s="717" t="s">
        <v>871</v>
      </c>
      <c r="H37" s="710">
        <f aca="true" t="shared" si="6" ref="H37:K40">IF(H$28=0,"",ROUND(H$28*$D37/1000,0))</f>
        <v>9611</v>
      </c>
      <c r="I37" s="710">
        <f t="shared" si="6"/>
        <v>9611</v>
      </c>
      <c r="J37" s="710">
        <f t="shared" si="6"/>
        <v>9611</v>
      </c>
      <c r="K37" s="710">
        <f t="shared" si="6"/>
        <v>9611</v>
      </c>
      <c r="L37" s="647">
        <f>IF(L26=0,"",ROUND((IF(ROUNDDOWN(L26,-3)&gt;1500000,1500000,ROUNDDOWN(L26,-3))*$D$37/1000),0))</f>
        <v>131055</v>
      </c>
      <c r="M37" s="710">
        <f aca="true" t="shared" si="7" ref="M37:O40">IF(M$28=0,"",ROUND(M$28*$D37/1000,0))</f>
        <v>9611</v>
      </c>
      <c r="N37" s="710">
        <f t="shared" si="7"/>
        <v>9611</v>
      </c>
      <c r="O37" s="710">
        <f t="shared" si="7"/>
        <v>9611</v>
      </c>
      <c r="P37" s="647">
        <f>IF(P26=0,"",ROUND((IF(ROUNDDOWN(P26,-3)&gt;1500000,1500000,ROUNDDOWN(P26,-3))*$D$37/1000),0))</f>
        <v>8737</v>
      </c>
      <c r="Q37" s="646">
        <f aca="true" t="shared" si="8" ref="Q37:S40">IF(Q$28=0,"",ROUND(Q$28*$D37/1000,0))</f>
        <v>9611</v>
      </c>
      <c r="R37" s="646">
        <f t="shared" si="8"/>
        <v>9611</v>
      </c>
      <c r="S37" s="646">
        <f t="shared" si="8"/>
        <v>9611</v>
      </c>
      <c r="T37" s="711">
        <f t="shared" si="5"/>
        <v>235902</v>
      </c>
      <c r="Z37" s="193"/>
      <c r="AA37" s="193"/>
    </row>
    <row r="38" spans="1:27" s="191" customFormat="1" ht="17.25" customHeight="1" thickBot="1">
      <c r="A38" s="1050" t="s">
        <v>728</v>
      </c>
      <c r="B38" s="1051"/>
      <c r="C38" s="338" t="s">
        <v>90</v>
      </c>
      <c r="D38" s="765">
        <v>1.5</v>
      </c>
      <c r="E38" s="647">
        <f aca="true" t="shared" si="9" ref="E38:F40">IF(E$28=0,"",ROUND(E$28*$D38/1000,0))</f>
        <v>165</v>
      </c>
      <c r="F38" s="647">
        <f t="shared" si="9"/>
        <v>165</v>
      </c>
      <c r="G38" s="719">
        <f>IF(G26=0,"",ROUND((IF(ROUNDDOWN(G26,-3)&gt;1500000,1500000,ROUNDDOWN(G26,-3))*$D$38/1000),0))</f>
        <v>150</v>
      </c>
      <c r="H38" s="647">
        <f t="shared" si="6"/>
        <v>165</v>
      </c>
      <c r="I38" s="647">
        <f t="shared" si="6"/>
        <v>165</v>
      </c>
      <c r="J38" s="647">
        <f t="shared" si="6"/>
        <v>165</v>
      </c>
      <c r="K38" s="647">
        <f t="shared" si="6"/>
        <v>165</v>
      </c>
      <c r="L38" s="647">
        <f>IF(L26=0,"",ROUND((IF(ROUNDDOWN(L26,-3)&gt;1500000,1500000,ROUNDDOWN(L26,-3))*$D$38/1000),0))</f>
        <v>2250</v>
      </c>
      <c r="M38" s="647">
        <f t="shared" si="7"/>
        <v>165</v>
      </c>
      <c r="N38" s="647">
        <f t="shared" si="7"/>
        <v>165</v>
      </c>
      <c r="O38" s="647">
        <f t="shared" si="7"/>
        <v>165</v>
      </c>
      <c r="P38" s="647">
        <f>IF(P$26=0,"",ROUND((IF(ROUNDDOWN(P$26,-3)&gt;1500000,1500000,ROUNDDOWN(P$26,-3))*$D38/1000),0))</f>
        <v>150</v>
      </c>
      <c r="Q38" s="647">
        <f t="shared" si="8"/>
        <v>165</v>
      </c>
      <c r="R38" s="647">
        <f t="shared" si="8"/>
        <v>165</v>
      </c>
      <c r="S38" s="647">
        <f t="shared" si="8"/>
        <v>165</v>
      </c>
      <c r="T38" s="711">
        <f t="shared" si="5"/>
        <v>4530</v>
      </c>
      <c r="Z38" s="193"/>
      <c r="AA38" s="193"/>
    </row>
    <row r="39" spans="1:27" s="191" customFormat="1" ht="17.25" customHeight="1" thickBot="1">
      <c r="A39" s="1058" t="s">
        <v>648</v>
      </c>
      <c r="B39" s="1059"/>
      <c r="C39" s="194" t="s">
        <v>90</v>
      </c>
      <c r="D39" s="765">
        <v>0</v>
      </c>
      <c r="E39" s="647">
        <f t="shared" si="9"/>
        <v>0</v>
      </c>
      <c r="F39" s="647">
        <f t="shared" si="9"/>
        <v>0</v>
      </c>
      <c r="G39" s="716" t="s">
        <v>871</v>
      </c>
      <c r="H39" s="647">
        <f t="shared" si="6"/>
        <v>0</v>
      </c>
      <c r="I39" s="647">
        <f t="shared" si="6"/>
        <v>0</v>
      </c>
      <c r="J39" s="647">
        <f t="shared" si="6"/>
        <v>0</v>
      </c>
      <c r="K39" s="647">
        <f t="shared" si="6"/>
        <v>0</v>
      </c>
      <c r="L39" s="715" t="s">
        <v>821</v>
      </c>
      <c r="M39" s="647">
        <f t="shared" si="7"/>
        <v>0</v>
      </c>
      <c r="N39" s="647">
        <f t="shared" si="7"/>
        <v>0</v>
      </c>
      <c r="O39" s="647">
        <f t="shared" si="7"/>
        <v>0</v>
      </c>
      <c r="P39" s="715" t="s">
        <v>885</v>
      </c>
      <c r="Q39" s="647">
        <f t="shared" si="8"/>
        <v>0</v>
      </c>
      <c r="R39" s="647">
        <f t="shared" si="8"/>
        <v>0</v>
      </c>
      <c r="S39" s="647">
        <f t="shared" si="8"/>
        <v>0</v>
      </c>
      <c r="T39" s="711">
        <f t="shared" si="5"/>
        <v>0</v>
      </c>
      <c r="Z39" s="193"/>
      <c r="AA39" s="193"/>
    </row>
    <row r="40" spans="1:27" s="191" customFormat="1" ht="17.25" customHeight="1" thickBot="1">
      <c r="A40" s="1058" t="s">
        <v>648</v>
      </c>
      <c r="B40" s="1059"/>
      <c r="C40" s="194" t="s">
        <v>90</v>
      </c>
      <c r="D40" s="765">
        <v>0</v>
      </c>
      <c r="E40" s="647">
        <f t="shared" si="9"/>
        <v>0</v>
      </c>
      <c r="F40" s="647">
        <f t="shared" si="9"/>
        <v>0</v>
      </c>
      <c r="G40" s="716" t="s">
        <v>821</v>
      </c>
      <c r="H40" s="647">
        <f t="shared" si="6"/>
        <v>0</v>
      </c>
      <c r="I40" s="647">
        <f t="shared" si="6"/>
        <v>0</v>
      </c>
      <c r="J40" s="647">
        <f t="shared" si="6"/>
        <v>0</v>
      </c>
      <c r="K40" s="647">
        <f t="shared" si="6"/>
        <v>0</v>
      </c>
      <c r="L40" s="715" t="s">
        <v>885</v>
      </c>
      <c r="M40" s="647">
        <f t="shared" si="7"/>
        <v>0</v>
      </c>
      <c r="N40" s="647">
        <f t="shared" si="7"/>
        <v>0</v>
      </c>
      <c r="O40" s="647">
        <f t="shared" si="7"/>
        <v>0</v>
      </c>
      <c r="P40" s="715" t="s">
        <v>885</v>
      </c>
      <c r="Q40" s="647">
        <f t="shared" si="8"/>
        <v>0</v>
      </c>
      <c r="R40" s="647">
        <f t="shared" si="8"/>
        <v>0</v>
      </c>
      <c r="S40" s="647">
        <f t="shared" si="8"/>
        <v>0</v>
      </c>
      <c r="T40" s="711">
        <f t="shared" si="5"/>
        <v>0</v>
      </c>
      <c r="Z40" s="193"/>
      <c r="AA40" s="193"/>
    </row>
    <row r="41" spans="1:27" s="191" customFormat="1" ht="17.25" customHeight="1" thickBot="1">
      <c r="A41" s="1058" t="s">
        <v>647</v>
      </c>
      <c r="B41" s="1059"/>
      <c r="C41" s="194" t="s">
        <v>90</v>
      </c>
      <c r="D41" s="765">
        <v>0</v>
      </c>
      <c r="E41" s="715" t="s">
        <v>885</v>
      </c>
      <c r="F41" s="715" t="s">
        <v>871</v>
      </c>
      <c r="G41" s="719">
        <f>IF(G$26=0,"",ROUND((IF(ROUNDDOWN(G$26,-3)&gt;1500000,1500000,ROUNDDOWN(G$26,-3))*$D41/1000),0))</f>
        <v>0</v>
      </c>
      <c r="H41" s="715" t="s">
        <v>821</v>
      </c>
      <c r="I41" s="715" t="s">
        <v>871</v>
      </c>
      <c r="J41" s="720" t="s">
        <v>885</v>
      </c>
      <c r="K41" s="715" t="s">
        <v>871</v>
      </c>
      <c r="L41" s="719">
        <f>IF(L$26=0,"",ROUND((IF(ROUNDDOWN(L$26,-3)&gt;1500000,1500000,ROUNDDOWN(L$26,-3))*$D41/1000),0))</f>
        <v>0</v>
      </c>
      <c r="M41" s="715" t="s">
        <v>871</v>
      </c>
      <c r="N41" s="715" t="s">
        <v>885</v>
      </c>
      <c r="O41" s="716" t="s">
        <v>821</v>
      </c>
      <c r="P41" s="647">
        <f>IF(P$26=0,"",ROUND((IF(ROUNDDOWN(P$26,-3)&gt;1500000,1500000,ROUNDDOWN(P$26,-3))*$D41/1000),0))</f>
        <v>0</v>
      </c>
      <c r="Q41" s="721" t="s">
        <v>871</v>
      </c>
      <c r="R41" s="722" t="s">
        <v>885</v>
      </c>
      <c r="S41" s="722" t="s">
        <v>885</v>
      </c>
      <c r="T41" s="711">
        <f t="shared" si="5"/>
        <v>0</v>
      </c>
      <c r="Z41" s="193"/>
      <c r="AA41" s="193"/>
    </row>
    <row r="42" spans="1:27" s="191" customFormat="1" ht="17.25" customHeight="1" thickBot="1">
      <c r="A42" s="1058" t="s">
        <v>647</v>
      </c>
      <c r="B42" s="1059"/>
      <c r="C42" s="194" t="s">
        <v>90</v>
      </c>
      <c r="D42" s="765">
        <v>0</v>
      </c>
      <c r="E42" s="715" t="s">
        <v>871</v>
      </c>
      <c r="F42" s="715" t="s">
        <v>871</v>
      </c>
      <c r="G42" s="719">
        <f>IF(G$26=0,"",ROUND((IF(ROUNDDOWN(G$26,-3)&gt;1500000,1500000,ROUNDDOWN(G$26,-3))*$D42/1000),0))</f>
        <v>0</v>
      </c>
      <c r="H42" s="715" t="s">
        <v>885</v>
      </c>
      <c r="I42" s="715" t="s">
        <v>871</v>
      </c>
      <c r="J42" s="720" t="s">
        <v>885</v>
      </c>
      <c r="K42" s="715" t="s">
        <v>885</v>
      </c>
      <c r="L42" s="719">
        <f>IF(L$26=0,"",ROUND((IF(ROUNDDOWN(L$26,-3)&gt;1500000,1500000,ROUNDDOWN(L$26,-3))*$D42/1000),0))</f>
        <v>0</v>
      </c>
      <c r="M42" s="715" t="s">
        <v>885</v>
      </c>
      <c r="N42" s="715" t="s">
        <v>885</v>
      </c>
      <c r="O42" s="716" t="s">
        <v>871</v>
      </c>
      <c r="P42" s="647">
        <f>IF(P$26=0,"",ROUND((IF(ROUNDDOWN(P$26,-3)&gt;1500000,1500000,ROUNDDOWN(P$26,-3))*$D42/1000),0))</f>
        <v>0</v>
      </c>
      <c r="Q42" s="721" t="s">
        <v>885</v>
      </c>
      <c r="R42" s="722" t="s">
        <v>885</v>
      </c>
      <c r="S42" s="722" t="s">
        <v>885</v>
      </c>
      <c r="T42" s="711">
        <f t="shared" si="5"/>
        <v>0</v>
      </c>
      <c r="Z42" s="193"/>
      <c r="AA42" s="193"/>
    </row>
    <row r="43" spans="1:27" s="191" customFormat="1" ht="17.25" customHeight="1" thickBot="1">
      <c r="A43" s="1050" t="s">
        <v>91</v>
      </c>
      <c r="B43" s="1051"/>
      <c r="C43" s="336" t="s">
        <v>90</v>
      </c>
      <c r="D43" s="765">
        <v>8.5</v>
      </c>
      <c r="E43" s="647">
        <f aca="true" t="shared" si="10" ref="E43:S43">IF(E$26=0,"",ROUND(E$26*$D43/1000,0))</f>
        <v>935</v>
      </c>
      <c r="F43" s="647">
        <f t="shared" si="10"/>
        <v>935</v>
      </c>
      <c r="G43" s="719">
        <f t="shared" si="10"/>
        <v>850</v>
      </c>
      <c r="H43" s="647">
        <f t="shared" si="10"/>
        <v>935</v>
      </c>
      <c r="I43" s="647">
        <f t="shared" si="10"/>
        <v>935</v>
      </c>
      <c r="J43" s="647">
        <f t="shared" si="10"/>
        <v>935</v>
      </c>
      <c r="K43" s="647">
        <f t="shared" si="10"/>
        <v>935</v>
      </c>
      <c r="L43" s="647">
        <f t="shared" si="10"/>
        <v>13222</v>
      </c>
      <c r="M43" s="647">
        <f t="shared" si="10"/>
        <v>935</v>
      </c>
      <c r="N43" s="647">
        <f t="shared" si="10"/>
        <v>935</v>
      </c>
      <c r="O43" s="719">
        <f t="shared" si="10"/>
        <v>935</v>
      </c>
      <c r="P43" s="647">
        <f t="shared" si="10"/>
        <v>850</v>
      </c>
      <c r="Q43" s="718">
        <f t="shared" si="10"/>
        <v>935</v>
      </c>
      <c r="R43" s="647">
        <f t="shared" si="10"/>
        <v>935</v>
      </c>
      <c r="S43" s="647">
        <f t="shared" si="10"/>
        <v>935</v>
      </c>
      <c r="T43" s="711">
        <f t="shared" si="5"/>
        <v>26142</v>
      </c>
      <c r="Z43" s="193"/>
      <c r="AA43" s="193"/>
    </row>
    <row r="44" spans="1:27" s="191" customFormat="1" ht="17.25" customHeight="1" thickBot="1">
      <c r="A44" s="1050" t="s">
        <v>92</v>
      </c>
      <c r="B44" s="1051"/>
      <c r="C44" s="336" t="s">
        <v>90</v>
      </c>
      <c r="D44" s="765">
        <v>5</v>
      </c>
      <c r="E44" s="647">
        <f aca="true" t="shared" si="11" ref="E44:S45">IF(E$26=0,"",ROUNDDOWN(E$26*$D44/1000,0))</f>
        <v>550</v>
      </c>
      <c r="F44" s="647">
        <f t="shared" si="11"/>
        <v>550</v>
      </c>
      <c r="G44" s="719">
        <f t="shared" si="11"/>
        <v>500</v>
      </c>
      <c r="H44" s="647">
        <f t="shared" si="11"/>
        <v>550</v>
      </c>
      <c r="I44" s="647">
        <f t="shared" si="11"/>
        <v>550</v>
      </c>
      <c r="J44" s="647">
        <f t="shared" si="11"/>
        <v>550</v>
      </c>
      <c r="K44" s="647">
        <f t="shared" si="11"/>
        <v>550</v>
      </c>
      <c r="L44" s="647">
        <f t="shared" si="11"/>
        <v>7777</v>
      </c>
      <c r="M44" s="647">
        <f t="shared" si="11"/>
        <v>550</v>
      </c>
      <c r="N44" s="647">
        <f t="shared" si="11"/>
        <v>550</v>
      </c>
      <c r="O44" s="719">
        <f t="shared" si="11"/>
        <v>550</v>
      </c>
      <c r="P44" s="647">
        <f t="shared" si="11"/>
        <v>500</v>
      </c>
      <c r="Q44" s="718">
        <f t="shared" si="11"/>
        <v>550</v>
      </c>
      <c r="R44" s="647">
        <f t="shared" si="11"/>
        <v>550</v>
      </c>
      <c r="S44" s="647">
        <f t="shared" si="11"/>
        <v>550</v>
      </c>
      <c r="T44" s="711">
        <f t="shared" si="5"/>
        <v>15377</v>
      </c>
      <c r="Z44" s="193"/>
      <c r="AA44" s="193"/>
    </row>
    <row r="45" spans="1:27" s="191" customFormat="1" ht="17.25" customHeight="1" thickBot="1">
      <c r="A45" s="1050" t="s">
        <v>92</v>
      </c>
      <c r="B45" s="1051"/>
      <c r="C45" s="336" t="s">
        <v>90</v>
      </c>
      <c r="D45" s="765">
        <v>0</v>
      </c>
      <c r="E45" s="647">
        <f t="shared" si="11"/>
        <v>0</v>
      </c>
      <c r="F45" s="647">
        <f t="shared" si="11"/>
        <v>0</v>
      </c>
      <c r="G45" s="719">
        <f t="shared" si="11"/>
        <v>0</v>
      </c>
      <c r="H45" s="647">
        <f t="shared" si="11"/>
        <v>0</v>
      </c>
      <c r="I45" s="647">
        <f t="shared" si="11"/>
        <v>0</v>
      </c>
      <c r="J45" s="647">
        <f t="shared" si="11"/>
        <v>0</v>
      </c>
      <c r="K45" s="647">
        <f t="shared" si="11"/>
        <v>0</v>
      </c>
      <c r="L45" s="647">
        <f t="shared" si="11"/>
        <v>0</v>
      </c>
      <c r="M45" s="647">
        <f t="shared" si="11"/>
        <v>0</v>
      </c>
      <c r="N45" s="647">
        <f t="shared" si="11"/>
        <v>0</v>
      </c>
      <c r="O45" s="647">
        <f t="shared" si="11"/>
        <v>0</v>
      </c>
      <c r="P45" s="647">
        <f t="shared" si="11"/>
        <v>0</v>
      </c>
      <c r="Q45" s="718">
        <f t="shared" si="11"/>
        <v>0</v>
      </c>
      <c r="R45" s="647">
        <f t="shared" si="11"/>
        <v>0</v>
      </c>
      <c r="S45" s="723">
        <f t="shared" si="11"/>
        <v>0</v>
      </c>
      <c r="T45" s="724">
        <f t="shared" si="5"/>
        <v>0</v>
      </c>
      <c r="Z45" s="193"/>
      <c r="AA45" s="193"/>
    </row>
    <row r="46" spans="1:28" s="191" customFormat="1" ht="17.25" customHeight="1" thickBot="1">
      <c r="A46" s="1052" t="s">
        <v>93</v>
      </c>
      <c r="B46" s="1053"/>
      <c r="C46" s="701"/>
      <c r="D46" s="767"/>
      <c r="E46" s="768">
        <f aca="true" t="shared" si="12" ref="E46:T46">SUM(E32:E45)</f>
        <v>16550</v>
      </c>
      <c r="F46" s="768">
        <f t="shared" si="12"/>
        <v>16550</v>
      </c>
      <c r="G46" s="768">
        <f t="shared" si="12"/>
        <v>15045</v>
      </c>
      <c r="H46" s="769">
        <f t="shared" si="12"/>
        <v>16745</v>
      </c>
      <c r="I46" s="768">
        <f t="shared" si="12"/>
        <v>16745</v>
      </c>
      <c r="J46" s="768">
        <f t="shared" si="12"/>
        <v>16745</v>
      </c>
      <c r="K46" s="770">
        <f t="shared" si="12"/>
        <v>17691</v>
      </c>
      <c r="L46" s="768">
        <f t="shared" si="12"/>
        <v>245194</v>
      </c>
      <c r="M46" s="768">
        <f t="shared" si="12"/>
        <v>17691</v>
      </c>
      <c r="N46" s="768">
        <f t="shared" si="12"/>
        <v>17691</v>
      </c>
      <c r="O46" s="768">
        <f t="shared" si="12"/>
        <v>17691</v>
      </c>
      <c r="P46" s="769">
        <f t="shared" si="12"/>
        <v>16082</v>
      </c>
      <c r="Q46" s="768">
        <f t="shared" si="12"/>
        <v>17614</v>
      </c>
      <c r="R46" s="770">
        <f t="shared" si="12"/>
        <v>17614</v>
      </c>
      <c r="S46" s="768">
        <f t="shared" si="12"/>
        <v>17614</v>
      </c>
      <c r="T46" s="771">
        <f t="shared" si="12"/>
        <v>483262</v>
      </c>
      <c r="U46" s="772"/>
      <c r="W46" s="773"/>
      <c r="Y46" s="644"/>
      <c r="Z46" s="193"/>
      <c r="AA46" s="193"/>
      <c r="AB46" s="192"/>
    </row>
    <row r="47" spans="1:28" s="334" customFormat="1" ht="15" customHeight="1">
      <c r="A47" s="7" t="s">
        <v>878</v>
      </c>
      <c r="B47" s="330"/>
      <c r="C47" s="331"/>
      <c r="D47" s="331"/>
      <c r="E47" s="335"/>
      <c r="F47" s="332"/>
      <c r="G47" s="332"/>
      <c r="H47" s="332"/>
      <c r="I47" s="341"/>
      <c r="J47" s="341"/>
      <c r="K47" s="341"/>
      <c r="L47" s="341"/>
      <c r="M47" s="341"/>
      <c r="N47" s="341"/>
      <c r="O47" s="341"/>
      <c r="P47" s="332"/>
      <c r="Q47" s="1054" t="str">
        <f>IF(OR($G$26&gt;=1501000,$L$26&gt;=1501000,$P$26&gt;=150100,$L$26&gt;=1501000,$P$26&gt;=1501000),"標準賞与上限：月間150万円超のため150万円で計算","")</f>
        <v>標準賞与上限：月間150万円超のため150万円で計算</v>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02"/>
      <c r="Q49" s="1057" t="s">
        <v>95</v>
      </c>
      <c r="R49" s="1057"/>
      <c r="S49"/>
      <c r="T49"/>
    </row>
    <row r="50" spans="1:20" ht="29.25" customHeight="1" thickBot="1">
      <c r="A50" s="7"/>
      <c r="C50" s="21"/>
      <c r="D50" s="132"/>
      <c r="E50" s="132"/>
      <c r="F50" s="132"/>
      <c r="G50" s="132"/>
      <c r="H50" s="132"/>
      <c r="I50" s="132"/>
      <c r="J50" s="132"/>
      <c r="K50" s="21"/>
      <c r="L50" s="21"/>
      <c r="M50" s="702"/>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3075555</v>
      </c>
      <c r="H52" s="1045"/>
      <c r="I52" s="776" t="s">
        <v>886</v>
      </c>
      <c r="J52" s="1046">
        <f>T46</f>
        <v>483262</v>
      </c>
      <c r="K52" s="1047"/>
      <c r="L52" s="777" t="s">
        <v>674</v>
      </c>
      <c r="M52" s="92" t="s">
        <v>887</v>
      </c>
      <c r="N52" s="1040">
        <f>Q50</f>
        <v>1920</v>
      </c>
      <c r="O52" s="1041"/>
      <c r="P52" s="92" t="s">
        <v>888</v>
      </c>
      <c r="Q52" s="1048">
        <f>(ROUNDDOWN((G52+J52)/N52,0))</f>
        <v>1853</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1853</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03"/>
      <c r="N59" s="1039" t="str">
        <f>"部署・役職名　：　"&amp;'基本情報入力（使い方）'!C33</f>
        <v>部署・役職名　：　総務部長　経済計子</v>
      </c>
      <c r="O59" s="1039"/>
      <c r="P59" s="1039"/>
      <c r="Q59" s="1039"/>
      <c r="R59" s="1039"/>
      <c r="S59" s="187" t="s">
        <v>880</v>
      </c>
      <c r="T59" s="187"/>
      <c r="U59" s="339"/>
      <c r="V59" s="339"/>
      <c r="Y59"/>
      <c r="Z59"/>
      <c r="AA59"/>
      <c r="AB59"/>
      <c r="AC59"/>
      <c r="AD59"/>
    </row>
    <row r="60" spans="25:30" ht="15" customHeight="1">
      <c r="Y60"/>
      <c r="Z60"/>
      <c r="AA60"/>
      <c r="AB60"/>
      <c r="AC60"/>
      <c r="AD60"/>
    </row>
    <row r="66" ht="13.5">
      <c r="Q66" s="3" t="s">
        <v>889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OR('賃金台帳(1)'!#REF!&gt;=1501000,$G$26&gt;=1501000,$L$26&gt;=1501000,$P$26&gt;=1501000,'賃金台帳(1)'!#REF!&gt;=1501000)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IF('対象者一覧表'!E11="","",'対象者一覧表'!E11)</f>
        <v>設計部</v>
      </c>
      <c r="C6" s="1096"/>
      <c r="D6" s="784">
        <f>IF('対象者一覧表'!F11="","",'対象者一覧表'!F11)</f>
      </c>
      <c r="G6" s="736"/>
      <c r="H6" s="736"/>
      <c r="I6" s="736"/>
      <c r="K6" s="90"/>
      <c r="L6" s="15" t="s">
        <v>877</v>
      </c>
      <c r="N6" s="93"/>
      <c r="O6" s="93"/>
      <c r="P6" s="93"/>
      <c r="Q6"/>
      <c r="R6"/>
      <c r="S6"/>
      <c r="T6"/>
      <c r="U6"/>
      <c r="V6"/>
      <c r="W6" s="736"/>
      <c r="X6" s="736"/>
    </row>
    <row r="7" spans="1:24" ht="18" customHeight="1">
      <c r="A7" s="786" t="s">
        <v>74</v>
      </c>
      <c r="B7" s="1096" t="str">
        <f>IF('対象者一覧表'!D11="","",'対象者一覧表'!D11)</f>
        <v>田中　丑男</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IF('対象者一覧表'!H11="","",'対象者一覧表'!H11)</f>
        <v>26865</v>
      </c>
      <c r="C8" s="1097"/>
      <c r="D8" s="788">
        <f>IF(B8="","",DATEDIF(B8,E13,"Y"))</f>
        <v>41</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OR('賃金台帳(2)'!#REF!&gt;=1501000,$G$26&gt;=1501000,$L$26&gt;=1501000,$P$26&gt;=1501000,'賃金台帳(2)'!#REF!&gt;=1501000)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IF('対象者一覧表'!E12="","",'対象者一覧表'!E12)</f>
        <v>設計部</v>
      </c>
      <c r="C6" s="1096"/>
      <c r="D6" s="784" t="str">
        <f>IF('対象者一覧表'!F12="","",'対象者一覧表'!F12)</f>
        <v>部長</v>
      </c>
      <c r="G6" s="736"/>
      <c r="H6" s="736"/>
      <c r="I6" s="736"/>
      <c r="K6" s="90"/>
      <c r="L6" s="15" t="s">
        <v>877</v>
      </c>
      <c r="N6" s="93"/>
      <c r="O6" s="93"/>
      <c r="P6" s="93"/>
      <c r="Q6"/>
      <c r="R6"/>
      <c r="S6"/>
      <c r="T6"/>
      <c r="U6"/>
      <c r="V6"/>
      <c r="W6" s="736"/>
      <c r="X6" s="736"/>
    </row>
    <row r="7" spans="1:24" ht="18" customHeight="1">
      <c r="A7" s="786" t="s">
        <v>74</v>
      </c>
      <c r="B7" s="1096" t="str">
        <f>IF('対象者一覧表'!D12="","",'対象者一覧表'!D12)</f>
        <v>加藤　寅乃介</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IF('対象者一覧表'!H12="","",'対象者一覧表'!H12)</f>
        <v>22148</v>
      </c>
      <c r="C8" s="1097"/>
      <c r="D8" s="788">
        <f>IF(B8="","",DATEDIF(B8,E13,"Y"))</f>
        <v>53</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OR('賃金台帳(3)'!#REF!&gt;=1501000,$G$26&gt;=1501000,$L$26&gt;=1501000,$P$26&gt;=1501000,'賃金台帳(3)'!#REF!&gt;=1501000)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IF('対象者一覧表'!E13="","",'対象者一覧表'!E13)</f>
        <v>設計部</v>
      </c>
      <c r="C6" s="1096"/>
      <c r="D6" s="784">
        <f>IF('対象者一覧表'!F13="","",'対象者一覧表'!F13)</f>
      </c>
      <c r="G6" s="736"/>
      <c r="H6" s="736"/>
      <c r="I6" s="736"/>
      <c r="K6" s="90"/>
      <c r="L6" s="15" t="s">
        <v>877</v>
      </c>
      <c r="N6" s="93"/>
      <c r="O6" s="93"/>
      <c r="P6" s="93"/>
      <c r="Q6"/>
      <c r="R6"/>
      <c r="S6"/>
      <c r="T6"/>
      <c r="U6"/>
      <c r="V6"/>
      <c r="W6" s="736"/>
      <c r="X6" s="736"/>
    </row>
    <row r="7" spans="1:24" ht="18" customHeight="1">
      <c r="A7" s="786" t="s">
        <v>74</v>
      </c>
      <c r="B7" s="1096" t="str">
        <f>IF('対象者一覧表'!D13="","",'対象者一覧表'!D13)</f>
        <v>山本　卯助</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IF('対象者一覧表'!H13="","",'対象者一覧表'!H13)</f>
        <v>25742</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OR('賃金台帳(4)'!#REF!&gt;=1501000,$G$26&gt;=1501000,$L$26&gt;=1501000,$P$26&gt;=1501000,'賃金台帳(4)'!#REF!&gt;=1501000)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IF('対象者一覧表'!E14="","",'対象者一覧表'!E14)</f>
        <v>設計部</v>
      </c>
      <c r="C6" s="1096"/>
      <c r="D6" s="784" t="str">
        <f>IF('対象者一覧表'!F14="","",'対象者一覧表'!F14)</f>
        <v>課長</v>
      </c>
      <c r="G6" s="736"/>
      <c r="H6" s="736"/>
      <c r="I6" s="736"/>
      <c r="K6" s="90"/>
      <c r="L6" s="15" t="s">
        <v>877</v>
      </c>
      <c r="N6" s="93"/>
      <c r="O6" s="93"/>
      <c r="P6" s="93"/>
      <c r="Q6"/>
      <c r="R6"/>
      <c r="S6"/>
      <c r="T6"/>
      <c r="U6"/>
      <c r="V6"/>
      <c r="W6" s="736"/>
      <c r="X6" s="736"/>
    </row>
    <row r="7" spans="1:24" ht="18" customHeight="1">
      <c r="A7" s="786" t="s">
        <v>74</v>
      </c>
      <c r="B7" s="1096" t="str">
        <f>IF('対象者一覧表'!D14="","",'対象者一覧表'!D14)</f>
        <v>佐藤　辰一郎</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IF('対象者一覧表'!H14="","",'対象者一覧表'!H14)</f>
        <v>25743</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OR('賃金台帳(5)'!#REF!&gt;=1501000,$G$26&gt;=1501000,$L$26&gt;=1501000,$P$26&gt;=1501000,'賃金台帳(5)'!#REF!&gt;=1501000)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IF('対象者一覧表'!E15="","",'対象者一覧表'!E15)</f>
        <v>製造部</v>
      </c>
      <c r="C6" s="1096"/>
      <c r="D6" s="784">
        <f>IF('対象者一覧表'!F15="","",'対象者一覧表'!F15)</f>
      </c>
      <c r="G6" s="736"/>
      <c r="H6" s="736"/>
      <c r="I6" s="736"/>
      <c r="K6" s="90"/>
      <c r="L6" s="15" t="s">
        <v>877</v>
      </c>
      <c r="N6" s="93"/>
      <c r="O6" s="93"/>
      <c r="P6" s="93"/>
      <c r="Q6"/>
      <c r="R6"/>
      <c r="S6"/>
      <c r="T6"/>
      <c r="U6"/>
      <c r="V6"/>
      <c r="W6" s="736"/>
      <c r="X6" s="736"/>
    </row>
    <row r="7" spans="1:24" ht="18" customHeight="1">
      <c r="A7" s="786" t="s">
        <v>74</v>
      </c>
      <c r="B7" s="1096" t="str">
        <f>IF('対象者一覧表'!D15="","",'対象者一覧表'!D15)</f>
        <v>渡辺　克巳</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IF('対象者一覧表'!H15="","",'対象者一覧表'!H15)</f>
        <v>25744</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OR('賃金台帳(6)'!#REF!&gt;=1501000,$G$26&gt;=1501000,$L$26&gt;=1501000,$P$26&gt;=1501000,'賃金台帳(6)'!#REF!&gt;=1501000)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IF('対象者一覧表'!E16="","",'対象者一覧表'!E16)</f>
        <v>製造部</v>
      </c>
      <c r="C6" s="1096"/>
      <c r="D6" s="784">
        <f>IF('対象者一覧表'!F16="","",'対象者一覧表'!F16)</f>
      </c>
      <c r="G6" s="736"/>
      <c r="H6" s="736"/>
      <c r="I6" s="736"/>
      <c r="K6" s="90"/>
      <c r="L6" s="15" t="s">
        <v>877</v>
      </c>
      <c r="N6" s="93"/>
      <c r="O6" s="93"/>
      <c r="P6" s="93"/>
      <c r="Q6"/>
      <c r="R6"/>
      <c r="S6"/>
      <c r="T6"/>
      <c r="U6"/>
      <c r="V6"/>
      <c r="W6" s="736"/>
      <c r="X6" s="736"/>
    </row>
    <row r="7" spans="1:24" ht="18" customHeight="1">
      <c r="A7" s="786" t="s">
        <v>74</v>
      </c>
      <c r="B7" s="1096" t="str">
        <f>IF('対象者一覧表'!D16="","",'対象者一覧表'!D16)</f>
        <v>後藤　午太郎</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IF('対象者一覧表'!H16="","",'対象者一覧表'!H16)</f>
        <v>25745</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OR('賃金台帳(7)'!#REF!&gt;=1501000,$G$26&gt;=1501000,$L$26&gt;=1501000,$P$26&gt;=1501000,'賃金台帳(7)'!#REF!&gt;=1501000)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IF('対象者一覧表'!E17="","",'対象者一覧表'!E17)</f>
        <v>製造部</v>
      </c>
      <c r="C6" s="1096"/>
      <c r="D6" s="784" t="str">
        <f>IF('対象者一覧表'!F17="","",'対象者一覧表'!F17)</f>
        <v>チーフ</v>
      </c>
      <c r="G6" s="736"/>
      <c r="H6" s="736"/>
      <c r="I6" s="736"/>
      <c r="K6" s="90"/>
      <c r="L6" s="15" t="s">
        <v>877</v>
      </c>
      <c r="N6" s="93"/>
      <c r="O6" s="93"/>
      <c r="P6" s="93"/>
      <c r="Q6"/>
      <c r="R6"/>
      <c r="S6"/>
      <c r="T6"/>
      <c r="U6"/>
      <c r="V6"/>
      <c r="W6" s="736"/>
      <c r="X6" s="736"/>
    </row>
    <row r="7" spans="1:24" ht="18" customHeight="1">
      <c r="A7" s="786" t="s">
        <v>74</v>
      </c>
      <c r="B7" s="1096" t="str">
        <f>IF('対象者一覧表'!D17="","",'対象者一覧表'!D17)</f>
        <v>太田　未来</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IF('対象者一覧表'!H17="","",'対象者一覧表'!H17)</f>
        <v>25746</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OR('賃金台帳(8)'!#REF!&gt;=1501000,$G$26&gt;=1501000,$L$26&gt;=1501000,$P$26&gt;=1501000,'賃金台帳(8)'!#REF!&gt;=1501000)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37">
    <tabColor rgb="FFFFC000"/>
    <pageSetUpPr fitToPage="1"/>
  </sheetPr>
  <dimension ref="A1:BE118"/>
  <sheetViews>
    <sheetView showGridLines="0" zoomScale="80" zoomScaleNormal="8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79" customWidth="1"/>
    <col min="2" max="2" width="11.57421875" style="179" customWidth="1"/>
    <col min="3" max="3" width="26.140625" style="179" customWidth="1"/>
    <col min="4" max="4" width="11.57421875" style="179" customWidth="1"/>
    <col min="5" max="5" width="24.7109375" style="179" customWidth="1"/>
    <col min="6" max="6" width="11.57421875" style="179" customWidth="1"/>
    <col min="7" max="7" width="24.7109375" style="179" customWidth="1"/>
    <col min="8" max="8" width="11.57421875" style="179" customWidth="1"/>
    <col min="9" max="9" width="24.7109375" style="179" customWidth="1"/>
    <col min="10" max="10" width="11.57421875" style="179" customWidth="1"/>
    <col min="11" max="11" width="24.7109375" style="179" customWidth="1"/>
    <col min="12" max="12" width="11.57421875" style="179" customWidth="1"/>
    <col min="13" max="13" width="24.7109375" style="179" customWidth="1"/>
    <col min="14" max="14" width="21.00390625" style="179" customWidth="1"/>
    <col min="15" max="15" width="5.28125" style="179" customWidth="1"/>
    <col min="16" max="16" width="47.140625" style="179" bestFit="1" customWidth="1"/>
    <col min="17" max="17" width="25.421875" style="244" customWidth="1"/>
    <col min="18" max="18" width="18.57421875" style="244" customWidth="1"/>
    <col min="19" max="19" width="25.421875" style="244" customWidth="1"/>
    <col min="20" max="20" width="32.421875" style="244" customWidth="1"/>
    <col min="21" max="21" width="26.28125" style="179" customWidth="1"/>
    <col min="22" max="22" width="18.28125" style="179" customWidth="1"/>
    <col min="23" max="24" width="19.7109375" style="208" customWidth="1"/>
    <col min="25" max="25" width="25.57421875" style="179" customWidth="1"/>
    <col min="26" max="26" width="16.140625" style="179" customWidth="1"/>
    <col min="27" max="27" width="16.8515625" style="179" customWidth="1"/>
    <col min="28" max="28" width="18.28125" style="179" customWidth="1"/>
    <col min="29" max="29" width="12.28125" style="179" customWidth="1"/>
    <col min="30" max="30" width="8.140625" style="179" customWidth="1"/>
    <col min="31" max="31" width="10.421875" style="179" customWidth="1"/>
    <col min="32" max="32" width="16.8515625" style="208" customWidth="1"/>
    <col min="33" max="33" width="15.421875" style="208" bestFit="1" customWidth="1"/>
    <col min="34" max="34" width="12.421875" style="179" bestFit="1" customWidth="1"/>
    <col min="35" max="35" width="11.421875" style="179" bestFit="1" customWidth="1"/>
    <col min="36" max="36" width="45.00390625" style="179" bestFit="1" customWidth="1"/>
    <col min="37" max="37" width="4.57421875" style="179" bestFit="1" customWidth="1"/>
    <col min="38" max="38" width="11.140625" style="179" bestFit="1" customWidth="1"/>
    <col min="39" max="39" width="46.421875" style="179" bestFit="1" customWidth="1"/>
    <col min="40" max="40" width="6.00390625" style="179" bestFit="1" customWidth="1"/>
    <col min="41" max="41" width="52.421875" style="179" bestFit="1" customWidth="1"/>
    <col min="42" max="43" width="11.140625" style="179" bestFit="1" customWidth="1"/>
    <col min="44" max="44" width="6.7109375" style="179" bestFit="1" customWidth="1"/>
    <col min="45" max="45" width="45.57421875" style="179" bestFit="1" customWidth="1"/>
    <col min="46" max="46" width="10.28125" style="179" bestFit="1" customWidth="1"/>
    <col min="47" max="47" width="9.421875" style="179" bestFit="1" customWidth="1"/>
    <col min="48" max="48" width="4.57421875" style="179" bestFit="1" customWidth="1"/>
    <col min="49" max="49" width="8.421875" style="179" bestFit="1" customWidth="1"/>
    <col min="50" max="50" width="4.57421875" style="179" bestFit="1" customWidth="1"/>
    <col min="51" max="51" width="15.421875" style="179" bestFit="1" customWidth="1"/>
    <col min="52" max="52" width="4.57421875" style="179" bestFit="1" customWidth="1"/>
    <col min="53" max="53" width="18.28125" style="179" bestFit="1" customWidth="1"/>
    <col min="54" max="54" width="6.8515625" style="179" bestFit="1" customWidth="1"/>
    <col min="55" max="55" width="14.00390625" style="179" customWidth="1"/>
    <col min="56" max="56" width="13.8515625" style="179" customWidth="1"/>
    <col min="57" max="57" width="17.28125" style="179" customWidth="1"/>
    <col min="58" max="16384" width="9.00390625" style="179" customWidth="1"/>
  </cols>
  <sheetData>
    <row r="1" spans="1:18" s="8" customFormat="1" ht="13.5">
      <c r="A1" s="13"/>
      <c r="E1" s="402"/>
      <c r="F1" s="401"/>
      <c r="H1" s="13"/>
      <c r="N1" s="13"/>
      <c r="O1" s="13"/>
      <c r="P1" s="13"/>
      <c r="R1" s="403"/>
    </row>
    <row r="2" spans="1:18" s="8" customFormat="1" ht="13.5">
      <c r="A2" s="13"/>
      <c r="B2" s="802" t="s">
        <v>897</v>
      </c>
      <c r="E2" s="402"/>
      <c r="F2" s="401"/>
      <c r="H2" s="13"/>
      <c r="N2" s="13"/>
      <c r="O2" s="13"/>
      <c r="P2" s="13"/>
      <c r="R2" s="403"/>
    </row>
    <row r="3" spans="1:18" s="8" customFormat="1" ht="13.5">
      <c r="A3" s="13"/>
      <c r="E3" s="402"/>
      <c r="F3" s="401"/>
      <c r="H3" s="13"/>
      <c r="N3" s="13"/>
      <c r="O3" s="13"/>
      <c r="P3" s="13"/>
      <c r="R3" s="403"/>
    </row>
    <row r="4" spans="2:20" s="207" customFormat="1" ht="25.5">
      <c r="B4" s="559"/>
      <c r="D4" s="537"/>
      <c r="E4" s="537"/>
      <c r="F4" s="537"/>
      <c r="G4" s="537"/>
      <c r="H4" s="537"/>
      <c r="I4" s="537"/>
      <c r="J4" s="537"/>
      <c r="K4" s="537"/>
      <c r="L4" s="537"/>
      <c r="M4" s="537"/>
      <c r="N4" s="206"/>
      <c r="Q4" s="587"/>
      <c r="R4" s="587"/>
      <c r="S4" s="587"/>
      <c r="T4" s="587"/>
    </row>
    <row r="5" spans="2:20" s="207" customFormat="1" ht="18.75">
      <c r="B5" s="560" t="s">
        <v>679</v>
      </c>
      <c r="D5" s="538"/>
      <c r="E5" s="539"/>
      <c r="F5" s="539"/>
      <c r="G5" s="540"/>
      <c r="I5" s="540"/>
      <c r="J5" s="540"/>
      <c r="K5" s="540"/>
      <c r="L5" s="540"/>
      <c r="M5" s="133"/>
      <c r="N5" s="209"/>
      <c r="Q5" s="587"/>
      <c r="R5" s="587"/>
      <c r="S5" s="587"/>
      <c r="T5" s="587"/>
    </row>
    <row r="6" spans="8:33" ht="14.25" customHeight="1">
      <c r="H6" s="179"/>
      <c r="V6" s="208"/>
      <c r="X6" s="179"/>
      <c r="AE6" s="208"/>
      <c r="AG6" s="179"/>
    </row>
    <row r="7" spans="10:33" ht="33" customHeight="1" thickBot="1">
      <c r="J7" s="137"/>
      <c r="N7" s="586"/>
      <c r="V7" s="208"/>
      <c r="X7" s="179"/>
      <c r="AE7" s="208"/>
      <c r="AG7" s="179"/>
    </row>
    <row r="8" spans="3:34" ht="24">
      <c r="C8" s="211"/>
      <c r="D8" s="211"/>
      <c r="H8" s="540" t="s">
        <v>825</v>
      </c>
      <c r="J8" s="562" t="s">
        <v>826</v>
      </c>
      <c r="K8" s="561"/>
      <c r="L8" s="561"/>
      <c r="N8" s="790"/>
      <c r="P8" s="214" t="s">
        <v>681</v>
      </c>
      <c r="Q8" s="588" t="s">
        <v>130</v>
      </c>
      <c r="R8" s="589" t="s">
        <v>141</v>
      </c>
      <c r="S8" s="590" t="s">
        <v>147</v>
      </c>
      <c r="T8" s="591" t="s">
        <v>144</v>
      </c>
      <c r="U8" s="218" t="s">
        <v>142</v>
      </c>
      <c r="V8" s="217" t="s">
        <v>147</v>
      </c>
      <c r="W8" s="219" t="s">
        <v>150</v>
      </c>
      <c r="X8" s="219" t="s">
        <v>145</v>
      </c>
      <c r="Y8" s="216" t="s">
        <v>143</v>
      </c>
      <c r="Z8" s="217" t="s">
        <v>146</v>
      </c>
      <c r="AA8" s="215" t="s">
        <v>61</v>
      </c>
      <c r="AB8" s="220" t="s">
        <v>130</v>
      </c>
      <c r="AC8" s="220" t="s">
        <v>60</v>
      </c>
      <c r="AD8" s="220" t="s">
        <v>130</v>
      </c>
      <c r="AE8" s="220" t="s">
        <v>148</v>
      </c>
      <c r="AF8" s="220" t="s">
        <v>130</v>
      </c>
      <c r="AG8" s="220" t="s">
        <v>149</v>
      </c>
      <c r="AH8" s="221" t="s">
        <v>130</v>
      </c>
    </row>
    <row r="9" spans="2:34" ht="30" customHeight="1">
      <c r="B9" s="928" t="s">
        <v>130</v>
      </c>
      <c r="C9" s="523" t="s">
        <v>822</v>
      </c>
      <c r="D9" s="520"/>
      <c r="E9" s="617"/>
      <c r="F9" s="630"/>
      <c r="H9" s="867" t="s">
        <v>130</v>
      </c>
      <c r="I9" s="858" t="s">
        <v>812</v>
      </c>
      <c r="J9" s="858"/>
      <c r="K9" s="858"/>
      <c r="L9" s="858"/>
      <c r="N9" s="791"/>
      <c r="P9" s="226" t="s">
        <v>779</v>
      </c>
      <c r="Q9" s="592" t="str">
        <f>IF(R9-S9&gt;=0,"○","×")</f>
        <v>○</v>
      </c>
      <c r="R9" s="227">
        <v>10000000</v>
      </c>
      <c r="S9" s="228">
        <f>$K$38</f>
        <v>7441922</v>
      </c>
      <c r="T9" s="593" t="str">
        <f>IF(V9&gt;=500000,"○","×")</f>
        <v>○</v>
      </c>
      <c r="U9" s="229" t="s">
        <v>682</v>
      </c>
      <c r="V9" s="228">
        <f>SUM($I$26:$I$27)</f>
        <v>6200000</v>
      </c>
      <c r="W9" s="230"/>
      <c r="X9" s="580" t="str">
        <f>IF(Z9&lt;=5000000,"○","×")</f>
        <v>○</v>
      </c>
      <c r="Y9" s="578" t="s">
        <v>683</v>
      </c>
      <c r="Z9" s="228">
        <f>$K$38-SUM($K$26:$K$27)</f>
        <v>3308591</v>
      </c>
      <c r="AA9" s="231">
        <f>$I$31</f>
        <v>0</v>
      </c>
      <c r="AB9" s="232" t="str">
        <f>IF($I$38/2-$I$31&gt;=0,"○","×")</f>
        <v>○</v>
      </c>
      <c r="AC9" s="233">
        <f>$I$32</f>
        <v>540000</v>
      </c>
      <c r="AD9" s="232" t="str">
        <f>IF($I$38/2-$I$32&gt;=0,"○","×")</f>
        <v>○</v>
      </c>
      <c r="AE9" s="233">
        <f>$I$31+$I$32</f>
        <v>540000</v>
      </c>
      <c r="AF9" s="232" t="str">
        <f>IF($I$38/2-($I$31+$I$32)&gt;=0,"○","×")</f>
        <v>○</v>
      </c>
      <c r="AG9" s="233">
        <f>$I$33</f>
        <v>0</v>
      </c>
      <c r="AH9" s="234" t="str">
        <f>IF($I$38/3-$I$33&gt;=0,"○","×")</f>
        <v>○</v>
      </c>
    </row>
    <row r="10" spans="2:34" ht="28.5" customHeight="1">
      <c r="B10" s="928"/>
      <c r="C10" s="631" t="str">
        <f>事業類型</f>
        <v>革新的サービス（一般型）</v>
      </c>
      <c r="D10" s="641"/>
      <c r="E10" s="632" t="str">
        <f>$Q$50</f>
        <v>試作開発＋設備投資</v>
      </c>
      <c r="F10" s="507"/>
      <c r="H10" s="867"/>
      <c r="I10" s="858"/>
      <c r="J10" s="858"/>
      <c r="K10" s="858"/>
      <c r="L10" s="858"/>
      <c r="N10" s="791"/>
      <c r="P10" s="226" t="s">
        <v>780</v>
      </c>
      <c r="Q10" s="592" t="str">
        <f>IF(R10-S10&gt;=0,"○","×")</f>
        <v>×</v>
      </c>
      <c r="R10" s="227">
        <v>7000000</v>
      </c>
      <c r="S10" s="228">
        <f>$K$38</f>
        <v>7441922</v>
      </c>
      <c r="T10" s="593" t="str">
        <f>IF(V10&lt;500000,"○","×")</f>
        <v>×</v>
      </c>
      <c r="U10" s="799" t="s">
        <v>791</v>
      </c>
      <c r="V10" s="228">
        <f>SUM($I$26:$I$27)</f>
        <v>6200000</v>
      </c>
      <c r="W10" s="230"/>
      <c r="X10" s="580" t="s">
        <v>785</v>
      </c>
      <c r="Y10" s="581" t="s">
        <v>785</v>
      </c>
      <c r="Z10" s="473" t="s">
        <v>786</v>
      </c>
      <c r="AA10" s="231">
        <f>$I$31</f>
        <v>0</v>
      </c>
      <c r="AB10" s="232" t="str">
        <f>IF($I$38/2-$I$31&gt;=0,"○","×")</f>
        <v>○</v>
      </c>
      <c r="AC10" s="233">
        <f>$I$32</f>
        <v>540000</v>
      </c>
      <c r="AD10" s="232" t="str">
        <f>IF($I$38/2-$I$32&gt;=0,"○","×")</f>
        <v>○</v>
      </c>
      <c r="AE10" s="233">
        <f>$I$31+$I$32</f>
        <v>540000</v>
      </c>
      <c r="AF10" s="232" t="str">
        <f>IF($I$38/2-($I$31+$I$32)&gt;=0,"○","×")</f>
        <v>○</v>
      </c>
      <c r="AG10" s="233">
        <f>$I$33</f>
        <v>0</v>
      </c>
      <c r="AH10" s="234" t="str">
        <f>IF($I$38/3-$I$33&gt;=0,"○","×")</f>
        <v>○</v>
      </c>
    </row>
    <row r="11" spans="2:34" ht="28.5" customHeight="1">
      <c r="B11" s="582"/>
      <c r="C11" s="523" t="s">
        <v>141</v>
      </c>
      <c r="D11" s="524"/>
      <c r="E11" s="633"/>
      <c r="F11" s="630"/>
      <c r="H11" s="521"/>
      <c r="I11" s="864" t="s">
        <v>813</v>
      </c>
      <c r="J11" s="864"/>
      <c r="K11" s="864"/>
      <c r="L11" s="864"/>
      <c r="N11" s="792"/>
      <c r="P11" s="226" t="s">
        <v>777</v>
      </c>
      <c r="Q11" s="592" t="str">
        <f>IF(R11-S11&gt;=0,"○","×")</f>
        <v>○</v>
      </c>
      <c r="R11" s="227">
        <v>10000000</v>
      </c>
      <c r="S11" s="228">
        <f>$K$38</f>
        <v>7441922</v>
      </c>
      <c r="T11" s="593" t="str">
        <f>IF(V11&gt;=500000,"○","×")</f>
        <v>○</v>
      </c>
      <c r="U11" s="229" t="s">
        <v>682</v>
      </c>
      <c r="V11" s="228">
        <f>SUM($I$26:$I$27)</f>
        <v>6200000</v>
      </c>
      <c r="W11" s="230"/>
      <c r="X11" s="580" t="str">
        <f>IF($Z$11&lt;=5000000,"○","×")</f>
        <v>○</v>
      </c>
      <c r="Y11" s="581" t="s">
        <v>683</v>
      </c>
      <c r="Z11" s="228">
        <f>$K$38-SUM($K$26:$K$27)</f>
        <v>3308591</v>
      </c>
      <c r="AA11" s="231">
        <f>$I$31</f>
        <v>0</v>
      </c>
      <c r="AB11" s="232" t="str">
        <f>IF($I$38/2-$I$31&gt;=0,"○","×")</f>
        <v>○</v>
      </c>
      <c r="AC11" s="233">
        <f>$I$32</f>
        <v>540000</v>
      </c>
      <c r="AD11" s="232" t="str">
        <f>IF($I$38/2-$I$32&gt;=0,"○","×")</f>
        <v>○</v>
      </c>
      <c r="AE11" s="233">
        <f>$I$31+$I$32</f>
        <v>540000</v>
      </c>
      <c r="AF11" s="232" t="str">
        <f>IF($I$38/2-($I$31+$I$32)&gt;=0,"○","×")</f>
        <v>○</v>
      </c>
      <c r="AG11" s="233">
        <f>$I$33</f>
        <v>0</v>
      </c>
      <c r="AH11" s="234" t="str">
        <f>IF($I$38/3-$I$33&gt;=0,"○","×")</f>
        <v>○</v>
      </c>
    </row>
    <row r="12" spans="2:34" ht="24.75" thickBot="1">
      <c r="B12" s="527" t="str">
        <f>VLOOKUP($C$10,$P$9:$AH$12,2,0)</f>
        <v>○</v>
      </c>
      <c r="C12" s="528"/>
      <c r="D12" s="526"/>
      <c r="E12" s="634">
        <f>補助上限額</f>
        <v>10000000</v>
      </c>
      <c r="F12" s="507"/>
      <c r="H12" s="525" t="str">
        <f>VLOOKUP($C$10,$P$9:$AG$12,13,0)</f>
        <v>○</v>
      </c>
      <c r="I12" s="870">
        <f>VLOOKUP($C$10,$P$9:$AG$12,12,0)</f>
        <v>0</v>
      </c>
      <c r="J12" s="871"/>
      <c r="K12" s="871"/>
      <c r="L12" s="640"/>
      <c r="N12" s="793"/>
      <c r="P12" s="450" t="s">
        <v>778</v>
      </c>
      <c r="Q12" s="451" t="str">
        <f>IF(R12-S12&gt;=0,"○","×")</f>
        <v>○</v>
      </c>
      <c r="R12" s="452">
        <v>50000000</v>
      </c>
      <c r="S12" s="453">
        <f>$K$38</f>
        <v>7441922</v>
      </c>
      <c r="T12" s="454" t="str">
        <f>IF(SUM($I$26:$I$26)&lt;500000,"○","×")</f>
        <v>×</v>
      </c>
      <c r="U12" s="455" t="s">
        <v>684</v>
      </c>
      <c r="V12" s="453">
        <f>$I$26</f>
        <v>5000000</v>
      </c>
      <c r="W12" s="456"/>
      <c r="X12" s="457" t="s">
        <v>711</v>
      </c>
      <c r="Y12" s="458" t="s">
        <v>711</v>
      </c>
      <c r="Z12" s="459" t="s">
        <v>712</v>
      </c>
      <c r="AA12" s="460">
        <f>$I$31</f>
        <v>0</v>
      </c>
      <c r="AB12" s="461" t="str">
        <f>IF($I$38/2-$I$31&gt;=0,"○","×")</f>
        <v>○</v>
      </c>
      <c r="AC12" s="462">
        <f>$I$32</f>
        <v>540000</v>
      </c>
      <c r="AD12" s="461" t="str">
        <f>IF($I$38/2-$I$32&gt;=0,"○","×")</f>
        <v>○</v>
      </c>
      <c r="AE12" s="462">
        <f>$I$31+$I$32</f>
        <v>540000</v>
      </c>
      <c r="AF12" s="461" t="str">
        <f>IF($I$38/2-($I$31+$I$32)&gt;=0,"○","×")</f>
        <v>○</v>
      </c>
      <c r="AG12" s="462">
        <f>$I$33</f>
        <v>0</v>
      </c>
      <c r="AH12" s="463" t="str">
        <f>IF($I$38/3-$I$33&gt;=0,"○","×")</f>
        <v>○</v>
      </c>
    </row>
    <row r="13" spans="2:34" ht="28.5" customHeight="1">
      <c r="B13" s="522"/>
      <c r="C13" s="523" t="s">
        <v>142</v>
      </c>
      <c r="D13" s="524"/>
      <c r="E13" s="635"/>
      <c r="F13" s="630"/>
      <c r="H13" s="529"/>
      <c r="I13" s="864" t="s">
        <v>814</v>
      </c>
      <c r="J13" s="864"/>
      <c r="K13" s="864"/>
      <c r="L13" s="864"/>
      <c r="N13" s="793"/>
      <c r="P13" s="242"/>
      <c r="Q13" s="587"/>
      <c r="R13" s="587"/>
      <c r="S13" s="594" t="s">
        <v>685</v>
      </c>
      <c r="T13" s="587"/>
      <c r="U13" s="207"/>
      <c r="V13" s="207"/>
      <c r="W13" s="207"/>
      <c r="X13" s="207"/>
      <c r="Y13" s="207"/>
      <c r="Z13" s="207"/>
      <c r="AA13" s="207"/>
      <c r="AB13" s="207"/>
      <c r="AC13" s="207"/>
      <c r="AD13" s="207"/>
      <c r="AE13" s="207"/>
      <c r="AF13" s="207"/>
      <c r="AG13" s="207"/>
      <c r="AH13" s="207"/>
    </row>
    <row r="14" spans="2:34" ht="37.5" customHeight="1">
      <c r="B14" s="527" t="str">
        <f>VLOOKUP($C$10,$P$9:$AH$12,5,0)</f>
        <v>○</v>
      </c>
      <c r="C14" s="929" t="str">
        <f>VLOOKUP($C$10,$P$9:$AG$12,6,0)</f>
        <v>機械装置費で補助対象経費にして単価５０万円以上の設備投資が必要</v>
      </c>
      <c r="D14" s="930"/>
      <c r="E14" s="636">
        <f>VLOOKUP($C$10,$P$9:$AG$12,7,0)</f>
        <v>6200000</v>
      </c>
      <c r="F14" s="507"/>
      <c r="H14" s="525" t="str">
        <f>VLOOKUP($C$10,$P$9:$AG$12,15,0)</f>
        <v>○</v>
      </c>
      <c r="I14" s="870">
        <f>VLOOKUP($C$10,$P$9:$AG$12,14,0)</f>
        <v>540000</v>
      </c>
      <c r="J14" s="871"/>
      <c r="K14" s="871"/>
      <c r="L14" s="640"/>
      <c r="N14" s="793"/>
      <c r="P14" s="243">
        <v>1</v>
      </c>
      <c r="Q14" s="595">
        <v>2</v>
      </c>
      <c r="R14" s="596">
        <v>3</v>
      </c>
      <c r="S14" s="595">
        <v>4</v>
      </c>
      <c r="T14" s="596">
        <v>5</v>
      </c>
      <c r="U14" s="222">
        <v>6</v>
      </c>
      <c r="V14" s="243">
        <v>7</v>
      </c>
      <c r="W14" s="222">
        <v>8</v>
      </c>
      <c r="X14" s="243">
        <v>9</v>
      </c>
      <c r="Y14" s="222">
        <v>10</v>
      </c>
      <c r="Z14" s="243">
        <v>11</v>
      </c>
      <c r="AA14" s="222">
        <v>12</v>
      </c>
      <c r="AB14" s="243">
        <v>13</v>
      </c>
      <c r="AC14" s="222">
        <v>14</v>
      </c>
      <c r="AD14" s="243">
        <v>15</v>
      </c>
      <c r="AE14" s="222">
        <v>16</v>
      </c>
      <c r="AF14" s="243">
        <v>17</v>
      </c>
      <c r="AG14" s="222">
        <v>18</v>
      </c>
      <c r="AH14" s="242">
        <v>19</v>
      </c>
    </row>
    <row r="15" spans="2:33" ht="30" customHeight="1">
      <c r="B15" s="530"/>
      <c r="C15" s="523" t="s">
        <v>816</v>
      </c>
      <c r="D15" s="524"/>
      <c r="E15" s="637"/>
      <c r="F15" s="630"/>
      <c r="H15" s="521"/>
      <c r="I15" s="864" t="s">
        <v>815</v>
      </c>
      <c r="J15" s="864"/>
      <c r="K15" s="864"/>
      <c r="L15" s="864"/>
      <c r="V15" s="208"/>
      <c r="X15" s="179"/>
      <c r="AE15" s="208"/>
      <c r="AG15" s="179"/>
    </row>
    <row r="16" spans="2:57" s="244" customFormat="1" ht="35.25" customHeight="1">
      <c r="B16" s="531" t="str">
        <f>VLOOKUP($C$10,$P$9:$AG$12,9,0)</f>
        <v>○</v>
      </c>
      <c r="C16" s="929" t="str">
        <f>VLOOKUP($C$10,$P$9:$AH$12,10,0)</f>
        <v>機械装置費以外の経費の補助金交付申請額は５００万円以下</v>
      </c>
      <c r="D16" s="930"/>
      <c r="E16" s="638">
        <f>VLOOKUP($C$10,$P$9:$AG$12,11,0)</f>
        <v>3308591</v>
      </c>
      <c r="F16" s="639"/>
      <c r="H16" s="525" t="str">
        <f>VLOOKUP($C$10,$P$9:$AG$12,17,0)</f>
        <v>○</v>
      </c>
      <c r="I16" s="870">
        <f>VLOOKUP($C$10,$P$9:$AG$12,16,0)</f>
        <v>540000</v>
      </c>
      <c r="J16" s="871"/>
      <c r="K16" s="871"/>
      <c r="L16" s="640"/>
      <c r="BE16" s="483"/>
    </row>
    <row r="17" spans="8:54" s="244" customFormat="1" ht="30" customHeight="1">
      <c r="H17" s="521"/>
      <c r="I17" s="864" t="s">
        <v>817</v>
      </c>
      <c r="J17" s="864"/>
      <c r="K17" s="864"/>
      <c r="L17" s="864"/>
      <c r="BB17" s="483"/>
    </row>
    <row r="18" spans="8:54" s="244" customFormat="1" ht="30" customHeight="1">
      <c r="H18" s="525" t="str">
        <f>VLOOKUP($C$10,$P$9:$AH$12,19,0)</f>
        <v>○</v>
      </c>
      <c r="I18" s="870">
        <f>VLOOKUP($C$10,$P$9:$AG$12,18,0)</f>
        <v>0</v>
      </c>
      <c r="J18" s="871"/>
      <c r="K18" s="871"/>
      <c r="L18" s="640"/>
      <c r="BB18" s="483"/>
    </row>
    <row r="19" s="244" customFormat="1" ht="30" customHeight="1">
      <c r="BA19" s="483"/>
    </row>
    <row r="20" spans="2:53" s="244" customFormat="1" ht="30" customHeight="1">
      <c r="B20" s="141"/>
      <c r="C20" s="179"/>
      <c r="D20" s="12"/>
      <c r="E20" s="179"/>
      <c r="F20" s="179"/>
      <c r="BA20" s="483"/>
    </row>
    <row r="21" spans="2:53" s="244" customFormat="1" ht="30" customHeight="1">
      <c r="B21" s="558" t="s">
        <v>981</v>
      </c>
      <c r="C21" s="213"/>
      <c r="D21" s="213"/>
      <c r="E21" s="213"/>
      <c r="F21" s="213"/>
      <c r="BA21" s="483"/>
    </row>
    <row r="22" spans="2:33" ht="30" customHeight="1" thickBot="1">
      <c r="B22" s="556"/>
      <c r="O22" s="210"/>
      <c r="P22" s="137"/>
      <c r="Q22" s="597" t="s">
        <v>983</v>
      </c>
      <c r="R22" s="598"/>
      <c r="S22" s="598"/>
      <c r="T22" s="599"/>
      <c r="U22" s="212"/>
      <c r="V22" s="253"/>
      <c r="W22" s="98"/>
      <c r="X22" s="253"/>
      <c r="Y22" s="253"/>
      <c r="Z22" s="253"/>
      <c r="AA22" s="254"/>
      <c r="AB22" s="254"/>
      <c r="AF22" s="179"/>
      <c r="AG22" s="179"/>
    </row>
    <row r="23" spans="2:28" s="1" customFormat="1" ht="30" customHeight="1" thickBot="1" thickTop="1">
      <c r="B23" s="533" t="s">
        <v>818</v>
      </c>
      <c r="C23" s="931" t="str">
        <f>'基本情報入力（使い方）'!C10</f>
        <v>Ｂ金属株式会社</v>
      </c>
      <c r="D23" s="931"/>
      <c r="E23" s="931"/>
      <c r="F23" s="53" t="s">
        <v>962</v>
      </c>
      <c r="G23" s="53"/>
      <c r="H23" s="53"/>
      <c r="N23" s="532" t="s">
        <v>0</v>
      </c>
      <c r="O23" s="210"/>
      <c r="P23"/>
      <c r="Q23" s="600" t="s">
        <v>38</v>
      </c>
      <c r="R23" s="900" t="s">
        <v>129</v>
      </c>
      <c r="S23" s="600" t="s">
        <v>38</v>
      </c>
      <c r="T23" s="600" t="s">
        <v>38</v>
      </c>
      <c r="U23" s="906" t="s">
        <v>680</v>
      </c>
      <c r="V23" s="904" t="s">
        <v>130</v>
      </c>
      <c r="W23" s="555" t="s">
        <v>845</v>
      </c>
      <c r="X23" s="555" t="s">
        <v>846</v>
      </c>
      <c r="Y23" s="555" t="s">
        <v>847</v>
      </c>
      <c r="Z23" s="899" t="s">
        <v>686</v>
      </c>
      <c r="AA23" s="255"/>
      <c r="AB23" s="255"/>
    </row>
    <row r="24" spans="2:33" ht="36.75" customHeight="1" thickBot="1" thickTop="1">
      <c r="B24" s="912" t="s">
        <v>28</v>
      </c>
      <c r="C24" s="913"/>
      <c r="D24" s="868" t="s">
        <v>802</v>
      </c>
      <c r="E24" s="869"/>
      <c r="F24" s="912" t="s">
        <v>804</v>
      </c>
      <c r="G24" s="913"/>
      <c r="H24" s="897" t="s">
        <v>806</v>
      </c>
      <c r="I24" s="898"/>
      <c r="J24" s="912" t="s">
        <v>982</v>
      </c>
      <c r="K24" s="913"/>
      <c r="L24" s="861" t="s">
        <v>823</v>
      </c>
      <c r="M24" s="862"/>
      <c r="N24" s="863"/>
      <c r="O24" s="210"/>
      <c r="P24"/>
      <c r="Q24" s="601" t="s">
        <v>985</v>
      </c>
      <c r="R24" s="901"/>
      <c r="S24" s="601" t="s">
        <v>984</v>
      </c>
      <c r="T24" s="601" t="s">
        <v>982</v>
      </c>
      <c r="U24" s="907"/>
      <c r="V24" s="905"/>
      <c r="W24" s="921" t="s">
        <v>688</v>
      </c>
      <c r="X24" s="918" t="s">
        <v>895</v>
      </c>
      <c r="Y24" s="921" t="s">
        <v>689</v>
      </c>
      <c r="Z24" s="899"/>
      <c r="AA24" s="255"/>
      <c r="AB24" s="255"/>
      <c r="AF24" s="179"/>
      <c r="AG24" s="179"/>
    </row>
    <row r="25" spans="2:33" ht="22.5" customHeight="1" thickBot="1" thickTop="1">
      <c r="B25" s="914"/>
      <c r="C25" s="915"/>
      <c r="D25" s="865" t="s">
        <v>803</v>
      </c>
      <c r="E25" s="866"/>
      <c r="F25" s="914" t="s">
        <v>805</v>
      </c>
      <c r="G25" s="915"/>
      <c r="H25" s="859" t="s">
        <v>807</v>
      </c>
      <c r="I25" s="860"/>
      <c r="J25" s="859" t="s">
        <v>808</v>
      </c>
      <c r="K25" s="860"/>
      <c r="L25" s="493"/>
      <c r="M25" s="494" t="s">
        <v>824</v>
      </c>
      <c r="N25" s="501"/>
      <c r="O25" s="210"/>
      <c r="P25"/>
      <c r="Q25" s="603" t="s">
        <v>39</v>
      </c>
      <c r="R25" s="902"/>
      <c r="S25" s="602" t="s">
        <v>39</v>
      </c>
      <c r="T25" s="602" t="s">
        <v>39</v>
      </c>
      <c r="U25" s="907"/>
      <c r="V25" s="905"/>
      <c r="W25" s="921"/>
      <c r="X25" s="919"/>
      <c r="Y25" s="921"/>
      <c r="Z25" s="899"/>
      <c r="AA25" s="255"/>
      <c r="AB25" s="255"/>
      <c r="AF25" s="179"/>
      <c r="AG25" s="179"/>
    </row>
    <row r="26" spans="2:33" ht="30" customHeight="1" thickBot="1" thickTop="1">
      <c r="B26" s="895" t="s">
        <v>781</v>
      </c>
      <c r="C26" s="896"/>
      <c r="D26" s="510"/>
      <c r="E26" s="534">
        <f>'機械装置費（50万円以上）'!K33</f>
        <v>5400000</v>
      </c>
      <c r="F26" s="513"/>
      <c r="G26" s="514">
        <f>'機械装置費（50万円以上）'!L33</f>
        <v>5000000</v>
      </c>
      <c r="H26" s="283"/>
      <c r="I26" s="514">
        <f>'機械装置費（50万円以上）'!M33</f>
        <v>5000000</v>
      </c>
      <c r="J26" s="283">
        <f>IF(K26&gt;I26*2/3,"×","")</f>
      </c>
      <c r="K26" s="514">
        <f aca="true" t="shared" si="0" ref="K26:K37">T26</f>
        <v>3333333</v>
      </c>
      <c r="L26" s="490" t="s">
        <v>800</v>
      </c>
      <c r="M26" s="490"/>
      <c r="N26" s="502"/>
      <c r="O26" s="236"/>
      <c r="P26" s="510" t="s">
        <v>781</v>
      </c>
      <c r="Q26" s="804">
        <f>'機械装置費（50万円以上）'!Q33</f>
        <v>3333333</v>
      </c>
      <c r="R26" s="604">
        <f>IF($S$26&gt;0,1,"")</f>
        <v>1</v>
      </c>
      <c r="S26" s="237">
        <f>IF(事業類型="革新的サービス（コンパクト型）",0,MIN(Q26,Q40))</f>
        <v>3333333</v>
      </c>
      <c r="T26" s="237">
        <f>IF(S26=0,0,MIN(S26,Q40))</f>
        <v>3333333</v>
      </c>
      <c r="U26" s="238">
        <f aca="true" t="shared" si="1" ref="U26:U37">K26-Q26</f>
        <v>0</v>
      </c>
      <c r="V26" s="99" t="str">
        <f>IF(AND(W26&lt;&gt;"×",X26&lt;&gt;"×",Y26&lt;&gt;"×"),"○","×")</f>
        <v>○</v>
      </c>
      <c r="W26" s="99"/>
      <c r="X26" s="99">
        <f aca="true" t="shared" si="2" ref="X26:X37">IF(AND(E26&gt;=G26,G26&gt;=I26),"","×")</f>
      </c>
      <c r="Y26" s="257"/>
      <c r="Z26" s="903" t="str">
        <f>IF(AND(V26="○",V27="○",V28="○",V29="○",V30="○",V31="○",V32="○",V33="○",V34="○",V35="○",V37="○",V36="○",B12="○",B14="○",OR(B16="○",B16="なし"),H12="○",H14="○",H16="○",H18="○"),"○","×")</f>
        <v>○</v>
      </c>
      <c r="AA26" s="258"/>
      <c r="AB26" s="258"/>
      <c r="AF26" s="179"/>
      <c r="AG26" s="179"/>
    </row>
    <row r="27" spans="2:33" ht="30" customHeight="1" thickBot="1" thickTop="1">
      <c r="B27" s="878" t="s">
        <v>782</v>
      </c>
      <c r="C27" s="879"/>
      <c r="D27" s="511"/>
      <c r="E27" s="535">
        <f>'機械装置費（50万円未満）'!K33</f>
        <v>1296000</v>
      </c>
      <c r="F27" s="515"/>
      <c r="G27" s="516">
        <f>'機械装置費（50万円未満）'!L33</f>
        <v>1200000</v>
      </c>
      <c r="H27" s="284"/>
      <c r="I27" s="516">
        <f>'機械装置費（50万円未満）'!M33</f>
        <v>1200000</v>
      </c>
      <c r="J27" s="284">
        <f aca="true" t="shared" si="3" ref="J27:J37">IF(K27&gt;I27*2/3,"×","")</f>
      </c>
      <c r="K27" s="516">
        <f t="shared" si="0"/>
        <v>799998</v>
      </c>
      <c r="L27" s="492" t="s">
        <v>801</v>
      </c>
      <c r="M27" s="491"/>
      <c r="N27" s="503"/>
      <c r="O27" s="236"/>
      <c r="P27" s="511" t="s">
        <v>782</v>
      </c>
      <c r="Q27" s="805">
        <f>'機械装置費（50万円未満）'!Q33</f>
        <v>799998</v>
      </c>
      <c r="R27" s="446">
        <f>IF($S$27&gt;0,1,"")</f>
        <v>1</v>
      </c>
      <c r="S27" s="240">
        <f>IF(AND(事業類型="革新的サービス（コンパクト型）",Q27&gt;=500000*2/3),499999,MIN(Q27,Q40))</f>
        <v>799998</v>
      </c>
      <c r="T27" s="240">
        <f>IF(S27=0,0,MIN(S27,(Q40-S26)))</f>
        <v>799998</v>
      </c>
      <c r="U27" s="241">
        <f t="shared" si="1"/>
        <v>0</v>
      </c>
      <c r="V27" s="99" t="str">
        <f>IF(AND(W27&lt;&gt;"×",X27&lt;&gt;"×",Y27&lt;&gt;"×"),"○","×")</f>
        <v>○</v>
      </c>
      <c r="W27" s="99"/>
      <c r="X27" s="99">
        <f t="shared" si="2"/>
      </c>
      <c r="Y27" s="257"/>
      <c r="Z27" s="903"/>
      <c r="AA27" s="258"/>
      <c r="AB27" s="258"/>
      <c r="AF27" s="179"/>
      <c r="AG27" s="179"/>
    </row>
    <row r="28" spans="2:33" ht="30" customHeight="1" thickBot="1" thickTop="1">
      <c r="B28" s="878" t="s">
        <v>40</v>
      </c>
      <c r="C28" s="879"/>
      <c r="D28" s="511"/>
      <c r="E28" s="535">
        <f>'原材料費'!K33</f>
        <v>302886</v>
      </c>
      <c r="F28" s="515"/>
      <c r="G28" s="516">
        <f>'原材料費'!L33</f>
        <v>280450</v>
      </c>
      <c r="H28" s="284"/>
      <c r="I28" s="516">
        <f>'原材料費'!M33</f>
        <v>280450</v>
      </c>
      <c r="J28" s="284">
        <f t="shared" si="3"/>
      </c>
      <c r="K28" s="516">
        <f t="shared" si="0"/>
        <v>186966</v>
      </c>
      <c r="L28" s="491"/>
      <c r="M28" s="491"/>
      <c r="N28" s="503"/>
      <c r="O28" s="236"/>
      <c r="P28" s="511" t="s">
        <v>40</v>
      </c>
      <c r="Q28" s="239">
        <f aca="true" t="shared" si="4" ref="Q28:Q37">IF(I28="",0,ROUNDDOWN(I28*2/3,0))</f>
        <v>186966</v>
      </c>
      <c r="R28" s="446">
        <f aca="true" t="shared" si="5" ref="R28:R37">IF(Q28=0,"",IF(SUM($Q$26:$Q$27)&gt;0,RANK(S28,$S$28:$S$37)+1,RANK(S28,$S$28:$S$37)))</f>
        <v>7</v>
      </c>
      <c r="S28" s="240">
        <f>IF(SUM($S$26:$S$27)-$Q$40&gt;=0,0,MIN(ROUNDDOWN(Q28/$Q$39*$Q$43,0),Q28))</f>
        <v>186966</v>
      </c>
      <c r="T28" s="240">
        <f aca="true" t="shared" si="6" ref="T28:T37">IF($S$39-S28=0,S28+$S$43,S28)</f>
        <v>186966</v>
      </c>
      <c r="U28" s="241">
        <f t="shared" si="1"/>
        <v>0</v>
      </c>
      <c r="V28" s="99" t="str">
        <f aca="true" t="shared" si="7" ref="V28:V37">IF(AND(W28&lt;&gt;"×",X28&lt;&gt;"×",Y28&lt;&gt;"×"),"○","×")</f>
        <v>○</v>
      </c>
      <c r="W28" s="99"/>
      <c r="X28" s="99">
        <f t="shared" si="2"/>
      </c>
      <c r="Y28" s="257" t="str">
        <f aca="true" t="shared" si="8" ref="Y28:Y37">VLOOKUP(事業類型,$P$9:$AH$12,9,0)</f>
        <v>○</v>
      </c>
      <c r="Z28" s="903"/>
      <c r="AA28" s="258"/>
      <c r="AB28" s="258"/>
      <c r="AF28" s="179"/>
      <c r="AG28" s="179"/>
    </row>
    <row r="29" spans="2:33" ht="30" customHeight="1" thickBot="1" thickTop="1">
      <c r="B29" s="878" t="s">
        <v>66</v>
      </c>
      <c r="C29" s="879"/>
      <c r="D29" s="511"/>
      <c r="E29" s="535">
        <f>'直接人件費明細書(2)'!G44</f>
        <v>889440</v>
      </c>
      <c r="F29" s="515"/>
      <c r="G29" s="516">
        <f>E29</f>
        <v>889440</v>
      </c>
      <c r="H29" s="284"/>
      <c r="I29" s="516">
        <f>G29</f>
        <v>889440</v>
      </c>
      <c r="J29" s="284">
        <f t="shared" si="3"/>
      </c>
      <c r="K29" s="516">
        <f t="shared" si="0"/>
        <v>592960</v>
      </c>
      <c r="L29" s="58"/>
      <c r="M29" s="58"/>
      <c r="N29" s="504"/>
      <c r="O29" s="236"/>
      <c r="P29" s="511" t="s">
        <v>66</v>
      </c>
      <c r="Q29" s="239">
        <f t="shared" si="4"/>
        <v>592960</v>
      </c>
      <c r="R29" s="446">
        <f t="shared" si="5"/>
        <v>3</v>
      </c>
      <c r="S29" s="240">
        <f>IF(SUM($S$26:$S$27)-$Q$40&gt;=0,0,MIN(ROUNDDOWN(Q29/$Q$39*$Q$43,0),Q29))</f>
        <v>592960</v>
      </c>
      <c r="T29" s="240">
        <f t="shared" si="6"/>
        <v>592960</v>
      </c>
      <c r="U29" s="241">
        <f t="shared" si="1"/>
        <v>0</v>
      </c>
      <c r="V29" s="99" t="str">
        <f t="shared" si="7"/>
        <v>○</v>
      </c>
      <c r="W29" s="99"/>
      <c r="X29" s="99">
        <f t="shared" si="2"/>
      </c>
      <c r="Y29" s="257" t="str">
        <f t="shared" si="8"/>
        <v>○</v>
      </c>
      <c r="Z29" s="903"/>
      <c r="AA29" s="258"/>
      <c r="AB29" s="258"/>
      <c r="AF29" s="179"/>
      <c r="AG29" s="179"/>
    </row>
    <row r="30" spans="2:33" ht="30" customHeight="1" thickBot="1" thickTop="1">
      <c r="B30" s="878" t="s">
        <v>59</v>
      </c>
      <c r="C30" s="879"/>
      <c r="D30" s="511"/>
      <c r="E30" s="535">
        <f>'技術導入費'!K33</f>
        <v>2332800</v>
      </c>
      <c r="F30" s="515"/>
      <c r="G30" s="516">
        <f>'技術導入費'!L33</f>
        <v>2160000</v>
      </c>
      <c r="H30" s="284"/>
      <c r="I30" s="516">
        <f>'技術導入費'!M33</f>
        <v>2160000</v>
      </c>
      <c r="J30" s="284">
        <f t="shared" si="3"/>
      </c>
      <c r="K30" s="516">
        <f t="shared" si="0"/>
        <v>1440000</v>
      </c>
      <c r="L30" s="492"/>
      <c r="M30" s="492"/>
      <c r="N30" s="503"/>
      <c r="O30" s="236"/>
      <c r="P30" s="511" t="s">
        <v>59</v>
      </c>
      <c r="Q30" s="239">
        <f t="shared" si="4"/>
        <v>1440000</v>
      </c>
      <c r="R30" s="446">
        <f t="shared" si="5"/>
        <v>2</v>
      </c>
      <c r="S30" s="240">
        <f aca="true" t="shared" si="9" ref="S30:S36">IF(SUM($S$26:$S$27)-$Q$40&gt;=0,0,MIN(ROUNDDOWN(Q30/$Q$39*$Q$43,0),Q30))</f>
        <v>1440000</v>
      </c>
      <c r="T30" s="240">
        <f t="shared" si="6"/>
        <v>1440000</v>
      </c>
      <c r="U30" s="241">
        <f t="shared" si="1"/>
        <v>0</v>
      </c>
      <c r="V30" s="99" t="str">
        <f t="shared" si="7"/>
        <v>○</v>
      </c>
      <c r="W30" s="99"/>
      <c r="X30" s="99">
        <f t="shared" si="2"/>
      </c>
      <c r="Y30" s="257" t="str">
        <f t="shared" si="8"/>
        <v>○</v>
      </c>
      <c r="Z30" s="903"/>
      <c r="AA30" s="258"/>
      <c r="AB30" s="258"/>
      <c r="AF30" s="179"/>
      <c r="AG30" s="179"/>
    </row>
    <row r="31" spans="2:33" ht="30" customHeight="1" thickBot="1" thickTop="1">
      <c r="B31" s="878" t="s">
        <v>61</v>
      </c>
      <c r="C31" s="879"/>
      <c r="D31" s="511"/>
      <c r="E31" s="535">
        <f>'外注加工費'!K33</f>
        <v>0</v>
      </c>
      <c r="F31" s="515"/>
      <c r="G31" s="516">
        <f>'外注加工費'!L33</f>
        <v>0</v>
      </c>
      <c r="H31" s="284">
        <f>IF(OR(H12="×",H16="×"),"×","")</f>
      </c>
      <c r="I31" s="516">
        <f>'外注加工費'!M33</f>
        <v>0</v>
      </c>
      <c r="J31" s="284">
        <f t="shared" si="3"/>
      </c>
      <c r="K31" s="516">
        <f t="shared" si="0"/>
        <v>0</v>
      </c>
      <c r="L31" s="492"/>
      <c r="M31" s="492"/>
      <c r="N31" s="505"/>
      <c r="O31" s="236"/>
      <c r="P31" s="511" t="s">
        <v>61</v>
      </c>
      <c r="Q31" s="239">
        <f t="shared" si="4"/>
        <v>0</v>
      </c>
      <c r="R31" s="446">
        <f t="shared" si="5"/>
      </c>
      <c r="S31" s="240">
        <f t="shared" si="9"/>
        <v>0</v>
      </c>
      <c r="T31" s="240">
        <f t="shared" si="6"/>
        <v>0</v>
      </c>
      <c r="U31" s="241">
        <f t="shared" si="1"/>
        <v>0</v>
      </c>
      <c r="V31" s="99" t="str">
        <f t="shared" si="7"/>
        <v>○</v>
      </c>
      <c r="W31" s="99" t="str">
        <f>IF(AND(OR($F$43="",$F$43=0),OR($F$44="",$F$44=0)),"○",IF(OR(IF($F$43="",0,$F$43)+IF($F$44="",0,$F$44)&lt;=$G$50/2,IF($F$44="",0,$F$44)&gt;$G$50/2),"○","×"))</f>
        <v>○</v>
      </c>
      <c r="X31" s="99">
        <f t="shared" si="2"/>
      </c>
      <c r="Y31" s="257" t="str">
        <f t="shared" si="8"/>
        <v>○</v>
      </c>
      <c r="Z31" s="903"/>
      <c r="AA31" s="258"/>
      <c r="AB31" s="258"/>
      <c r="AF31" s="179"/>
      <c r="AG31" s="179"/>
    </row>
    <row r="32" spans="2:33" ht="30" customHeight="1" thickBot="1" thickTop="1">
      <c r="B32" s="878" t="s">
        <v>60</v>
      </c>
      <c r="C32" s="879"/>
      <c r="D32" s="511"/>
      <c r="E32" s="535">
        <f>'委託費'!K33</f>
        <v>583200</v>
      </c>
      <c r="F32" s="515"/>
      <c r="G32" s="516">
        <f>'委託費'!L33</f>
        <v>540000</v>
      </c>
      <c r="H32" s="284">
        <f>IF(OR(H14="×",H16="×"),"×","")</f>
      </c>
      <c r="I32" s="516">
        <f>'委託費'!M33</f>
        <v>540000</v>
      </c>
      <c r="J32" s="284">
        <f t="shared" si="3"/>
      </c>
      <c r="K32" s="516">
        <f t="shared" si="0"/>
        <v>360000</v>
      </c>
      <c r="L32" s="492"/>
      <c r="M32" s="492"/>
      <c r="N32" s="505"/>
      <c r="O32" s="236"/>
      <c r="P32" s="511" t="s">
        <v>60</v>
      </c>
      <c r="Q32" s="239">
        <f t="shared" si="4"/>
        <v>360000</v>
      </c>
      <c r="R32" s="446">
        <f t="shared" si="5"/>
        <v>4</v>
      </c>
      <c r="S32" s="240">
        <f t="shared" si="9"/>
        <v>360000</v>
      </c>
      <c r="T32" s="240">
        <f t="shared" si="6"/>
        <v>360000</v>
      </c>
      <c r="U32" s="241">
        <f t="shared" si="1"/>
        <v>0</v>
      </c>
      <c r="V32" s="99" t="str">
        <f t="shared" si="7"/>
        <v>○</v>
      </c>
      <c r="W32" s="99" t="str">
        <f>IF(AND(OR($I$30="",$I$30=0),OR($I$31="",$I$31=0)),"○",IF(OR(IF($I$30="",0,$I$30)+IF($I$31="",0,$I$31)&lt;=$I$38/2,IF($I$30="",0,$I$30)&gt;$I$38/2),"○","×"))</f>
        <v>○</v>
      </c>
      <c r="X32" s="99">
        <f t="shared" si="2"/>
      </c>
      <c r="Y32" s="257" t="str">
        <f t="shared" si="8"/>
        <v>○</v>
      </c>
      <c r="Z32" s="903"/>
      <c r="AA32" s="258"/>
      <c r="AB32" s="258"/>
      <c r="AF32" s="179"/>
      <c r="AG32" s="179"/>
    </row>
    <row r="33" spans="2:33" ht="30" customHeight="1" thickBot="1" thickTop="1">
      <c r="B33" s="878" t="s">
        <v>149</v>
      </c>
      <c r="C33" s="879"/>
      <c r="D33" s="511"/>
      <c r="E33" s="535">
        <f>'知的財産権等関連経費'!K33</f>
        <v>0</v>
      </c>
      <c r="F33" s="515"/>
      <c r="G33" s="516">
        <f>'知的財産権等関連経費'!L33</f>
        <v>0</v>
      </c>
      <c r="H33" s="284">
        <f>IF(H18="×","×","")</f>
      </c>
      <c r="I33" s="516">
        <f>'知的財産権等関連経費'!M33</f>
        <v>0</v>
      </c>
      <c r="J33" s="284">
        <f t="shared" si="3"/>
      </c>
      <c r="K33" s="516">
        <f t="shared" si="0"/>
        <v>0</v>
      </c>
      <c r="L33" s="492"/>
      <c r="M33" s="492"/>
      <c r="N33" s="506"/>
      <c r="O33" s="245"/>
      <c r="P33" s="511" t="s">
        <v>149</v>
      </c>
      <c r="Q33" s="239">
        <f t="shared" si="4"/>
        <v>0</v>
      </c>
      <c r="R33" s="446">
        <f t="shared" si="5"/>
      </c>
      <c r="S33" s="240">
        <f t="shared" si="9"/>
        <v>0</v>
      </c>
      <c r="T33" s="240">
        <f t="shared" si="6"/>
        <v>0</v>
      </c>
      <c r="U33" s="241">
        <f t="shared" si="1"/>
        <v>0</v>
      </c>
      <c r="V33" s="99" t="str">
        <f t="shared" si="7"/>
        <v>○</v>
      </c>
      <c r="W33" s="99" t="str">
        <f>IF(I33="","○",IF(I33-$I$38/3&lt;=0,"○","×"))</f>
        <v>○</v>
      </c>
      <c r="X33" s="99">
        <f t="shared" si="2"/>
      </c>
      <c r="Y33" s="257" t="str">
        <f t="shared" si="8"/>
        <v>○</v>
      </c>
      <c r="Z33" s="903"/>
      <c r="AA33" s="258"/>
      <c r="AB33" s="258"/>
      <c r="AF33" s="179"/>
      <c r="AG33" s="179"/>
    </row>
    <row r="34" spans="2:33" ht="30" customHeight="1" thickBot="1" thickTop="1">
      <c r="B34" s="878" t="s">
        <v>62</v>
      </c>
      <c r="C34" s="879"/>
      <c r="D34" s="511"/>
      <c r="E34" s="535">
        <f>'運搬費'!K33</f>
        <v>446040</v>
      </c>
      <c r="F34" s="515"/>
      <c r="G34" s="516">
        <f>'運搬費'!L33</f>
        <v>413000</v>
      </c>
      <c r="H34" s="284"/>
      <c r="I34" s="516">
        <f>'運搬費'!M33</f>
        <v>413000</v>
      </c>
      <c r="J34" s="284">
        <f t="shared" si="3"/>
      </c>
      <c r="K34" s="516">
        <f t="shared" si="0"/>
        <v>275333</v>
      </c>
      <c r="L34" s="492"/>
      <c r="M34" s="492"/>
      <c r="N34" s="506"/>
      <c r="O34" s="236"/>
      <c r="P34" s="511" t="s">
        <v>62</v>
      </c>
      <c r="Q34" s="239">
        <f t="shared" si="4"/>
        <v>275333</v>
      </c>
      <c r="R34" s="446">
        <f t="shared" si="5"/>
        <v>6</v>
      </c>
      <c r="S34" s="240">
        <f>IF(SUM($S$26:$S$27)-$Q$40&gt;=0,0,MIN(ROUNDDOWN(Q34/$Q$39*$Q$43,0),Q34))</f>
        <v>275333</v>
      </c>
      <c r="T34" s="240">
        <f t="shared" si="6"/>
        <v>275333</v>
      </c>
      <c r="U34" s="241">
        <f t="shared" si="1"/>
        <v>0</v>
      </c>
      <c r="V34" s="99" t="str">
        <f t="shared" si="7"/>
        <v>○</v>
      </c>
      <c r="W34" s="99"/>
      <c r="X34" s="99">
        <f t="shared" si="2"/>
      </c>
      <c r="Y34" s="257" t="str">
        <f t="shared" si="8"/>
        <v>○</v>
      </c>
      <c r="Z34" s="903"/>
      <c r="AA34" s="258"/>
      <c r="AB34" s="258"/>
      <c r="AF34" s="179"/>
      <c r="AG34" s="179"/>
    </row>
    <row r="35" spans="2:33" ht="30" customHeight="1" thickBot="1" thickTop="1">
      <c r="B35" s="878" t="s">
        <v>783</v>
      </c>
      <c r="C35" s="879"/>
      <c r="D35" s="511"/>
      <c r="E35" s="535">
        <f>'専門家経費'!K33</f>
        <v>540000</v>
      </c>
      <c r="F35" s="515"/>
      <c r="G35" s="516">
        <f>'専門家経費'!L33</f>
        <v>500000</v>
      </c>
      <c r="H35" s="284"/>
      <c r="I35" s="516">
        <f>'専門家経費'!M33</f>
        <v>500000</v>
      </c>
      <c r="J35" s="284">
        <f t="shared" si="3"/>
      </c>
      <c r="K35" s="516">
        <f t="shared" si="0"/>
        <v>333333</v>
      </c>
      <c r="L35" s="492"/>
      <c r="M35" s="492"/>
      <c r="N35" s="506"/>
      <c r="O35" s="236"/>
      <c r="P35" s="511" t="s">
        <v>783</v>
      </c>
      <c r="Q35" s="239">
        <f t="shared" si="4"/>
        <v>333333</v>
      </c>
      <c r="R35" s="446">
        <f t="shared" si="5"/>
        <v>5</v>
      </c>
      <c r="S35" s="240">
        <f t="shared" si="9"/>
        <v>333333</v>
      </c>
      <c r="T35" s="240">
        <f t="shared" si="6"/>
        <v>333333</v>
      </c>
      <c r="U35" s="247">
        <f t="shared" si="1"/>
        <v>0</v>
      </c>
      <c r="V35" s="99" t="str">
        <f t="shared" si="7"/>
        <v>○</v>
      </c>
      <c r="W35" s="99"/>
      <c r="X35" s="99">
        <f t="shared" si="2"/>
      </c>
      <c r="Y35" s="257" t="str">
        <f t="shared" si="8"/>
        <v>○</v>
      </c>
      <c r="Z35" s="903"/>
      <c r="AA35" s="258"/>
      <c r="AB35" s="258"/>
      <c r="AF35" s="179"/>
      <c r="AG35" s="179"/>
    </row>
    <row r="36" spans="2:33" ht="30" customHeight="1" thickBot="1" thickTop="1">
      <c r="B36" s="878" t="s">
        <v>63</v>
      </c>
      <c r="C36" s="879"/>
      <c r="D36" s="511"/>
      <c r="E36" s="535">
        <f>'雑役務費'!K33</f>
        <v>80000</v>
      </c>
      <c r="F36" s="515"/>
      <c r="G36" s="516">
        <f>'雑役務費'!L33</f>
        <v>80000</v>
      </c>
      <c r="H36" s="284"/>
      <c r="I36" s="516">
        <f>'雑役務費'!M33</f>
        <v>80000</v>
      </c>
      <c r="J36" s="284">
        <f t="shared" si="3"/>
      </c>
      <c r="K36" s="516">
        <f t="shared" si="0"/>
        <v>53333</v>
      </c>
      <c r="L36" s="492"/>
      <c r="M36" s="492"/>
      <c r="N36" s="506"/>
      <c r="O36" s="236"/>
      <c r="P36" s="511" t="s">
        <v>63</v>
      </c>
      <c r="Q36" s="239">
        <f t="shared" si="4"/>
        <v>53333</v>
      </c>
      <c r="R36" s="446">
        <f t="shared" si="5"/>
        <v>9</v>
      </c>
      <c r="S36" s="240">
        <f t="shared" si="9"/>
        <v>53333</v>
      </c>
      <c r="T36" s="240">
        <f t="shared" si="6"/>
        <v>53333</v>
      </c>
      <c r="U36" s="241">
        <f t="shared" si="1"/>
        <v>0</v>
      </c>
      <c r="V36" s="99" t="str">
        <f t="shared" si="7"/>
        <v>○</v>
      </c>
      <c r="W36" s="99"/>
      <c r="X36" s="99">
        <f t="shared" si="2"/>
      </c>
      <c r="Y36" s="257" t="str">
        <f t="shared" si="8"/>
        <v>○</v>
      </c>
      <c r="Z36" s="903"/>
      <c r="AA36" s="258"/>
      <c r="AB36" s="258"/>
      <c r="AF36" s="179"/>
      <c r="AG36" s="179"/>
    </row>
    <row r="37" spans="2:33" ht="30" customHeight="1" thickBot="1" thickTop="1">
      <c r="B37" s="934" t="s">
        <v>784</v>
      </c>
      <c r="C37" s="935"/>
      <c r="D37" s="512"/>
      <c r="E37" s="536">
        <f>'クラウド利用費'!K33</f>
        <v>108000</v>
      </c>
      <c r="F37" s="517"/>
      <c r="G37" s="518">
        <f>'クラウド利用費'!L33</f>
        <v>100000</v>
      </c>
      <c r="H37" s="285"/>
      <c r="I37" s="518">
        <f>'クラウド利用費'!M33</f>
        <v>100000</v>
      </c>
      <c r="J37" s="285">
        <f t="shared" si="3"/>
      </c>
      <c r="K37" s="518">
        <f t="shared" si="0"/>
        <v>66666</v>
      </c>
      <c r="L37" s="495"/>
      <c r="M37" s="495"/>
      <c r="N37" s="507"/>
      <c r="O37" s="236"/>
      <c r="P37" s="512" t="s">
        <v>784</v>
      </c>
      <c r="Q37" s="248">
        <f t="shared" si="4"/>
        <v>66666</v>
      </c>
      <c r="R37" s="446">
        <f t="shared" si="5"/>
        <v>8</v>
      </c>
      <c r="S37" s="240">
        <f>IF(SUM($S$26:$S$27)-$Q$40&gt;=0,0,MIN(ROUNDDOWN(Q37/$Q$39*$Q$43,0),Q37))</f>
        <v>66666</v>
      </c>
      <c r="T37" s="249">
        <f t="shared" si="6"/>
        <v>66666</v>
      </c>
      <c r="U37" s="447">
        <f t="shared" si="1"/>
        <v>0</v>
      </c>
      <c r="V37" s="99" t="str">
        <f t="shared" si="7"/>
        <v>○</v>
      </c>
      <c r="W37" s="99"/>
      <c r="X37" s="99">
        <f t="shared" si="2"/>
      </c>
      <c r="Y37" s="257" t="str">
        <f t="shared" si="8"/>
        <v>○</v>
      </c>
      <c r="Z37" s="903"/>
      <c r="AA37" s="258"/>
      <c r="AB37" s="258"/>
      <c r="AF37" s="179"/>
      <c r="AG37" s="179"/>
    </row>
    <row r="38" spans="2:33" ht="30" customHeight="1" thickTop="1">
      <c r="B38" s="883" t="s">
        <v>704</v>
      </c>
      <c r="C38" s="883"/>
      <c r="D38" s="519" t="s">
        <v>809</v>
      </c>
      <c r="E38" s="286">
        <f>SUM(E26:E37)</f>
        <v>11978366</v>
      </c>
      <c r="F38" s="400"/>
      <c r="G38" s="286">
        <f>SUM(G26:G37)</f>
        <v>11162890</v>
      </c>
      <c r="H38" s="519" t="s">
        <v>810</v>
      </c>
      <c r="I38" s="286">
        <f>SUM(I26:I37)</f>
        <v>11162890</v>
      </c>
      <c r="J38" s="519" t="s">
        <v>811</v>
      </c>
      <c r="K38" s="286">
        <f>SUM(K26:K37)</f>
        <v>7441922</v>
      </c>
      <c r="L38" s="508"/>
      <c r="M38" s="508"/>
      <c r="N38" s="509"/>
      <c r="O38" s="210"/>
      <c r="P38" s="282" t="s">
        <v>57</v>
      </c>
      <c r="Q38" s="246">
        <f>SUM(Q26:Q37)</f>
        <v>7441922</v>
      </c>
      <c r="R38" s="251"/>
      <c r="S38" s="250">
        <f>SUM(S26:S37)</f>
        <v>7441922</v>
      </c>
      <c r="T38" s="246">
        <f>SUM(T26:T37)</f>
        <v>7441922</v>
      </c>
      <c r="U38" s="252"/>
      <c r="V38" s="564" t="s">
        <v>708</v>
      </c>
      <c r="W38" s="565"/>
      <c r="X38" s="263"/>
      <c r="Y38" s="325"/>
      <c r="AA38" s="1"/>
      <c r="AB38" s="1"/>
      <c r="AF38" s="179"/>
      <c r="AG38" s="179"/>
    </row>
    <row r="39" spans="3:33" ht="30" customHeight="1">
      <c r="C39" s="265"/>
      <c r="D39" s="265"/>
      <c r="E39" s="264"/>
      <c r="F39" s="264"/>
      <c r="G39" s="264"/>
      <c r="H39" s="264"/>
      <c r="I39" s="922">
        <f>補助上限額</f>
        <v>10000000</v>
      </c>
      <c r="J39" s="922"/>
      <c r="K39" s="922"/>
      <c r="L39" s="264"/>
      <c r="M39" s="264"/>
      <c r="O39" s="541"/>
      <c r="P39" s="543" t="s">
        <v>713</v>
      </c>
      <c r="Q39" s="605">
        <f>Q38-SUM(Q26:Q27)</f>
        <v>3308591</v>
      </c>
      <c r="R39" s="322" t="s">
        <v>714</v>
      </c>
      <c r="S39" s="606">
        <f>IF(ISERROR(VLOOKUP(2,$R$26:$S$37,2,FALSE)),0,VLOOKUP(2,$R$26:$S$37,2,FALSE))</f>
        <v>1440000</v>
      </c>
      <c r="T39" s="579" t="s">
        <v>715</v>
      </c>
      <c r="U39" s="53"/>
      <c r="V39" s="287" t="s">
        <v>896</v>
      </c>
      <c r="X39" s="179"/>
      <c r="Z39" s="253"/>
      <c r="AF39" s="179"/>
      <c r="AG39" s="179"/>
    </row>
    <row r="40" spans="3:33" ht="30" customHeight="1">
      <c r="C40" s="265"/>
      <c r="D40" s="265"/>
      <c r="E40" s="264"/>
      <c r="F40" s="264"/>
      <c r="G40" s="264"/>
      <c r="H40" s="264"/>
      <c r="N40" s="267"/>
      <c r="O40" s="541"/>
      <c r="P40" s="543" t="s">
        <v>716</v>
      </c>
      <c r="Q40" s="605">
        <f>MIN(Q38,補助上限額)</f>
        <v>7441922</v>
      </c>
      <c r="R40" s="322" t="s">
        <v>717</v>
      </c>
      <c r="S40" s="606">
        <f>SUMIF(R26:R37,2,S26:S37)</f>
        <v>1440000</v>
      </c>
      <c r="T40" s="579" t="s">
        <v>718</v>
      </c>
      <c r="U40" s="53"/>
      <c r="W40" s="179"/>
      <c r="X40" s="179"/>
      <c r="AF40" s="179"/>
      <c r="AG40" s="179"/>
    </row>
    <row r="41" spans="2:33" ht="30" customHeight="1">
      <c r="B41" s="557" t="s">
        <v>705</v>
      </c>
      <c r="C41" s="268"/>
      <c r="D41" s="5"/>
      <c r="E41" s="5"/>
      <c r="F41" s="5"/>
      <c r="H41" s="5"/>
      <c r="N41" s="269"/>
      <c r="O41" s="541"/>
      <c r="P41" s="543" t="s">
        <v>819</v>
      </c>
      <c r="Q41" s="605">
        <f>MAX(Q40-SUM(Q26:Q27),0)</f>
        <v>3308591</v>
      </c>
      <c r="R41" s="322" t="s">
        <v>964</v>
      </c>
      <c r="S41" s="323">
        <f>MIN(Q42-(S38-SUM(S26:S27)),Q40-S38)</f>
        <v>0</v>
      </c>
      <c r="T41" s="579"/>
      <c r="U41" s="53"/>
      <c r="W41" s="179"/>
      <c r="X41" s="179"/>
      <c r="AF41" s="179"/>
      <c r="AG41" s="179"/>
    </row>
    <row r="42" spans="2:33" ht="24.75" customHeight="1">
      <c r="B42" s="270" t="s">
        <v>706</v>
      </c>
      <c r="C42" s="270"/>
      <c r="D42" s="5"/>
      <c r="E42" s="5"/>
      <c r="F42" s="5"/>
      <c r="H42" s="5"/>
      <c r="O42" s="541"/>
      <c r="P42" s="543" t="s">
        <v>820</v>
      </c>
      <c r="Q42" s="605">
        <f>IF(OR(事業類型="革新的サービス（一般型）",事業類型="ものづくり技術"),5000000,Q40)</f>
        <v>5000000</v>
      </c>
      <c r="R42" s="322" t="s">
        <v>965</v>
      </c>
      <c r="S42" s="324">
        <f>IF(S39=0,0,S40/S39)</f>
        <v>1</v>
      </c>
      <c r="T42" s="574"/>
      <c r="U42" s="47"/>
      <c r="W42" s="179"/>
      <c r="X42" s="179"/>
      <c r="AF42" s="179"/>
      <c r="AG42" s="179"/>
    </row>
    <row r="43" spans="2:33" ht="21.75" customHeight="1">
      <c r="B43" s="271" t="s">
        <v>707</v>
      </c>
      <c r="C43" s="271"/>
      <c r="D43" s="5"/>
      <c r="E43" s="5"/>
      <c r="F43" s="5"/>
      <c r="H43" s="5"/>
      <c r="O43" s="542"/>
      <c r="P43" s="544" t="s">
        <v>719</v>
      </c>
      <c r="Q43" s="607">
        <f>IF(SUM(Q26:Q27)=0,Q42,MIN(Q40,Q41,Q42))</f>
        <v>3308591</v>
      </c>
      <c r="R43" s="608" t="s">
        <v>131</v>
      </c>
      <c r="S43" s="323">
        <f>IF(S42=0,0,ROUNDDOWN(S41/S42,0))</f>
        <v>0</v>
      </c>
      <c r="T43" s="574"/>
      <c r="U43" s="47"/>
      <c r="W43" s="179"/>
      <c r="X43" s="179"/>
      <c r="AF43" s="179"/>
      <c r="AG43" s="179"/>
    </row>
    <row r="44" spans="2:33" ht="22.5" customHeight="1">
      <c r="B44" s="273"/>
      <c r="C44" s="273"/>
      <c r="D44" s="5"/>
      <c r="E44" s="5"/>
      <c r="F44" s="5"/>
      <c r="H44" s="5"/>
      <c r="P44" s="920"/>
      <c r="W44" s="179"/>
      <c r="X44" s="179"/>
      <c r="AF44" s="179"/>
      <c r="AG44" s="179"/>
    </row>
    <row r="45" spans="2:33" ht="30" customHeight="1">
      <c r="B45" s="888" t="s">
        <v>42</v>
      </c>
      <c r="C45" s="889"/>
      <c r="D45" s="889"/>
      <c r="E45" s="889"/>
      <c r="F45" s="889"/>
      <c r="H45" s="496"/>
      <c r="I45" s="890" t="s">
        <v>694</v>
      </c>
      <c r="J45" s="890"/>
      <c r="K45" s="890"/>
      <c r="P45" s="920"/>
      <c r="W45" s="179"/>
      <c r="X45" s="179"/>
      <c r="AF45" s="179"/>
      <c r="AG45" s="179"/>
    </row>
    <row r="46" spans="2:33" ht="30" customHeight="1" thickBot="1">
      <c r="B46" s="882" t="s">
        <v>43</v>
      </c>
      <c r="C46" s="882"/>
      <c r="D46" s="545"/>
      <c r="E46" s="891" t="s">
        <v>44</v>
      </c>
      <c r="F46" s="545"/>
      <c r="G46" s="891" t="s">
        <v>695</v>
      </c>
      <c r="H46" s="497"/>
      <c r="I46" s="924" t="s">
        <v>43</v>
      </c>
      <c r="J46" s="925"/>
      <c r="K46" s="932" t="s">
        <v>44</v>
      </c>
      <c r="L46" s="874" t="s">
        <v>45</v>
      </c>
      <c r="M46" s="875"/>
      <c r="P46" s="256" t="s">
        <v>687</v>
      </c>
      <c r="Q46" s="609"/>
      <c r="R46" s="609"/>
      <c r="S46" s="586"/>
      <c r="T46" s="610"/>
      <c r="W46" s="179"/>
      <c r="X46" s="179"/>
      <c r="AF46" s="179"/>
      <c r="AG46" s="179"/>
    </row>
    <row r="47" spans="2:33" ht="30" customHeight="1" thickTop="1">
      <c r="B47" s="882"/>
      <c r="C47" s="882"/>
      <c r="D47" s="546"/>
      <c r="E47" s="892"/>
      <c r="F47" s="547"/>
      <c r="G47" s="892"/>
      <c r="H47" s="272"/>
      <c r="I47" s="926"/>
      <c r="J47" s="927"/>
      <c r="K47" s="933"/>
      <c r="L47" s="874"/>
      <c r="M47" s="875"/>
      <c r="P47" s="448" t="s">
        <v>690</v>
      </c>
      <c r="Q47" s="916" t="s">
        <v>171</v>
      </c>
      <c r="R47" s="916"/>
      <c r="S47" s="917"/>
      <c r="T47" s="610"/>
      <c r="W47" s="179"/>
      <c r="X47" s="179"/>
      <c r="AF47" s="179"/>
      <c r="AG47" s="179"/>
    </row>
    <row r="48" spans="2:33" ht="30" customHeight="1">
      <c r="B48" s="880" t="s">
        <v>696</v>
      </c>
      <c r="C48" s="880"/>
      <c r="D48" s="548"/>
      <c r="E48" s="794">
        <f>E52-E49-E50-E51</f>
        <v>4536444</v>
      </c>
      <c r="F48" s="246"/>
      <c r="G48" s="549"/>
      <c r="H48" s="498"/>
      <c r="I48" s="872" t="s">
        <v>46</v>
      </c>
      <c r="J48" s="873"/>
      <c r="K48" s="474">
        <v>0</v>
      </c>
      <c r="L48" s="874"/>
      <c r="M48" s="875"/>
      <c r="P48" s="449" t="s">
        <v>691</v>
      </c>
      <c r="Q48" s="910">
        <v>0.08</v>
      </c>
      <c r="R48" s="910"/>
      <c r="S48" s="911"/>
      <c r="T48" s="610"/>
      <c r="W48" s="179"/>
      <c r="X48" s="179"/>
      <c r="AF48" s="179"/>
      <c r="AG48" s="179"/>
    </row>
    <row r="49" spans="2:33" ht="30" customHeight="1">
      <c r="B49" s="881" t="s">
        <v>697</v>
      </c>
      <c r="C49" s="881"/>
      <c r="D49" s="552"/>
      <c r="E49" s="553">
        <f>K38</f>
        <v>7441922</v>
      </c>
      <c r="F49" s="553"/>
      <c r="G49" s="554"/>
      <c r="H49" s="499"/>
      <c r="I49" s="872" t="s">
        <v>698</v>
      </c>
      <c r="J49" s="873"/>
      <c r="K49" s="246">
        <f>K51-K48-K50</f>
        <v>7441922</v>
      </c>
      <c r="L49" s="876" t="str">
        <f>IF(K49=0,"",'基本情報入力（使い方）'!C29)</f>
        <v>○○信用金庫　○○支店</v>
      </c>
      <c r="M49" s="877"/>
      <c r="P49" s="259" t="s">
        <v>692</v>
      </c>
      <c r="Q49" s="886"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R49" s="886"/>
      <c r="S49" s="887"/>
      <c r="T49" s="610"/>
      <c r="W49" s="179"/>
      <c r="X49" s="179"/>
      <c r="AF49" s="179"/>
      <c r="AG49" s="179"/>
    </row>
    <row r="50" spans="2:33" ht="30" customHeight="1">
      <c r="B50" s="880" t="s">
        <v>699</v>
      </c>
      <c r="C50" s="880"/>
      <c r="D50" s="548"/>
      <c r="E50" s="246">
        <v>0</v>
      </c>
      <c r="F50" s="246"/>
      <c r="G50" s="274">
        <f>IF(E50=0,"",'基本情報入力（使い方）'!C29)</f>
      </c>
      <c r="H50" s="500"/>
      <c r="I50" s="872" t="s">
        <v>47</v>
      </c>
      <c r="J50" s="873"/>
      <c r="K50" s="474">
        <v>0</v>
      </c>
      <c r="L50" s="874"/>
      <c r="M50" s="875"/>
      <c r="P50" s="259"/>
      <c r="Q50" s="886"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R50" s="886"/>
      <c r="S50" s="887"/>
      <c r="T50" s="610"/>
      <c r="W50" s="179"/>
      <c r="X50" s="179"/>
      <c r="AF50" s="179"/>
      <c r="AG50" s="179"/>
    </row>
    <row r="51" spans="2:33" ht="30" customHeight="1" thickBot="1">
      <c r="B51" s="880" t="s">
        <v>700</v>
      </c>
      <c r="C51" s="880"/>
      <c r="D51" s="548"/>
      <c r="E51" s="246"/>
      <c r="F51" s="246"/>
      <c r="G51" s="274"/>
      <c r="H51" s="498"/>
      <c r="I51" s="923" t="s">
        <v>701</v>
      </c>
      <c r="J51" s="873"/>
      <c r="K51" s="246">
        <f>E49</f>
        <v>7441922</v>
      </c>
      <c r="L51" s="893"/>
      <c r="M51" s="894"/>
      <c r="P51" s="260" t="s">
        <v>693</v>
      </c>
      <c r="Q51" s="884">
        <f>IF(OR('基本情報入力（使い方）'!$C$15=1,'基本情報入力（使い方）'!$C$15=2),10000000,IF('基本情報入力（使い方）'!$C$15=3,7000000,IF(OR('基本情報入力（使い方）'!$C$15=4,'基本情報入力（使い方）'!$C$15=5),10000000,5000000)))</f>
        <v>10000000</v>
      </c>
      <c r="R51" s="884"/>
      <c r="S51" s="885"/>
      <c r="T51" s="586"/>
      <c r="U51" s="224"/>
      <c r="W51" s="179"/>
      <c r="X51" s="179"/>
      <c r="AF51" s="179"/>
      <c r="AG51" s="179"/>
    </row>
    <row r="52" spans="2:33" ht="30" customHeight="1" thickTop="1">
      <c r="B52" s="880" t="s">
        <v>702</v>
      </c>
      <c r="C52" s="880"/>
      <c r="D52" s="548"/>
      <c r="E52" s="246">
        <f>E38</f>
        <v>11978366</v>
      </c>
      <c r="F52" s="246"/>
      <c r="G52" s="549"/>
      <c r="H52" s="498"/>
      <c r="I52" s="275"/>
      <c r="J52" s="275"/>
      <c r="K52" s="12"/>
      <c r="Q52" s="586"/>
      <c r="R52" s="224"/>
      <c r="S52" s="223"/>
      <c r="T52" s="225"/>
      <c r="U52"/>
      <c r="W52" s="179"/>
      <c r="X52" s="179"/>
      <c r="AF52" s="179"/>
      <c r="AG52" s="179"/>
    </row>
    <row r="53" spans="3:33" ht="30" customHeight="1">
      <c r="C53" s="550"/>
      <c r="D53" s="550"/>
      <c r="E53" s="551"/>
      <c r="F53" s="551"/>
      <c r="G53" s="551"/>
      <c r="H53" s="276"/>
      <c r="I53" s="277" t="s">
        <v>703</v>
      </c>
      <c r="J53" s="277"/>
      <c r="K53" s="276"/>
      <c r="Q53" s="586"/>
      <c r="R53" s="586"/>
      <c r="S53" s="611"/>
      <c r="T53" s="611"/>
      <c r="U53"/>
      <c r="V53"/>
      <c r="W53" s="179"/>
      <c r="X53" s="179"/>
      <c r="AF53" s="179"/>
      <c r="AG53" s="179"/>
    </row>
    <row r="54" spans="3:33" ht="30" customHeight="1">
      <c r="C54" s="12"/>
      <c r="D54" s="12"/>
      <c r="E54" s="278"/>
      <c r="F54" s="278"/>
      <c r="G54" s="278"/>
      <c r="H54" s="278"/>
      <c r="I54" s="279"/>
      <c r="J54" s="280" t="str">
        <f>'基本情報入力（使い方）'!C33</f>
        <v>総務部長　経済計子</v>
      </c>
      <c r="K54" s="278"/>
      <c r="Q54" s="586"/>
      <c r="R54" s="586"/>
      <c r="S54" s="586"/>
      <c r="T54" s="586"/>
      <c r="U54" s="208"/>
      <c r="W54" s="179"/>
      <c r="X54" s="179"/>
      <c r="AF54" s="179"/>
      <c r="AG54" s="179"/>
    </row>
    <row r="55" spans="9:33" ht="30" customHeight="1">
      <c r="I55" s="102" t="s">
        <v>720</v>
      </c>
      <c r="J55" s="102"/>
      <c r="U55" s="208"/>
      <c r="W55" s="179"/>
      <c r="X55" s="179"/>
      <c r="AF55" s="179"/>
      <c r="AG55" s="179"/>
    </row>
    <row r="56" spans="9:33" ht="30" customHeight="1">
      <c r="I56" s="102"/>
      <c r="J56" s="281" t="str">
        <f>'基本情報入力（使い方）'!C34</f>
        <v>TEL　052-123-4567</v>
      </c>
      <c r="W56" s="179"/>
      <c r="X56" s="179"/>
      <c r="AF56" s="179"/>
      <c r="AG56" s="179"/>
    </row>
    <row r="57" spans="21:33" ht="30" customHeight="1">
      <c r="U57"/>
      <c r="W57" s="179"/>
      <c r="X57" s="179"/>
      <c r="AF57" s="179"/>
      <c r="AG57" s="179"/>
    </row>
    <row r="58" spans="21:49" ht="30" customHeight="1">
      <c r="U58"/>
      <c r="W58"/>
      <c r="X58"/>
      <c r="AB58" s="208"/>
      <c r="AC58" s="208"/>
      <c r="AF58" s="179"/>
      <c r="AG58" s="179"/>
      <c r="AS58" s="207"/>
      <c r="AT58" s="207"/>
      <c r="AU58" s="207"/>
      <c r="AV58" s="207"/>
      <c r="AW58" s="207"/>
    </row>
    <row r="59" spans="21:49" ht="30" customHeight="1">
      <c r="U59"/>
      <c r="V59" s="261"/>
      <c r="W59"/>
      <c r="X59"/>
      <c r="AB59" s="208"/>
      <c r="AC59" s="208"/>
      <c r="AF59" s="179"/>
      <c r="AG59" s="179"/>
      <c r="AS59" s="207"/>
      <c r="AT59" s="207"/>
      <c r="AU59" s="207"/>
      <c r="AV59" s="207"/>
      <c r="AW59" s="207"/>
    </row>
    <row r="60" spans="21:49" ht="31.5" customHeight="1">
      <c r="U60"/>
      <c r="V60"/>
      <c r="W60"/>
      <c r="X60"/>
      <c r="AB60" s="208"/>
      <c r="AC60" s="208"/>
      <c r="AF60" s="179"/>
      <c r="AG60" s="179"/>
      <c r="AR60" s="207"/>
      <c r="AS60"/>
      <c r="AT60"/>
      <c r="AU60"/>
      <c r="AV60"/>
      <c r="AW60"/>
    </row>
    <row r="61" spans="21:49" ht="38.25" customHeight="1">
      <c r="U61"/>
      <c r="V61"/>
      <c r="W61"/>
      <c r="X61"/>
      <c r="AB61" s="208"/>
      <c r="AC61" s="208"/>
      <c r="AF61" s="179"/>
      <c r="AG61" s="179"/>
      <c r="AR61" s="207"/>
      <c r="AS61"/>
      <c r="AT61"/>
      <c r="AU61"/>
      <c r="AV61"/>
      <c r="AW61"/>
    </row>
    <row r="62" spans="23:49" ht="38.25" customHeight="1">
      <c r="W62"/>
      <c r="X62"/>
      <c r="Y62"/>
      <c r="Z62"/>
      <c r="AA62"/>
      <c r="AB62"/>
      <c r="AC62"/>
      <c r="AF62" s="179"/>
      <c r="AH62" s="208"/>
      <c r="AW62" s="207"/>
    </row>
    <row r="63" spans="23:33" ht="38.25" customHeight="1">
      <c r="W63"/>
      <c r="X63"/>
      <c r="Y63"/>
      <c r="Z63"/>
      <c r="AA63"/>
      <c r="AB63"/>
      <c r="AC63"/>
      <c r="AD63" s="137"/>
      <c r="AF63" s="179"/>
      <c r="AG63" s="179"/>
    </row>
    <row r="64" spans="18:52" ht="38.25" customHeight="1">
      <c r="R64" s="586"/>
      <c r="S64" s="586"/>
      <c r="W64"/>
      <c r="X64"/>
      <c r="Y64"/>
      <c r="Z64"/>
      <c r="AA64"/>
      <c r="AB64"/>
      <c r="AC64"/>
      <c r="AD64" s="137"/>
      <c r="AE64" s="137"/>
      <c r="AF64" s="137"/>
      <c r="AG64" s="179"/>
      <c r="AZ64" s="207"/>
    </row>
    <row r="65" spans="18:52" ht="30" customHeight="1">
      <c r="R65" s="586"/>
      <c r="S65" s="586"/>
      <c r="W65"/>
      <c r="X65"/>
      <c r="Y65"/>
      <c r="Z65"/>
      <c r="AA65"/>
      <c r="AB65"/>
      <c r="AC65"/>
      <c r="AD65" s="223"/>
      <c r="AE65" s="225"/>
      <c r="AF65" s="224"/>
      <c r="AG65" s="179"/>
      <c r="AZ65" s="207"/>
    </row>
    <row r="66" spans="17:52" ht="30" customHeight="1">
      <c r="Q66" s="483"/>
      <c r="R66" s="586"/>
      <c r="S66" s="586"/>
      <c r="W66" s="908"/>
      <c r="X66" s="909"/>
      <c r="Y66" s="909"/>
      <c r="Z66" s="909"/>
      <c r="AA66" s="272"/>
      <c r="AB66"/>
      <c r="AC66" s="44"/>
      <c r="AD66" s="223"/>
      <c r="AE66" s="225"/>
      <c r="AF66" s="44"/>
      <c r="AG66" s="179"/>
      <c r="AZ66" s="207"/>
    </row>
    <row r="67" spans="23:52" ht="30" customHeight="1">
      <c r="W67" s="908"/>
      <c r="X67" s="909"/>
      <c r="Y67" s="909"/>
      <c r="Z67" s="909"/>
      <c r="AA67" s="272"/>
      <c r="AB67"/>
      <c r="AC67" s="44"/>
      <c r="AD67" s="223"/>
      <c r="AE67" s="225"/>
      <c r="AF67" s="44"/>
      <c r="AG67" s="179"/>
      <c r="AZ67" s="207"/>
    </row>
    <row r="68" spans="23:52" ht="30" customHeight="1">
      <c r="W68" s="179"/>
      <c r="X68" s="179"/>
      <c r="AF68" s="179"/>
      <c r="AG68" s="179"/>
      <c r="AZ68" s="207"/>
    </row>
    <row r="69" spans="23:52" ht="20.25" customHeight="1">
      <c r="W69" s="179"/>
      <c r="X69" s="179"/>
      <c r="AF69" s="179"/>
      <c r="AG69" s="179"/>
      <c r="AZ69" s="207"/>
    </row>
    <row r="70" spans="23:54" ht="30" customHeight="1">
      <c r="W70" s="179"/>
      <c r="X70" s="179"/>
      <c r="AF70" s="179"/>
      <c r="AG70" s="179"/>
      <c r="AM70" s="488"/>
      <c r="AN70" s="488"/>
      <c r="AO70" s="488"/>
      <c r="AP70" s="488"/>
      <c r="AQ70" s="488"/>
      <c r="AR70" s="265"/>
      <c r="AS70" s="265"/>
      <c r="AT70" s="265"/>
      <c r="AU70" s="265"/>
      <c r="AV70" s="265"/>
      <c r="AW70" s="265"/>
      <c r="AX70" s="265"/>
      <c r="AY70" s="265"/>
      <c r="AZ70" s="265"/>
      <c r="BA70" s="265"/>
      <c r="BB70" s="265"/>
    </row>
    <row r="71" spans="23:54" ht="30" customHeight="1">
      <c r="W71" s="179"/>
      <c r="X71" s="179"/>
      <c r="AF71" s="179"/>
      <c r="AG71" s="179"/>
      <c r="AM71" s="484"/>
      <c r="AN71" s="484"/>
      <c r="AO71" s="489"/>
      <c r="AP71" s="486"/>
      <c r="AQ71" s="484"/>
      <c r="AR71" s="484"/>
      <c r="AS71" s="489"/>
      <c r="AT71" s="484"/>
      <c r="AU71" s="489"/>
      <c r="AV71" s="484"/>
      <c r="AW71" s="489"/>
      <c r="AX71" s="484"/>
      <c r="AY71" s="489"/>
      <c r="AZ71" s="484"/>
      <c r="BA71" s="484"/>
      <c r="BB71" s="484"/>
    </row>
    <row r="72" spans="23:54" ht="30" customHeight="1">
      <c r="W72" s="179"/>
      <c r="X72" s="179"/>
      <c r="AF72" s="179"/>
      <c r="AG72" s="179"/>
      <c r="AM72" s="484"/>
      <c r="AN72" s="484"/>
      <c r="AO72" s="489"/>
      <c r="AP72" s="486"/>
      <c r="AQ72" s="484"/>
      <c r="AR72" s="484"/>
      <c r="AS72" s="489"/>
      <c r="AT72" s="484"/>
      <c r="AU72" s="489"/>
      <c r="AV72" s="484"/>
      <c r="AW72" s="489"/>
      <c r="AX72" s="484"/>
      <c r="AY72" s="489"/>
      <c r="AZ72" s="484"/>
      <c r="BA72" s="484"/>
      <c r="BB72" s="484"/>
    </row>
    <row r="73" spans="23:54" ht="30" customHeight="1">
      <c r="W73" s="179"/>
      <c r="X73" s="179"/>
      <c r="AF73" s="179"/>
      <c r="AG73" s="179"/>
      <c r="AM73" s="484"/>
      <c r="AN73" s="484"/>
      <c r="AO73" s="489"/>
      <c r="AP73" s="486"/>
      <c r="AQ73" s="484"/>
      <c r="AR73" s="484"/>
      <c r="AS73" s="489"/>
      <c r="AT73" s="484"/>
      <c r="AU73" s="489"/>
      <c r="AV73" s="484"/>
      <c r="AW73" s="489"/>
      <c r="AX73" s="484"/>
      <c r="AY73" s="489"/>
      <c r="AZ73" s="484"/>
      <c r="BA73" s="484"/>
      <c r="BB73" s="484"/>
    </row>
    <row r="74" spans="23:54" ht="30" customHeight="1">
      <c r="W74" s="179"/>
      <c r="X74" s="179"/>
      <c r="AF74" s="179"/>
      <c r="AG74" s="179"/>
      <c r="AM74" s="484"/>
      <c r="AN74" s="484"/>
      <c r="AO74" s="265"/>
      <c r="AP74" s="486"/>
      <c r="AQ74" s="265"/>
      <c r="AR74" s="484"/>
      <c r="AS74" s="489"/>
      <c r="AT74" s="484"/>
      <c r="AU74" s="489"/>
      <c r="AV74" s="484"/>
      <c r="AW74" s="489"/>
      <c r="AX74" s="484"/>
      <c r="AY74" s="489"/>
      <c r="AZ74" s="484"/>
      <c r="BA74" s="484"/>
      <c r="BB74" s="484"/>
    </row>
    <row r="75" spans="23:54" ht="30" customHeight="1">
      <c r="W75" s="179"/>
      <c r="X75" s="179"/>
      <c r="AF75" s="179"/>
      <c r="AG75" s="179"/>
      <c r="AM75" s="487"/>
      <c r="AN75" s="487"/>
      <c r="AO75" s="487"/>
      <c r="AP75" s="487"/>
      <c r="AQ75" s="487"/>
      <c r="AR75" s="487"/>
      <c r="AS75" s="487"/>
      <c r="AT75" s="487"/>
      <c r="AU75" s="487"/>
      <c r="AV75" s="487"/>
      <c r="AW75" s="487"/>
      <c r="AX75" s="487"/>
      <c r="AY75" s="487"/>
      <c r="AZ75" s="483"/>
      <c r="BA75" s="483"/>
      <c r="BB75" s="483"/>
    </row>
    <row r="76" spans="23:54" ht="26.25" customHeight="1">
      <c r="W76" s="179"/>
      <c r="X76" s="179"/>
      <c r="AF76" s="179"/>
      <c r="AG76" s="179"/>
      <c r="AM76" s="265"/>
      <c r="AN76" s="488"/>
      <c r="AO76" s="265"/>
      <c r="AP76" s="488"/>
      <c r="AQ76" s="265"/>
      <c r="AR76" s="488"/>
      <c r="AS76" s="265"/>
      <c r="AT76" s="488"/>
      <c r="AU76" s="265"/>
      <c r="AV76" s="488"/>
      <c r="AW76" s="265"/>
      <c r="AX76" s="488"/>
      <c r="AY76" s="265"/>
      <c r="AZ76" s="485"/>
      <c r="BA76" s="485"/>
      <c r="BB76" s="485"/>
    </row>
    <row r="77" spans="23:47" ht="13.5">
      <c r="W77" s="179"/>
      <c r="X77" s="179"/>
      <c r="AF77" s="179"/>
      <c r="AG77" s="179"/>
      <c r="AM77"/>
      <c r="AN77"/>
      <c r="AO77"/>
      <c r="AP77"/>
      <c r="AQ77"/>
      <c r="AR77"/>
      <c r="AS77"/>
      <c r="AT77"/>
      <c r="AU77"/>
    </row>
    <row r="78" spans="23:33" ht="11.25">
      <c r="W78" s="179"/>
      <c r="X78" s="179"/>
      <c r="AF78" s="179"/>
      <c r="AG78" s="179"/>
    </row>
    <row r="79" spans="23:33" ht="11.25">
      <c r="W79" s="179"/>
      <c r="X79" s="179"/>
      <c r="AF79" s="179"/>
      <c r="AG79" s="179"/>
    </row>
    <row r="80" spans="23:33" ht="11.25">
      <c r="W80" s="179"/>
      <c r="X80" s="179"/>
      <c r="AF80" s="179"/>
      <c r="AG80" s="179"/>
    </row>
    <row r="81" spans="23:54" ht="13.5">
      <c r="W81" s="179"/>
      <c r="X81" s="179"/>
      <c r="AF81" s="179"/>
      <c r="AG81" s="179"/>
      <c r="AM81"/>
      <c r="AN81"/>
      <c r="AO81"/>
      <c r="AP81"/>
      <c r="AQ81"/>
      <c r="AR81"/>
      <c r="AS81"/>
      <c r="AT81"/>
      <c r="AU81"/>
      <c r="AV81"/>
      <c r="AW81"/>
      <c r="AX81"/>
      <c r="AY81"/>
      <c r="AZ81" s="1"/>
      <c r="BA81" s="1"/>
      <c r="BB81" s="1"/>
    </row>
    <row r="82" spans="23:54" ht="13.5">
      <c r="W82" s="179"/>
      <c r="X82" s="179"/>
      <c r="AF82" s="179"/>
      <c r="AG82" s="179"/>
      <c r="AM82"/>
      <c r="AN82"/>
      <c r="AO82"/>
      <c r="AP82"/>
      <c r="AQ82"/>
      <c r="AR82"/>
      <c r="AS82"/>
      <c r="AT82"/>
      <c r="AU82"/>
      <c r="AV82"/>
      <c r="AW82"/>
      <c r="AX82"/>
      <c r="AY82"/>
      <c r="AZ82" s="1"/>
      <c r="BA82" s="1"/>
      <c r="BB82" s="1"/>
    </row>
    <row r="83" spans="21:54" ht="13.5">
      <c r="U83" s="1"/>
      <c r="V83" s="1"/>
      <c r="W83" s="179"/>
      <c r="X83" s="179"/>
      <c r="AF83" s="179"/>
      <c r="AG83" s="179"/>
      <c r="AM83"/>
      <c r="AN83"/>
      <c r="AO83"/>
      <c r="AP83"/>
      <c r="AQ83"/>
      <c r="AR83"/>
      <c r="AS83"/>
      <c r="AT83"/>
      <c r="AU83"/>
      <c r="AV83"/>
      <c r="AW83"/>
      <c r="AX83"/>
      <c r="AY83"/>
      <c r="AZ83" s="1"/>
      <c r="BA83" s="1"/>
      <c r="BB83" s="1"/>
    </row>
    <row r="84" spans="15:51" ht="24">
      <c r="O84" s="210"/>
      <c r="P84" s="211"/>
      <c r="Q84" s="612"/>
      <c r="R84" s="612"/>
      <c r="S84" s="612"/>
      <c r="T84" s="613"/>
      <c r="W84" s="179"/>
      <c r="X84" s="179"/>
      <c r="AF84" s="179"/>
      <c r="AG84" s="179"/>
      <c r="AM84"/>
      <c r="AN84"/>
      <c r="AO84"/>
      <c r="AP84"/>
      <c r="AQ84"/>
      <c r="AR84"/>
      <c r="AS84"/>
      <c r="AT84"/>
      <c r="AU84"/>
      <c r="AV84"/>
      <c r="AW84"/>
      <c r="AX84"/>
      <c r="AY84"/>
    </row>
    <row r="85" spans="23:49" ht="13.5">
      <c r="W85" s="179"/>
      <c r="X85" s="179"/>
      <c r="AF85" s="179"/>
      <c r="AG85" s="179"/>
      <c r="AM85"/>
      <c r="AN85"/>
      <c r="AO85"/>
      <c r="AP85"/>
      <c r="AQ85"/>
      <c r="AR85"/>
      <c r="AS85"/>
      <c r="AT85"/>
      <c r="AU85"/>
      <c r="AV85"/>
      <c r="AW85"/>
    </row>
    <row r="86" spans="23:49" ht="13.5">
      <c r="W86" s="179"/>
      <c r="X86" s="179"/>
      <c r="AF86" s="179"/>
      <c r="AG86" s="179"/>
      <c r="AM86"/>
      <c r="AN86"/>
      <c r="AO86"/>
      <c r="AP86"/>
      <c r="AQ86"/>
      <c r="AR86"/>
      <c r="AS86"/>
      <c r="AT86"/>
      <c r="AU86"/>
      <c r="AV86"/>
      <c r="AW86"/>
    </row>
    <row r="87" spans="23:49" ht="13.5">
      <c r="W87" s="179"/>
      <c r="X87" s="179"/>
      <c r="AF87" s="179"/>
      <c r="AG87" s="179"/>
      <c r="AM87"/>
      <c r="AN87"/>
      <c r="AO87"/>
      <c r="AP87"/>
      <c r="AQ87"/>
      <c r="AR87"/>
      <c r="AS87"/>
      <c r="AT87"/>
      <c r="AU87"/>
      <c r="AV87"/>
      <c r="AW87"/>
    </row>
    <row r="88" spans="23:49" ht="13.5">
      <c r="W88" s="179"/>
      <c r="X88" s="179"/>
      <c r="AF88" s="179"/>
      <c r="AG88" s="179"/>
      <c r="AM88"/>
      <c r="AN88"/>
      <c r="AO88"/>
      <c r="AP88"/>
      <c r="AQ88"/>
      <c r="AR88"/>
      <c r="AS88"/>
      <c r="AT88"/>
      <c r="AU88"/>
      <c r="AV88"/>
      <c r="AW88"/>
    </row>
    <row r="89" spans="23:49" ht="13.5">
      <c r="W89" s="179"/>
      <c r="X89" s="179"/>
      <c r="AF89" s="179"/>
      <c r="AG89" s="179"/>
      <c r="AM89"/>
      <c r="AN89"/>
      <c r="AO89"/>
      <c r="AP89"/>
      <c r="AQ89"/>
      <c r="AR89"/>
      <c r="AS89"/>
      <c r="AT89"/>
      <c r="AU89"/>
      <c r="AV89"/>
      <c r="AW89"/>
    </row>
    <row r="90" spans="23:50" ht="13.5">
      <c r="W90" s="178"/>
      <c r="X90"/>
      <c r="Y90"/>
      <c r="AD90"/>
      <c r="AE90"/>
      <c r="AF90"/>
      <c r="AG90"/>
      <c r="AH90"/>
      <c r="AI90"/>
      <c r="AJ90"/>
      <c r="AK90"/>
      <c r="AL90"/>
      <c r="AM90"/>
      <c r="AN90"/>
      <c r="AO90"/>
      <c r="AP90"/>
      <c r="AQ90"/>
      <c r="AR90"/>
      <c r="AS90"/>
      <c r="AT90"/>
      <c r="AU90"/>
      <c r="AV90"/>
      <c r="AW90"/>
      <c r="AX90"/>
    </row>
    <row r="91" spans="23:50" ht="13.5">
      <c r="W91" s="235"/>
      <c r="X91"/>
      <c r="Y91"/>
      <c r="Z91" s="261"/>
      <c r="AA91"/>
      <c r="AB91"/>
      <c r="AC91"/>
      <c r="AD91"/>
      <c r="AE91"/>
      <c r="AF91"/>
      <c r="AG91"/>
      <c r="AH91"/>
      <c r="AI91"/>
      <c r="AJ91"/>
      <c r="AK91"/>
      <c r="AL91"/>
      <c r="AM91"/>
      <c r="AN91"/>
      <c r="AO91"/>
      <c r="AP91"/>
      <c r="AQ91"/>
      <c r="AR91"/>
      <c r="AS91"/>
      <c r="AT91"/>
      <c r="AU91"/>
      <c r="AV91"/>
      <c r="AW91"/>
      <c r="AX91"/>
    </row>
    <row r="92" spans="23:50" ht="13.5">
      <c r="W92" s="178"/>
      <c r="X92"/>
      <c r="Y92"/>
      <c r="Z92" s="262"/>
      <c r="AA92"/>
      <c r="AB92"/>
      <c r="AC92"/>
      <c r="AD92"/>
      <c r="AE92"/>
      <c r="AF92"/>
      <c r="AG92"/>
      <c r="AH92"/>
      <c r="AI92"/>
      <c r="AJ92"/>
      <c r="AK92"/>
      <c r="AL92"/>
      <c r="AM92"/>
      <c r="AN92"/>
      <c r="AO92"/>
      <c r="AP92"/>
      <c r="AQ92"/>
      <c r="AR92"/>
      <c r="AS92"/>
      <c r="AT92"/>
      <c r="AU92"/>
      <c r="AV92"/>
      <c r="AW92"/>
      <c r="AX92"/>
    </row>
    <row r="93" spans="23:50" ht="13.5">
      <c r="W93" s="179"/>
      <c r="X93"/>
      <c r="Y93"/>
      <c r="Z93" s="262"/>
      <c r="AA93"/>
      <c r="AB93"/>
      <c r="AC93"/>
      <c r="AD93"/>
      <c r="AE93"/>
      <c r="AF93"/>
      <c r="AG93"/>
      <c r="AH93"/>
      <c r="AI93"/>
      <c r="AJ93"/>
      <c r="AK93"/>
      <c r="AL93"/>
      <c r="AM93"/>
      <c r="AN93"/>
      <c r="AO93"/>
      <c r="AP93"/>
      <c r="AQ93"/>
      <c r="AR93"/>
      <c r="AS93"/>
      <c r="AT93"/>
      <c r="AU93"/>
      <c r="AV93"/>
      <c r="AW93"/>
      <c r="AX93"/>
    </row>
    <row r="94" spans="25:53" ht="17.25">
      <c r="Y94" s="258"/>
      <c r="AA94"/>
      <c r="AB94"/>
      <c r="AD94"/>
      <c r="AE94"/>
      <c r="AF94"/>
      <c r="AG94"/>
      <c r="AH94"/>
      <c r="AI94"/>
      <c r="AJ94"/>
      <c r="AK94"/>
      <c r="AL94"/>
      <c r="AM94"/>
      <c r="AN94"/>
      <c r="AO94"/>
      <c r="AP94"/>
      <c r="AQ94"/>
      <c r="AR94"/>
      <c r="AS94"/>
      <c r="AT94"/>
      <c r="AU94"/>
      <c r="AV94"/>
      <c r="AW94"/>
      <c r="AX94"/>
      <c r="AY94"/>
      <c r="AZ94"/>
      <c r="BA94"/>
    </row>
    <row r="95" spans="25:53" ht="17.25">
      <c r="Y95" s="258"/>
      <c r="AA95"/>
      <c r="AB95"/>
      <c r="AD95"/>
      <c r="AE95"/>
      <c r="AF95"/>
      <c r="AG95"/>
      <c r="AH95"/>
      <c r="AI95"/>
      <c r="AJ95"/>
      <c r="AK95"/>
      <c r="AL95"/>
      <c r="AM95"/>
      <c r="AN95"/>
      <c r="AO95"/>
      <c r="AP95"/>
      <c r="AQ95"/>
      <c r="AR95"/>
      <c r="AS95"/>
      <c r="AT95"/>
      <c r="AU95"/>
      <c r="AV95"/>
      <c r="AW95"/>
      <c r="AX95"/>
      <c r="AY95"/>
      <c r="AZ95"/>
      <c r="BA95"/>
    </row>
    <row r="96" spans="25:53" ht="17.25">
      <c r="Y96" s="258"/>
      <c r="AD96"/>
      <c r="AE96"/>
      <c r="AF96"/>
      <c r="AG96"/>
      <c r="AH96"/>
      <c r="AI96"/>
      <c r="AJ96"/>
      <c r="AK96"/>
      <c r="AL96"/>
      <c r="AM96"/>
      <c r="AN96"/>
      <c r="AO96"/>
      <c r="AP96"/>
      <c r="AQ96"/>
      <c r="AR96"/>
      <c r="AS96"/>
      <c r="AT96"/>
      <c r="AU96"/>
      <c r="AV96"/>
      <c r="AW96"/>
      <c r="AX96"/>
      <c r="AY96"/>
      <c r="AZ96"/>
      <c r="BA96"/>
    </row>
    <row r="97" spans="25:56" ht="17.25">
      <c r="Y97" s="258"/>
      <c r="AF97" s="179"/>
      <c r="AG97"/>
      <c r="AH97"/>
      <c r="AI97"/>
      <c r="AJ97"/>
      <c r="AK97"/>
      <c r="AL97"/>
      <c r="AM97"/>
      <c r="AN97"/>
      <c r="AO97"/>
      <c r="AP97"/>
      <c r="AQ97"/>
      <c r="AR97"/>
      <c r="AS97"/>
      <c r="AT97"/>
      <c r="AU97"/>
      <c r="AV97"/>
      <c r="AW97"/>
      <c r="AX97"/>
      <c r="AY97"/>
      <c r="AZ97"/>
      <c r="BA97"/>
      <c r="BB97"/>
      <c r="BC97"/>
      <c r="BD97"/>
    </row>
    <row r="98" spans="25:52" ht="17.25">
      <c r="Y98" s="258"/>
      <c r="AD98" s="1"/>
      <c r="AE98" s="1"/>
      <c r="AF98"/>
      <c r="AG98"/>
      <c r="AH98"/>
      <c r="AI98"/>
      <c r="AJ98"/>
      <c r="AK98"/>
      <c r="AL98"/>
      <c r="AM98"/>
      <c r="AN98"/>
      <c r="AO98"/>
      <c r="AP98"/>
      <c r="AQ98"/>
      <c r="AR98"/>
      <c r="AS98"/>
      <c r="AT98"/>
      <c r="AU98"/>
      <c r="AV98"/>
      <c r="AW98"/>
      <c r="AX98"/>
      <c r="AY98"/>
      <c r="AZ98"/>
    </row>
    <row r="99" spans="25:45" ht="17.25">
      <c r="Y99" s="258"/>
      <c r="AA99"/>
      <c r="AB99"/>
      <c r="AC99"/>
      <c r="AD99"/>
      <c r="AE99"/>
      <c r="AF99"/>
      <c r="AG99"/>
      <c r="AH99"/>
      <c r="AI99"/>
      <c r="AJ99"/>
      <c r="AK99"/>
      <c r="AL99"/>
      <c r="AM99"/>
      <c r="AN99"/>
      <c r="AO99"/>
      <c r="AP99"/>
      <c r="AQ99"/>
      <c r="AR99"/>
      <c r="AS99"/>
    </row>
    <row r="100" spans="25:40" ht="13.5">
      <c r="Y100"/>
      <c r="Z100"/>
      <c r="AB100" s="266"/>
      <c r="AC100"/>
      <c r="AD100"/>
      <c r="AE100"/>
      <c r="AF100"/>
      <c r="AG100"/>
      <c r="AH100"/>
      <c r="AI100"/>
      <c r="AJ100"/>
      <c r="AK100"/>
      <c r="AL100"/>
      <c r="AM100"/>
      <c r="AN100"/>
    </row>
    <row r="101" spans="25:40" ht="13.5">
      <c r="Y101" s="208"/>
      <c r="Z101" s="208"/>
      <c r="AB101" s="266"/>
      <c r="AC101"/>
      <c r="AD101"/>
      <c r="AE101"/>
      <c r="AF101"/>
      <c r="AG101"/>
      <c r="AH101"/>
      <c r="AI101"/>
      <c r="AJ101"/>
      <c r="AK101"/>
      <c r="AL101"/>
      <c r="AM101"/>
      <c r="AN101"/>
    </row>
    <row r="102" spans="29:47" ht="14.25">
      <c r="AC102" s="253"/>
      <c r="AH102" s="137"/>
      <c r="AI102" s="137"/>
      <c r="AJ102"/>
      <c r="AK102"/>
      <c r="AL102"/>
      <c r="AM102"/>
      <c r="AN102"/>
      <c r="AO102"/>
      <c r="AP102"/>
      <c r="AQ102"/>
      <c r="AR102"/>
      <c r="AS102"/>
      <c r="AT102"/>
      <c r="AU102"/>
    </row>
    <row r="103" spans="25:33" ht="13.5">
      <c r="Y103"/>
      <c r="Z103"/>
      <c r="AA103"/>
      <c r="AB103"/>
      <c r="AC103"/>
      <c r="AD103"/>
      <c r="AF103" s="179"/>
      <c r="AG103" s="179"/>
    </row>
    <row r="104" spans="25:33" ht="13.5">
      <c r="Y104"/>
      <c r="Z104"/>
      <c r="AA104"/>
      <c r="AB104"/>
      <c r="AC104"/>
      <c r="AF104" s="179"/>
      <c r="AG104" s="179"/>
    </row>
    <row r="105" spans="25:33" ht="13.5">
      <c r="Y105"/>
      <c r="Z105"/>
      <c r="AA105"/>
      <c r="AB105"/>
      <c r="AC105"/>
      <c r="AD105"/>
      <c r="AE105"/>
      <c r="AF105"/>
      <c r="AG105"/>
    </row>
    <row r="106" spans="25:33" ht="13.5">
      <c r="Y106"/>
      <c r="Z106"/>
      <c r="AA106"/>
      <c r="AB106"/>
      <c r="AC106"/>
      <c r="AD106"/>
      <c r="AE106"/>
      <c r="AF106"/>
      <c r="AG106"/>
    </row>
    <row r="107" spans="25:33" ht="13.5">
      <c r="Y107"/>
      <c r="Z107"/>
      <c r="AA107"/>
      <c r="AB107"/>
      <c r="AC107"/>
      <c r="AD107"/>
      <c r="AE107"/>
      <c r="AF107"/>
      <c r="AG107"/>
    </row>
    <row r="108" spans="25:33" ht="13.5">
      <c r="Y108"/>
      <c r="Z108"/>
      <c r="AA108"/>
      <c r="AB108"/>
      <c r="AC108"/>
      <c r="AD108"/>
      <c r="AE108"/>
      <c r="AF108"/>
      <c r="AG108"/>
    </row>
    <row r="109" spans="25:33" ht="13.5">
      <c r="Y109"/>
      <c r="Z109"/>
      <c r="AA109"/>
      <c r="AB109"/>
      <c r="AC109"/>
      <c r="AD109"/>
      <c r="AE109"/>
      <c r="AF109"/>
      <c r="AG109"/>
    </row>
    <row r="110" spans="32:33" ht="11.25">
      <c r="AF110" s="179"/>
      <c r="AG110" s="179"/>
    </row>
    <row r="111" spans="32:33" ht="11.25">
      <c r="AF111" s="179"/>
      <c r="AG111" s="179"/>
    </row>
    <row r="112" spans="32:33" ht="11.25">
      <c r="AF112" s="179"/>
      <c r="AG112" s="179"/>
    </row>
    <row r="113" spans="32:33" ht="11.25">
      <c r="AF113" s="179"/>
      <c r="AG113" s="179"/>
    </row>
    <row r="114" spans="32:33" ht="11.25">
      <c r="AF114" s="179"/>
      <c r="AG114" s="179"/>
    </row>
    <row r="115" spans="32:33" ht="11.25">
      <c r="AF115" s="179"/>
      <c r="AG115" s="179"/>
    </row>
    <row r="116" spans="32:33" ht="11.25">
      <c r="AF116" s="179"/>
      <c r="AG116" s="179"/>
    </row>
    <row r="117" spans="23:33" ht="11.25">
      <c r="W117" s="179"/>
      <c r="Y117" s="208"/>
      <c r="AF117" s="179"/>
      <c r="AG117" s="179"/>
    </row>
    <row r="118" spans="15:20" ht="14.25">
      <c r="O118"/>
      <c r="P118"/>
      <c r="Q118" s="613"/>
      <c r="R118" s="613"/>
      <c r="S118" s="614"/>
      <c r="T118" s="614"/>
    </row>
  </sheetData>
  <sheetProtection sheet="1" objects="1" scenarios="1"/>
  <mergeCells count="75">
    <mergeCell ref="B9:B10"/>
    <mergeCell ref="C14:D14"/>
    <mergeCell ref="C16:D16"/>
    <mergeCell ref="C23:E23"/>
    <mergeCell ref="I15:L15"/>
    <mergeCell ref="K46:K47"/>
    <mergeCell ref="I17:L17"/>
    <mergeCell ref="G46:G47"/>
    <mergeCell ref="B37:C37"/>
    <mergeCell ref="B36:C36"/>
    <mergeCell ref="X24:X25"/>
    <mergeCell ref="P44:P45"/>
    <mergeCell ref="Y24:Y25"/>
    <mergeCell ref="I39:K39"/>
    <mergeCell ref="I51:J51"/>
    <mergeCell ref="I48:J48"/>
    <mergeCell ref="I46:J47"/>
    <mergeCell ref="W24:W25"/>
    <mergeCell ref="Q50:S50"/>
    <mergeCell ref="W66:W67"/>
    <mergeCell ref="X66:Z67"/>
    <mergeCell ref="Q48:S48"/>
    <mergeCell ref="I50:J50"/>
    <mergeCell ref="B24:C25"/>
    <mergeCell ref="Q47:S47"/>
    <mergeCell ref="F25:G25"/>
    <mergeCell ref="H25:I25"/>
    <mergeCell ref="J24:K24"/>
    <mergeCell ref="F24:G24"/>
    <mergeCell ref="B26:C26"/>
    <mergeCell ref="H24:I24"/>
    <mergeCell ref="B30:C30"/>
    <mergeCell ref="B34:C34"/>
    <mergeCell ref="Z23:Z25"/>
    <mergeCell ref="R23:R25"/>
    <mergeCell ref="Z26:Z37"/>
    <mergeCell ref="V23:V25"/>
    <mergeCell ref="U23:U25"/>
    <mergeCell ref="B27:C27"/>
    <mergeCell ref="B31:C31"/>
    <mergeCell ref="Q51:S51"/>
    <mergeCell ref="Q49:S49"/>
    <mergeCell ref="B29:C29"/>
    <mergeCell ref="B28:C28"/>
    <mergeCell ref="B45:F45"/>
    <mergeCell ref="I45:K45"/>
    <mergeCell ref="B35:C35"/>
    <mergeCell ref="E46:E47"/>
    <mergeCell ref="L51:M51"/>
    <mergeCell ref="B33:C33"/>
    <mergeCell ref="B32:C32"/>
    <mergeCell ref="B52:C52"/>
    <mergeCell ref="B51:C51"/>
    <mergeCell ref="B50:C50"/>
    <mergeCell ref="B49:C49"/>
    <mergeCell ref="B48:C48"/>
    <mergeCell ref="B46:C47"/>
    <mergeCell ref="B38:C38"/>
    <mergeCell ref="I14:K14"/>
    <mergeCell ref="I12:K12"/>
    <mergeCell ref="I49:J49"/>
    <mergeCell ref="L50:M50"/>
    <mergeCell ref="L49:M49"/>
    <mergeCell ref="L48:M48"/>
    <mergeCell ref="L46:M47"/>
    <mergeCell ref="I9:L10"/>
    <mergeCell ref="J25:K25"/>
    <mergeCell ref="L24:N24"/>
    <mergeCell ref="I13:L13"/>
    <mergeCell ref="I11:L11"/>
    <mergeCell ref="D25:E25"/>
    <mergeCell ref="H9:H10"/>
    <mergeCell ref="D24:E24"/>
    <mergeCell ref="I18:K18"/>
    <mergeCell ref="I16:K16"/>
  </mergeCells>
  <conditionalFormatting sqref="B15:E16 K26:K28 K30:K37">
    <cfRule type="expression" priority="21" dxfId="60" stopIfTrue="1">
      <formula>$B$16="×"</formula>
    </cfRule>
  </conditionalFormatting>
  <conditionalFormatting sqref="B11:E12 K38">
    <cfRule type="expression" priority="18" dxfId="60" stopIfTrue="1">
      <formula>$B$12="×"</formula>
    </cfRule>
  </conditionalFormatting>
  <conditionalFormatting sqref="B13:E14 E26:E27 I26:I27 K26:K27">
    <cfRule type="expression" priority="17" dxfId="60" stopIfTrue="1">
      <formula>$B$14="×"</formula>
    </cfRule>
  </conditionalFormatting>
  <conditionalFormatting sqref="I31 H11:L11 H12:I12 L12">
    <cfRule type="expression" priority="16" dxfId="60" stopIfTrue="1">
      <formula>$H$12="×"</formula>
    </cfRule>
  </conditionalFormatting>
  <conditionalFormatting sqref="H13:L13 I32 H14:I14 L14">
    <cfRule type="expression" priority="15" dxfId="60" stopIfTrue="1">
      <formula>$H$14="×"</formula>
    </cfRule>
  </conditionalFormatting>
  <conditionalFormatting sqref="H15:L15 I31:I32 H16:I16 L16">
    <cfRule type="expression" priority="14" dxfId="60" stopIfTrue="1">
      <formula>$H$16="×"</formula>
    </cfRule>
  </conditionalFormatting>
  <conditionalFormatting sqref="H17:L17 I33 H18:I18 L18">
    <cfRule type="expression" priority="13" dxfId="60" stopIfTrue="1">
      <formula>$H$18="×"</formula>
    </cfRule>
  </conditionalFormatting>
  <conditionalFormatting sqref="K29">
    <cfRule type="expression" priority="9" dxfId="60" stopIfTrue="1">
      <formula>$J$29="×"</formula>
    </cfRule>
  </conditionalFormatting>
  <conditionalFormatting sqref="K31">
    <cfRule type="expression" priority="8" dxfId="60" stopIfTrue="1">
      <formula>$J$31="×"</formula>
    </cfRule>
  </conditionalFormatting>
  <conditionalFormatting sqref="K32">
    <cfRule type="expression" priority="7" dxfId="60" stopIfTrue="1">
      <formula>$J$32="×"</formula>
    </cfRule>
  </conditionalFormatting>
  <conditionalFormatting sqref="K33">
    <cfRule type="expression" priority="6" dxfId="60" stopIfTrue="1">
      <formula>$J$33="×"</formula>
    </cfRule>
  </conditionalFormatting>
  <conditionalFormatting sqref="K34">
    <cfRule type="expression" priority="5" dxfId="60" stopIfTrue="1">
      <formula>$J$34="×"</formula>
    </cfRule>
  </conditionalFormatting>
  <conditionalFormatting sqref="K35">
    <cfRule type="expression" priority="4" dxfId="60" stopIfTrue="1">
      <formula>$J$35="×"</formula>
    </cfRule>
  </conditionalFormatting>
  <conditionalFormatting sqref="K36">
    <cfRule type="expression" priority="3" dxfId="60" stopIfTrue="1">
      <formula>$J$36="×"</formula>
    </cfRule>
  </conditionalFormatting>
  <conditionalFormatting sqref="K37">
    <cfRule type="expression" priority="2" dxfId="60" stopIfTrue="1">
      <formula>$J$37="×"</formula>
    </cfRule>
  </conditionalFormatting>
  <conditionalFormatting sqref="K26">
    <cfRule type="expression" priority="12" dxfId="60" stopIfTrue="1">
      <formula>$J$26="×"</formula>
    </cfRule>
  </conditionalFormatting>
  <conditionalFormatting sqref="K27">
    <cfRule type="expression" priority="11" dxfId="60" stopIfTrue="1">
      <formula>$J$27="×"</formula>
    </cfRule>
  </conditionalFormatting>
  <conditionalFormatting sqref="K28">
    <cfRule type="expression" priority="10" dxfId="60" stopIfTrue="1">
      <formula>$J$28="×"</formula>
    </cfRule>
  </conditionalFormatting>
  <conditionalFormatting sqref="K30">
    <cfRule type="expression" priority="1" dxfId="60" stopIfTrue="1">
      <formula>$J$30="×"</formula>
    </cfRule>
  </conditionalFormatting>
  <dataValidations count="3">
    <dataValidation allowBlank="1" showInputMessage="1" showErrorMessage="1" imeMode="halfAlpha" sqref="L49 I38"/>
    <dataValidation allowBlank="1" showInputMessage="1" showErrorMessage="1" imeMode="hiragana" sqref="I54 C23"/>
    <dataValidation type="whole" operator="greaterThanOrEqual" allowBlank="1" showInputMessage="1" showErrorMessage="1" errorTitle="0以上の数字を入力して下さい。" imeMode="halfAlpha" sqref="G26:G37 E26:E37 K26:K37 I26:I37">
      <formula1>0</formula1>
    </dataValidation>
  </dataValidations>
  <hyperlinks>
    <hyperlink ref="B2" location="'基本情報入力（使い方）'!A131"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35" r:id="rId4"/>
  <drawing r:id="rId3"/>
  <legacyDrawing r:id="rId2"/>
</worksheet>
</file>

<file path=xl/worksheets/sheet30.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IF('対象者一覧表'!E18="","",'対象者一覧表'!E18)</f>
        <v>製造部</v>
      </c>
      <c r="C6" s="1096"/>
      <c r="D6" s="784">
        <f>IF('対象者一覧表'!F18="","",'対象者一覧表'!F18)</f>
      </c>
      <c r="G6" s="736"/>
      <c r="H6" s="736"/>
      <c r="I6" s="736"/>
      <c r="K6" s="90"/>
      <c r="L6" s="15" t="s">
        <v>877</v>
      </c>
      <c r="N6" s="93"/>
      <c r="O6" s="93"/>
      <c r="P6" s="93"/>
      <c r="Q6"/>
      <c r="R6"/>
      <c r="S6"/>
      <c r="T6"/>
      <c r="U6"/>
      <c r="V6"/>
      <c r="W6" s="736"/>
      <c r="X6" s="736"/>
    </row>
    <row r="7" spans="1:24" ht="18" customHeight="1">
      <c r="A7" s="786" t="s">
        <v>74</v>
      </c>
      <c r="B7" s="1096" t="str">
        <f>IF('対象者一覧表'!D18="","",'対象者一覧表'!D18)</f>
        <v>原田　申也</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IF('対象者一覧表'!H18="","",'対象者一覧表'!H18)</f>
        <v>25747</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OR('賃金台帳(9)'!#REF!&gt;=1501000,$G$26&gt;=1501000,$L$26&gt;=1501000,$P$26&gt;=1501000,'賃金台帳(9)'!#REF!&gt;=1501000)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IF('対象者一覧表'!E19="","",'対象者一覧表'!E19)</f>
        <v>製造部</v>
      </c>
      <c r="C6" s="1096"/>
      <c r="D6" s="784" t="str">
        <f>IF('対象者一覧表'!F19="","",'対象者一覧表'!F19)</f>
        <v>課長</v>
      </c>
      <c r="G6" s="736"/>
      <c r="H6" s="736"/>
      <c r="I6" s="736"/>
      <c r="K6" s="90"/>
      <c r="L6" s="15" t="s">
        <v>877</v>
      </c>
      <c r="N6" s="93"/>
      <c r="O6" s="93"/>
      <c r="P6" s="93"/>
      <c r="Q6"/>
      <c r="R6"/>
      <c r="S6"/>
      <c r="T6"/>
      <c r="U6"/>
      <c r="V6"/>
      <c r="W6" s="736"/>
      <c r="X6" s="736"/>
    </row>
    <row r="7" spans="1:24" ht="18" customHeight="1">
      <c r="A7" s="786" t="s">
        <v>74</v>
      </c>
      <c r="B7" s="1096" t="str">
        <f>IF('対象者一覧表'!D19="","",'対象者一覧表'!D19)</f>
        <v>西村　酉汰</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IF('対象者一覧表'!H19="","",'対象者一覧表'!H19)</f>
        <v>25748</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890</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890</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891</v>
      </c>
      <c r="D32" s="765">
        <v>0</v>
      </c>
      <c r="E32" s="645">
        <f aca="true" t="shared" si="2" ref="E32:F34">IF(E$27=0,"",ROUND(E$27*$D32/1900,0))</f>
      </c>
      <c r="F32" s="645">
        <f t="shared" si="2"/>
      </c>
      <c r="G32" s="708">
        <f>IF(G26=0,"",ROUND((ROUNDDOWN(G26,-3)*$D$32/1900),0))</f>
      </c>
      <c r="H32" s="645">
        <f aca="true" t="shared" si="3" ref="H32:K34">IF(H$27=0,"",ROUND(H$27*$D32/1900,0))</f>
      </c>
      <c r="I32" s="645">
        <f t="shared" si="3"/>
      </c>
      <c r="J32" s="645">
        <f t="shared" si="3"/>
      </c>
      <c r="K32" s="645">
        <f t="shared" si="3"/>
      </c>
      <c r="L32" s="708">
        <f>IF(L26=0,"",ROUND((ROUNDDOWN(L26,-3)*$D$32/1900),0))</f>
      </c>
      <c r="M32" s="645">
        <f aca="true" t="shared" si="4" ref="M32:O34">IF(M$27=0,"",ROUND(M$27*$D32/1900,0))</f>
      </c>
      <c r="N32" s="645">
        <f t="shared" si="4"/>
      </c>
      <c r="O32" s="645">
        <f t="shared" si="4"/>
      </c>
      <c r="P32" s="708">
        <f>IF(P26=0,"",ROUND((ROUNDDOWN(P26,-3)*$D$32/1900),0))</f>
      </c>
      <c r="Q32" s="645">
        <f aca="true" t="shared" si="5" ref="Q32:S33">IF(Q$27=0,"",ROUND(Q$27*$D32/1900,0))</f>
      </c>
      <c r="R32" s="645">
        <f t="shared" si="5"/>
      </c>
      <c r="S32" s="645">
        <f t="shared" si="5"/>
      </c>
      <c r="T32" s="709">
        <f aca="true" t="shared" si="6" ref="T32:T45">SUM(E32:S32)</f>
        <v>0</v>
      </c>
      <c r="Z32" s="195"/>
      <c r="AA32" s="195"/>
    </row>
    <row r="33" spans="1:27" ht="17.25" customHeight="1" thickBot="1">
      <c r="A33" s="1060" t="s">
        <v>89</v>
      </c>
      <c r="B33" s="1061"/>
      <c r="C33" s="337" t="s">
        <v>891</v>
      </c>
      <c r="D33" s="765">
        <v>0</v>
      </c>
      <c r="E33" s="646">
        <f t="shared" si="2"/>
      </c>
      <c r="F33" s="646">
        <f t="shared" si="2"/>
      </c>
      <c r="G33" s="710">
        <f>IF(G$26=0,"",ROUND((ROUNDDOWN(G$26,-3)*$D33/1900),0))</f>
      </c>
      <c r="H33" s="646">
        <f t="shared" si="3"/>
      </c>
      <c r="I33" s="646">
        <f t="shared" si="3"/>
      </c>
      <c r="J33" s="646">
        <f t="shared" si="3"/>
      </c>
      <c r="K33" s="646">
        <f t="shared" si="3"/>
      </c>
      <c r="L33" s="710">
        <f>IF(L$26=0,"",ROUND((ROUNDDOWN(L$26,-3)*$D33/1900),0))</f>
      </c>
      <c r="M33" s="646">
        <f t="shared" si="4"/>
      </c>
      <c r="N33" s="646">
        <f t="shared" si="4"/>
      </c>
      <c r="O33" s="646">
        <f t="shared" si="4"/>
      </c>
      <c r="P33" s="710">
        <f>IF(P$26=0,"",ROUND((ROUNDDOWN(P$26,-3)*$D33/1900),0))</f>
      </c>
      <c r="Q33" s="646">
        <f t="shared" si="5"/>
      </c>
      <c r="R33" s="646">
        <f t="shared" si="5"/>
      </c>
      <c r="S33" s="646">
        <f t="shared" si="5"/>
      </c>
      <c r="T33" s="711">
        <f t="shared" si="6"/>
        <v>0</v>
      </c>
      <c r="Z33" s="195"/>
      <c r="AA33" s="195"/>
    </row>
    <row r="34" spans="1:27" s="191" customFormat="1" ht="17.25" customHeight="1" thickBot="1">
      <c r="A34" s="1060" t="s">
        <v>151</v>
      </c>
      <c r="B34" s="1061"/>
      <c r="C34" s="337" t="s">
        <v>891</v>
      </c>
      <c r="D34" s="765">
        <v>0</v>
      </c>
      <c r="E34" s="647">
        <f t="shared" si="2"/>
      </c>
      <c r="F34" s="647">
        <f t="shared" si="2"/>
      </c>
      <c r="G34" s="647">
        <f>IF(G$26=0,"",ROUND((ROUNDDOWN(G$26,-3)*$D34/1900),0))</f>
      </c>
      <c r="H34" s="647">
        <f t="shared" si="3"/>
      </c>
      <c r="I34" s="647">
        <f t="shared" si="3"/>
      </c>
      <c r="J34" s="647">
        <f t="shared" si="3"/>
      </c>
      <c r="K34" s="647">
        <f t="shared" si="3"/>
      </c>
      <c r="L34" s="647">
        <f>IF(L$26=0,"",ROUND((ROUNDDOWN(L$26,-3)*$D34/1900),0))</f>
      </c>
      <c r="M34" s="647">
        <f t="shared" si="4"/>
      </c>
      <c r="N34" s="647">
        <f t="shared" si="4"/>
      </c>
      <c r="O34" s="647">
        <f t="shared" si="4"/>
      </c>
      <c r="P34" s="710">
        <f>IF(P$26=0,"",ROUND((ROUNDDOWN(P$26,-3)*$D34/1900),0))</f>
      </c>
      <c r="Q34" s="712" t="s">
        <v>821</v>
      </c>
      <c r="R34" s="713" t="s">
        <v>821</v>
      </c>
      <c r="S34" s="713" t="s">
        <v>821</v>
      </c>
      <c r="T34" s="714">
        <f t="shared" si="6"/>
        <v>0</v>
      </c>
      <c r="Z34" s="193"/>
      <c r="AA34" s="193"/>
    </row>
    <row r="35" spans="1:27" s="191" customFormat="1" ht="17.25" customHeight="1" thickBot="1">
      <c r="A35" s="1050" t="s">
        <v>729</v>
      </c>
      <c r="B35" s="1051"/>
      <c r="C35" s="337" t="s">
        <v>891</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IF(Q$27=0,"",ROUND(Q$27*$D35/1900,0))</f>
      </c>
      <c r="R35" s="718">
        <f>IF(R$27=0,"",ROUND(R$27*$D35/1900,0))</f>
      </c>
      <c r="S35" s="718">
        <f>IF(S$27=0,"",ROUND(S$27*$D35/1900,0))</f>
      </c>
      <c r="T35" s="711">
        <f t="shared" si="6"/>
        <v>0</v>
      </c>
      <c r="Z35" s="193"/>
      <c r="AA35" s="193"/>
    </row>
    <row r="36" spans="1:27" s="191" customFormat="1" ht="17.25" customHeight="1" thickBot="1">
      <c r="A36" s="1058" t="s">
        <v>663</v>
      </c>
      <c r="B36" s="1059"/>
      <c r="C36" s="338" t="s">
        <v>891</v>
      </c>
      <c r="D36" s="766">
        <v>0</v>
      </c>
      <c r="E36" s="202">
        <f>IF(E$28=0,"",ROUND(E$28*$D36/1900,0))</f>
      </c>
      <c r="F36" s="202">
        <f>IF(F$28=0,"",ROUND(F$28*$D36/1900,0))</f>
      </c>
      <c r="G36" s="719">
        <f>IF(G26=0,"",ROUND((IF(ROUNDDOWN(G26,-3)&gt;1500000,1500000,ROUNDDOWN(G26,-3))*$D$36/1900),0))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891</v>
      </c>
      <c r="D37" s="766">
        <v>0</v>
      </c>
      <c r="E37" s="713" t="s">
        <v>821</v>
      </c>
      <c r="F37" s="713" t="s">
        <v>821</v>
      </c>
      <c r="G37" s="717" t="s">
        <v>821</v>
      </c>
      <c r="H37" s="710">
        <f aca="true" t="shared" si="7" ref="H37:K40">IF(H$28=0,"",ROUND(H$28*$D37/1900,0))</f>
      </c>
      <c r="I37" s="710">
        <f t="shared" si="7"/>
      </c>
      <c r="J37" s="710">
        <f t="shared" si="7"/>
      </c>
      <c r="K37" s="710">
        <f t="shared" si="7"/>
      </c>
      <c r="L37" s="647">
        <f>IF(L26=0,"",ROUND((IF(ROUNDDOWN(L26,-3)&gt;1500000,1500000,ROUNDDOWN(L26,-3))*$D$37/1900),0))</f>
      </c>
      <c r="M37" s="710">
        <f aca="true" t="shared" si="8" ref="M37:O40">IF(M$28=0,"",ROUND(M$28*$D37/1900,0))</f>
      </c>
      <c r="N37" s="710">
        <f t="shared" si="8"/>
      </c>
      <c r="O37" s="710">
        <f t="shared" si="8"/>
      </c>
      <c r="P37" s="647">
        <f>IF(P26=0,"",ROUND((IF(ROUNDDOWN(P26,-3)&gt;1500000,1500000,ROUNDDOWN(P26,-3))*$D$37/1900),0))</f>
      </c>
      <c r="Q37" s="646">
        <f aca="true" t="shared" si="9" ref="Q37:S40">IF(Q$28=0,"",ROUND(Q$28*$D37/1900,0))</f>
      </c>
      <c r="R37" s="646">
        <f t="shared" si="9"/>
      </c>
      <c r="S37" s="646">
        <f t="shared" si="9"/>
      </c>
      <c r="T37" s="711">
        <f t="shared" si="6"/>
        <v>0</v>
      </c>
      <c r="Z37" s="193"/>
      <c r="AA37" s="193"/>
    </row>
    <row r="38" spans="1:27" s="191" customFormat="1" ht="17.25" customHeight="1" thickBot="1">
      <c r="A38" s="1050" t="s">
        <v>728</v>
      </c>
      <c r="B38" s="1051"/>
      <c r="C38" s="338" t="s">
        <v>891</v>
      </c>
      <c r="D38" s="765">
        <v>0</v>
      </c>
      <c r="E38" s="647">
        <f aca="true" t="shared" si="10" ref="E38:F40">IF(E$28=0,"",ROUND(E$28*$D38/1900,0))</f>
      </c>
      <c r="F38" s="647">
        <f t="shared" si="10"/>
      </c>
      <c r="G38" s="719">
        <f>IF(G26=0,"",ROUND((IF(ROUNDDOWN(G26,-3)&gt;1500000,1500000,ROUNDDOWN(G26,-3))*$D$38/1900),0))</f>
      </c>
      <c r="H38" s="647">
        <f t="shared" si="7"/>
      </c>
      <c r="I38" s="647">
        <f t="shared" si="7"/>
      </c>
      <c r="J38" s="647">
        <f t="shared" si="7"/>
      </c>
      <c r="K38" s="647">
        <f t="shared" si="7"/>
      </c>
      <c r="L38" s="647">
        <f>IF(L26=0,"",ROUND((IF(ROUNDDOWN(L26,-3)&gt;1500000,1500000,ROUNDDOWN(L26,-3))*$D$38/1900),0))</f>
      </c>
      <c r="M38" s="647">
        <f t="shared" si="8"/>
      </c>
      <c r="N38" s="647">
        <f t="shared" si="8"/>
      </c>
      <c r="O38" s="647">
        <f t="shared" si="8"/>
      </c>
      <c r="P38" s="647">
        <f>IF(P$26=0,"",ROUND((IF(ROUNDDOWN(P$26,-3)&gt;1500000,1500000,ROUNDDOWN(P$26,-3))*$D38/1900),0))</f>
      </c>
      <c r="Q38" s="647">
        <f t="shared" si="9"/>
      </c>
      <c r="R38" s="647">
        <f t="shared" si="9"/>
      </c>
      <c r="S38" s="647">
        <f t="shared" si="9"/>
      </c>
      <c r="T38" s="711">
        <f t="shared" si="6"/>
        <v>0</v>
      </c>
      <c r="Z38" s="193"/>
      <c r="AA38" s="193"/>
    </row>
    <row r="39" spans="1:27" s="191" customFormat="1" ht="17.25" customHeight="1" thickBot="1">
      <c r="A39" s="1058" t="s">
        <v>648</v>
      </c>
      <c r="B39" s="1059"/>
      <c r="C39" s="194" t="s">
        <v>891</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891</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891</v>
      </c>
      <c r="D41" s="765">
        <v>0</v>
      </c>
      <c r="E41" s="715" t="s">
        <v>821</v>
      </c>
      <c r="F41" s="715" t="s">
        <v>821</v>
      </c>
      <c r="G41" s="719">
        <f>IF(G$26=0,"",ROUND((IF(ROUNDDOWN(G$26,-3)&gt;1500000,1500000,ROUNDDOWN(G$26,-3))*$D41/1900),0))</f>
      </c>
      <c r="H41" s="715" t="s">
        <v>821</v>
      </c>
      <c r="I41" s="715" t="s">
        <v>821</v>
      </c>
      <c r="J41" s="720" t="s">
        <v>821</v>
      </c>
      <c r="K41" s="715" t="s">
        <v>821</v>
      </c>
      <c r="L41" s="719">
        <f>IF(L$26=0,"",ROUND((IF(ROUNDDOWN(L$26,-3)&gt;1500000,1500000,ROUNDDOWN(L$26,-3))*$D41/1900),0))</f>
      </c>
      <c r="M41" s="715" t="s">
        <v>821</v>
      </c>
      <c r="N41" s="715" t="s">
        <v>821</v>
      </c>
      <c r="O41" s="716" t="s">
        <v>821</v>
      </c>
      <c r="P41" s="647">
        <f>IF(P$26=0,"",ROUND((IF(ROUNDDOWN(P$26,-3)&gt;1500000,1500000,ROUNDDOWN(P$26,-3))*$D41/1900),0))</f>
      </c>
      <c r="Q41" s="721" t="s">
        <v>821</v>
      </c>
      <c r="R41" s="722" t="s">
        <v>821</v>
      </c>
      <c r="S41" s="722" t="s">
        <v>821</v>
      </c>
      <c r="T41" s="711">
        <f t="shared" si="6"/>
        <v>0</v>
      </c>
      <c r="Z41" s="193"/>
      <c r="AA41" s="193"/>
    </row>
    <row r="42" spans="1:27" s="191" customFormat="1" ht="17.25" customHeight="1" thickBot="1">
      <c r="A42" s="1058" t="s">
        <v>647</v>
      </c>
      <c r="B42" s="1059"/>
      <c r="C42" s="194" t="s">
        <v>891</v>
      </c>
      <c r="D42" s="765">
        <v>0</v>
      </c>
      <c r="E42" s="715" t="s">
        <v>821</v>
      </c>
      <c r="F42" s="715" t="s">
        <v>821</v>
      </c>
      <c r="G42" s="719">
        <f>IF(G$26=0,"",ROUND((IF(ROUNDDOWN(G$26,-3)&gt;1500000,1500000,ROUNDDOWN(G$26,-3))*$D42/1900),0))</f>
      </c>
      <c r="H42" s="715" t="s">
        <v>821</v>
      </c>
      <c r="I42" s="715" t="s">
        <v>821</v>
      </c>
      <c r="J42" s="720" t="s">
        <v>821</v>
      </c>
      <c r="K42" s="715" t="s">
        <v>821</v>
      </c>
      <c r="L42" s="719">
        <f>IF(L$26=0,"",ROUND((IF(ROUNDDOWN(L$26,-3)&gt;1500000,1500000,ROUNDDOWN(L$26,-3))*$D42/1900),0))</f>
      </c>
      <c r="M42" s="715" t="s">
        <v>821</v>
      </c>
      <c r="N42" s="715" t="s">
        <v>821</v>
      </c>
      <c r="O42" s="716" t="s">
        <v>821</v>
      </c>
      <c r="P42" s="647">
        <f>IF(P$26=0,"",ROUND((IF(ROUNDDOWN(P$26,-3)&gt;1500000,1500000,ROUNDDOWN(P$26,-3))*$D42/1900),0))</f>
      </c>
      <c r="Q42" s="721" t="s">
        <v>821</v>
      </c>
      <c r="R42" s="722" t="s">
        <v>821</v>
      </c>
      <c r="S42" s="722" t="s">
        <v>821</v>
      </c>
      <c r="T42" s="711">
        <f t="shared" si="6"/>
        <v>0</v>
      </c>
      <c r="Z42" s="193"/>
      <c r="AA42" s="193"/>
    </row>
    <row r="43" spans="1:27" s="191" customFormat="1" ht="17.25" customHeight="1" thickBot="1">
      <c r="A43" s="1050" t="s">
        <v>91</v>
      </c>
      <c r="B43" s="1051"/>
      <c r="C43" s="336" t="s">
        <v>891</v>
      </c>
      <c r="D43" s="765">
        <v>0</v>
      </c>
      <c r="E43" s="647">
        <f aca="true" t="shared" si="11" ref="E43:S43">IF(E$26=0,"",ROUND(E$26*$D43/1900,0))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891</v>
      </c>
      <c r="D44" s="765">
        <v>0</v>
      </c>
      <c r="E44" s="647">
        <f aca="true" t="shared" si="12" ref="E44:S45">IF(E$26=0,"",ROUNDDOWN(E$26*$D44/1900,0))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891</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IF(OR($G$26&gt;=1501900,$L$26&gt;=1501900,$P$26&gt;=150190,$L$26&gt;=1501900,$P$26&gt;=1501900),"標準賞与上限：月間150万円超のため150万円で計算","")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"&amp;'基本情報入力（使い方）'!C19</f>
        <v>名称(社名)　：　</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OR('賃金台帳(10)'!#REF!&gt;=1501000,$G$26&gt;=1501000,$L$26&gt;=1501000,$P$26&gt;=1501000,'賃金台帳(10)'!#REF!&gt;=1501000)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IF('対象者一覧表'!E20="","",'対象者一覧表'!E20)</f>
        <v>製造部</v>
      </c>
      <c r="C6" s="1096"/>
      <c r="D6" s="784">
        <f>IF('対象者一覧表'!F20="","",'対象者一覧表'!F20)</f>
      </c>
      <c r="G6" s="736"/>
      <c r="H6" s="736"/>
      <c r="I6" s="736"/>
      <c r="K6" s="90"/>
      <c r="L6" s="15" t="s">
        <v>877</v>
      </c>
      <c r="N6" s="93"/>
      <c r="O6" s="93"/>
      <c r="P6" s="93"/>
      <c r="Q6"/>
      <c r="R6"/>
      <c r="S6"/>
      <c r="T6"/>
      <c r="U6"/>
      <c r="V6"/>
      <c r="W6" s="736"/>
      <c r="X6" s="736"/>
    </row>
    <row r="7" spans="1:24" ht="18" customHeight="1">
      <c r="A7" s="786" t="s">
        <v>74</v>
      </c>
      <c r="B7" s="1096" t="str">
        <f>IF('対象者一覧表'!D20="","",'対象者一覧表'!D20)</f>
        <v>斎藤　戌</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IF('対象者一覧表'!H20="","",'対象者一覧表'!H20)</f>
        <v>25749</v>
      </c>
      <c r="C8" s="1097"/>
      <c r="D8" s="788">
        <f>IF(B8="","",DATEDIF(B8,E13,"Y"))</f>
        <v>44</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OR('賃金台帳(11)'!#REF!&gt;=1501000,$G$26&gt;=1501000,$L$26&gt;=1501000,$P$26&gt;=1501000,'賃金台帳(11)'!#REF!&gt;=1501000)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3.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0"/>
      <c r="J1" s="8"/>
      <c r="K1" s="8"/>
      <c r="L1" s="8"/>
      <c r="M1" s="8"/>
      <c r="N1" s="191"/>
      <c r="O1" s="3"/>
      <c r="P1" s="3"/>
      <c r="Q1" s="2"/>
      <c r="R1" s="2"/>
      <c r="S1" s="567"/>
    </row>
    <row r="2" spans="1:19" s="100" customFormat="1" ht="13.5">
      <c r="A2" s="3"/>
      <c r="B2" s="802" t="s">
        <v>897</v>
      </c>
      <c r="E2" s="4"/>
      <c r="F2" s="7"/>
      <c r="G2" s="8"/>
      <c r="H2" s="13"/>
      <c r="I2" s="480"/>
      <c r="J2" s="8"/>
      <c r="K2" s="8"/>
      <c r="L2" s="8"/>
      <c r="M2" s="8"/>
      <c r="N2" s="191"/>
      <c r="O2" s="3"/>
      <c r="P2" s="3"/>
      <c r="Q2" s="2"/>
      <c r="R2" s="2"/>
      <c r="S2" s="567"/>
    </row>
    <row r="3" spans="1:19" s="100" customFormat="1" ht="13.5">
      <c r="A3" s="3"/>
      <c r="E3" s="4"/>
      <c r="F3" s="7"/>
      <c r="G3" s="8"/>
      <c r="H3" s="13"/>
      <c r="I3" s="480"/>
      <c r="J3" s="8"/>
      <c r="K3" s="8"/>
      <c r="L3" s="8"/>
      <c r="M3" s="8"/>
      <c r="N3" s="191"/>
      <c r="O3" s="3"/>
      <c r="P3" s="3"/>
      <c r="Q3" s="2"/>
      <c r="R3" s="2"/>
      <c r="S3" s="567"/>
    </row>
    <row r="4" spans="1:34" ht="42" customHeight="1">
      <c r="A4" s="642" t="s">
        <v>71</v>
      </c>
      <c r="B4" s="643"/>
      <c r="C4" s="191"/>
      <c r="D4" s="191"/>
      <c r="G4" s="736"/>
      <c r="H4" s="736"/>
      <c r="I4" s="737" t="s">
        <v>730</v>
      </c>
      <c r="K4" s="736"/>
      <c r="L4" s="736"/>
      <c r="M4" s="736"/>
      <c r="N4" s="736"/>
      <c r="O4" s="736"/>
      <c r="P4"/>
      <c r="Q4"/>
      <c r="R4"/>
      <c r="S4"/>
      <c r="T4"/>
      <c r="U4" s="1094"/>
      <c r="V4" s="1094"/>
      <c r="W4" s="1094"/>
      <c r="Y4"/>
      <c r="Z4"/>
      <c r="AA4"/>
      <c r="AB4" s="1094"/>
      <c r="AC4" s="1094"/>
      <c r="AD4" s="1094"/>
      <c r="AE4"/>
      <c r="AF4"/>
      <c r="AG4"/>
      <c r="AH4" s="736"/>
    </row>
    <row r="5" spans="1:24" ht="39" customHeight="1" thickBot="1">
      <c r="A5" s="785" t="s">
        <v>72</v>
      </c>
      <c r="B5" s="1095" t="str">
        <f>'対象者一覧表'!$G$7</f>
        <v>Ｂ金属株式会社</v>
      </c>
      <c r="C5" s="1095"/>
      <c r="D5" s="1095"/>
      <c r="G5" s="736"/>
      <c r="H5" s="736"/>
      <c r="I5" s="738"/>
      <c r="J5" s="736"/>
      <c r="K5" s="736"/>
      <c r="M5" s="736"/>
      <c r="N5" s="736"/>
      <c r="O5" s="736"/>
      <c r="P5"/>
      <c r="Q5" s="739"/>
      <c r="R5"/>
      <c r="S5"/>
      <c r="T5"/>
      <c r="U5"/>
      <c r="V5"/>
      <c r="W5" s="736"/>
      <c r="X5" s="736"/>
    </row>
    <row r="6" spans="1:24" ht="18" customHeight="1" thickBot="1">
      <c r="A6" s="786" t="s">
        <v>73</v>
      </c>
      <c r="B6" s="1096" t="str">
        <f>IF('対象者一覧表'!E21="","",'対象者一覧表'!E21)</f>
        <v>製造部</v>
      </c>
      <c r="C6" s="1096"/>
      <c r="D6" s="784" t="str">
        <f>IF('対象者一覧表'!F21="","",'対象者一覧表'!F21)</f>
        <v>部長</v>
      </c>
      <c r="G6" s="736"/>
      <c r="H6" s="736"/>
      <c r="I6" s="736"/>
      <c r="K6" s="90"/>
      <c r="L6" s="15" t="s">
        <v>877</v>
      </c>
      <c r="N6" s="93"/>
      <c r="O6" s="93"/>
      <c r="P6" s="93"/>
      <c r="Q6"/>
      <c r="R6"/>
      <c r="S6"/>
      <c r="T6"/>
      <c r="U6"/>
      <c r="V6"/>
      <c r="W6" s="736"/>
      <c r="X6" s="736"/>
    </row>
    <row r="7" spans="1:24" ht="18" customHeight="1">
      <c r="A7" s="786" t="s">
        <v>74</v>
      </c>
      <c r="B7" s="1096" t="str">
        <f>IF('対象者一覧表'!D21="","",'対象者一覧表'!D21)</f>
        <v>酒井　亥</v>
      </c>
      <c r="C7" s="1096"/>
      <c r="D7" s="1096"/>
      <c r="G7" s="736"/>
      <c r="H7" s="736"/>
      <c r="I7" s="7"/>
      <c r="J7" s="736"/>
      <c r="K7" s="736"/>
      <c r="L7" s="740"/>
      <c r="M7" s="740"/>
      <c r="N7" s="740"/>
      <c r="O7"/>
      <c r="P7"/>
      <c r="Q7"/>
      <c r="R7"/>
      <c r="S7"/>
      <c r="T7"/>
      <c r="U7"/>
      <c r="V7" s="741"/>
      <c r="W7" s="741"/>
      <c r="X7" s="741"/>
    </row>
    <row r="8" spans="1:24" ht="18" customHeight="1">
      <c r="A8" s="787" t="s">
        <v>75</v>
      </c>
      <c r="B8" s="1097">
        <f>IF('対象者一覧表'!H21="","",'対象者一覧表'!H21)</f>
        <v>23924</v>
      </c>
      <c r="C8" s="1097"/>
      <c r="D8" s="788">
        <f>IF(B8="","",DATEDIF(B8,E13,"Y"))</f>
        <v>49</v>
      </c>
      <c r="E8" s="14"/>
      <c r="F8" s="14"/>
      <c r="O8"/>
      <c r="P8"/>
      <c r="Q8"/>
      <c r="R8"/>
      <c r="S8"/>
      <c r="T8"/>
      <c r="U8"/>
      <c r="V8" s="93"/>
      <c r="W8" s="93"/>
      <c r="X8" s="93"/>
    </row>
    <row r="9" spans="1:20" ht="15" customHeight="1">
      <c r="A9" s="742"/>
      <c r="B9" s="742"/>
      <c r="C9" s="735"/>
      <c r="D9" s="743" t="s">
        <v>154</v>
      </c>
      <c r="E9" s="7"/>
      <c r="G9" s="7" t="s">
        <v>722</v>
      </c>
      <c r="H9" s="7"/>
      <c r="J9" s="7"/>
      <c r="L9" s="7" t="s">
        <v>722</v>
      </c>
      <c r="M9" s="725"/>
      <c r="N9" s="7"/>
      <c r="O9" s="726"/>
      <c r="P9" s="7" t="s">
        <v>722</v>
      </c>
      <c r="R9" s="93"/>
      <c r="S9" s="744"/>
      <c r="T9" s="744"/>
    </row>
    <row r="10" spans="1:20" ht="15" customHeight="1">
      <c r="A10" s="742"/>
      <c r="B10" s="742"/>
      <c r="C10" s="735"/>
      <c r="D10" s="743"/>
      <c r="E10" s="727"/>
      <c r="G10" s="727">
        <v>41821</v>
      </c>
      <c r="H10" s="728"/>
      <c r="J10" s="727"/>
      <c r="L10" s="727">
        <v>41883</v>
      </c>
      <c r="M10" s="725"/>
      <c r="N10" s="727"/>
      <c r="O10" s="726"/>
      <c r="P10" s="727">
        <v>42005</v>
      </c>
      <c r="R10" s="93"/>
      <c r="S10" s="93"/>
      <c r="T10" s="93"/>
    </row>
    <row r="11" spans="1:20" ht="15" customHeight="1">
      <c r="A11" s="1088" t="s">
        <v>678</v>
      </c>
      <c r="B11" s="1088"/>
      <c r="C11" s="735"/>
      <c r="D11" s="743"/>
      <c r="E11" s="729"/>
      <c r="G11" s="729" t="s">
        <v>872</v>
      </c>
      <c r="H11" s="727"/>
      <c r="J11" s="730"/>
      <c r="L11" s="730" t="s">
        <v>727</v>
      </c>
      <c r="M11" s="725"/>
      <c r="N11" s="731"/>
      <c r="O11" s="726"/>
      <c r="P11" s="731" t="s">
        <v>873</v>
      </c>
      <c r="R11" s="93"/>
      <c r="S11" s="93"/>
      <c r="T11" s="93"/>
    </row>
    <row r="12" spans="1:16" ht="15" customHeight="1" thickBot="1">
      <c r="A12" s="1089"/>
      <c r="B12" s="1089"/>
      <c r="C12" s="186"/>
      <c r="D12" s="14"/>
      <c r="E12" s="205"/>
      <c r="F12"/>
      <c r="G12" s="205" t="s">
        <v>721</v>
      </c>
      <c r="H12" s="205"/>
      <c r="I12"/>
      <c r="J12" s="205"/>
      <c r="K12"/>
      <c r="L12" s="205" t="s">
        <v>721</v>
      </c>
      <c r="M12"/>
      <c r="N12" s="205"/>
      <c r="P12" s="205" t="s">
        <v>721</v>
      </c>
    </row>
    <row r="13" spans="1:27" ht="15" customHeight="1" thickBot="1">
      <c r="A13" s="1068" t="s">
        <v>726</v>
      </c>
      <c r="B13" s="1069"/>
      <c r="C13" s="1068" t="s">
        <v>76</v>
      </c>
      <c r="D13" s="1069"/>
      <c r="E13" s="732">
        <v>41851</v>
      </c>
      <c r="F13" s="733" t="s">
        <v>874</v>
      </c>
      <c r="G13" s="734" t="s">
        <v>77</v>
      </c>
      <c r="H13" s="733" t="s">
        <v>723</v>
      </c>
      <c r="I13" s="733" t="s">
        <v>724</v>
      </c>
      <c r="J13" s="733" t="s">
        <v>884</v>
      </c>
      <c r="K13" s="733" t="s">
        <v>725</v>
      </c>
      <c r="L13" s="734" t="s">
        <v>77</v>
      </c>
      <c r="M13" s="732">
        <v>42035</v>
      </c>
      <c r="N13" s="733" t="s">
        <v>875</v>
      </c>
      <c r="O13" s="733" t="s">
        <v>134</v>
      </c>
      <c r="P13" s="733" t="s">
        <v>77</v>
      </c>
      <c r="Q13" s="733" t="s">
        <v>135</v>
      </c>
      <c r="R13" s="733" t="s">
        <v>107</v>
      </c>
      <c r="S13" s="733" t="s">
        <v>876</v>
      </c>
      <c r="T13" s="745" t="s">
        <v>57</v>
      </c>
      <c r="Z13" s="142"/>
      <c r="AA13" s="142"/>
    </row>
    <row r="14" spans="1:27" ht="17.25" customHeight="1">
      <c r="A14" s="1090" t="s">
        <v>136</v>
      </c>
      <c r="B14" s="1091"/>
      <c r="C14" s="1092" t="s">
        <v>136</v>
      </c>
      <c r="D14" s="1093"/>
      <c r="E14" s="746"/>
      <c r="F14" s="746"/>
      <c r="G14" s="746"/>
      <c r="H14" s="746"/>
      <c r="I14" s="746"/>
      <c r="J14" s="746"/>
      <c r="K14" s="746"/>
      <c r="L14" s="746"/>
      <c r="M14" s="746"/>
      <c r="N14" s="746"/>
      <c r="O14" s="746"/>
      <c r="P14" s="746"/>
      <c r="Q14" s="746"/>
      <c r="R14" s="746"/>
      <c r="S14" s="746"/>
      <c r="T14" s="747">
        <f>SUM(E14:S14)</f>
        <v>0</v>
      </c>
      <c r="U14" s="55"/>
      <c r="V14" s="55"/>
      <c r="Z14" s="195"/>
      <c r="AA14" s="195"/>
    </row>
    <row r="15" spans="1:27" ht="17.25" customHeight="1">
      <c r="A15" s="1084" t="s">
        <v>78</v>
      </c>
      <c r="B15" s="1085"/>
      <c r="C15" s="1086"/>
      <c r="D15" s="1087"/>
      <c r="E15" s="201"/>
      <c r="F15" s="201"/>
      <c r="G15" s="748"/>
      <c r="H15" s="201"/>
      <c r="I15" s="201"/>
      <c r="J15" s="201"/>
      <c r="K15" s="201"/>
      <c r="L15" s="201"/>
      <c r="M15" s="201"/>
      <c r="N15" s="201"/>
      <c r="O15" s="201"/>
      <c r="P15" s="201"/>
      <c r="Q15" s="749"/>
      <c r="R15" s="749"/>
      <c r="S15" s="749"/>
      <c r="T15" s="750">
        <f aca="true" t="shared" si="0" ref="T15:T26">SUM(E15:S15)</f>
        <v>0</v>
      </c>
      <c r="U15" s="55"/>
      <c r="V15" s="55"/>
      <c r="Z15" s="195"/>
      <c r="AA15" s="195"/>
    </row>
    <row r="16" spans="1:27" ht="17.25" customHeight="1">
      <c r="A16" s="1084" t="s">
        <v>79</v>
      </c>
      <c r="B16" s="1085"/>
      <c r="C16" s="1086"/>
      <c r="D16" s="1087"/>
      <c r="E16" s="201"/>
      <c r="F16" s="201"/>
      <c r="G16" s="748"/>
      <c r="H16" s="201"/>
      <c r="I16" s="201"/>
      <c r="J16" s="201"/>
      <c r="K16" s="201"/>
      <c r="L16" s="201"/>
      <c r="M16" s="201"/>
      <c r="N16" s="201"/>
      <c r="O16" s="201"/>
      <c r="P16" s="201"/>
      <c r="Q16" s="749"/>
      <c r="R16" s="749"/>
      <c r="S16" s="749"/>
      <c r="T16" s="750">
        <f t="shared" si="0"/>
        <v>0</v>
      </c>
      <c r="U16" s="55"/>
      <c r="V16" s="55"/>
      <c r="Z16" s="195"/>
      <c r="AA16" s="195"/>
    </row>
    <row r="17" spans="1:27" ht="17.25" customHeight="1">
      <c r="A17" s="1084" t="s">
        <v>80</v>
      </c>
      <c r="B17" s="1085"/>
      <c r="C17" s="1086" t="s">
        <v>80</v>
      </c>
      <c r="D17" s="1087"/>
      <c r="E17" s="201"/>
      <c r="F17" s="201"/>
      <c r="G17" s="748"/>
      <c r="H17" s="201"/>
      <c r="I17" s="201"/>
      <c r="J17" s="201"/>
      <c r="K17" s="201"/>
      <c r="L17" s="201"/>
      <c r="M17" s="201"/>
      <c r="N17" s="201"/>
      <c r="O17" s="201"/>
      <c r="P17" s="201"/>
      <c r="Q17" s="749"/>
      <c r="R17" s="749"/>
      <c r="S17" s="749"/>
      <c r="T17" s="750">
        <f t="shared" si="0"/>
        <v>0</v>
      </c>
      <c r="U17" s="55"/>
      <c r="V17" s="55"/>
      <c r="Z17" s="195"/>
      <c r="AA17" s="195"/>
    </row>
    <row r="18" spans="1:27" ht="17.25" customHeight="1">
      <c r="A18" s="1084" t="s">
        <v>81</v>
      </c>
      <c r="B18" s="1085"/>
      <c r="C18" s="1086"/>
      <c r="D18" s="1087"/>
      <c r="E18" s="201"/>
      <c r="F18" s="201"/>
      <c r="G18" s="748"/>
      <c r="H18" s="201"/>
      <c r="I18" s="201"/>
      <c r="J18" s="201"/>
      <c r="K18" s="201"/>
      <c r="L18" s="201"/>
      <c r="M18" s="201"/>
      <c r="N18" s="201"/>
      <c r="O18" s="201"/>
      <c r="P18" s="201"/>
      <c r="Q18" s="749"/>
      <c r="R18" s="749"/>
      <c r="S18" s="749"/>
      <c r="T18" s="750">
        <f t="shared" si="0"/>
        <v>0</v>
      </c>
      <c r="U18" s="55"/>
      <c r="V18" s="55"/>
      <c r="Z18" s="195"/>
      <c r="AA18" s="195"/>
    </row>
    <row r="19" spans="1:27" ht="17.25" customHeight="1">
      <c r="A19" s="1084" t="s">
        <v>82</v>
      </c>
      <c r="B19" s="1085"/>
      <c r="C19" s="1086"/>
      <c r="D19" s="1087"/>
      <c r="E19" s="201"/>
      <c r="F19" s="201"/>
      <c r="G19" s="748"/>
      <c r="H19" s="201"/>
      <c r="I19" s="201"/>
      <c r="J19" s="201"/>
      <c r="K19" s="201"/>
      <c r="L19" s="201"/>
      <c r="M19" s="201"/>
      <c r="N19" s="201"/>
      <c r="O19" s="201"/>
      <c r="P19" s="201"/>
      <c r="Q19" s="749"/>
      <c r="R19" s="749"/>
      <c r="S19" s="749"/>
      <c r="T19" s="750">
        <f t="shared" si="0"/>
        <v>0</v>
      </c>
      <c r="U19" s="55"/>
      <c r="V19" s="55"/>
      <c r="Z19" s="195"/>
      <c r="AA19" s="195"/>
    </row>
    <row r="20" spans="1:27" ht="17.25" customHeight="1">
      <c r="A20" s="1084" t="s">
        <v>83</v>
      </c>
      <c r="B20" s="1085"/>
      <c r="C20" s="1086" t="s">
        <v>83</v>
      </c>
      <c r="D20" s="1087"/>
      <c r="E20" s="201"/>
      <c r="F20" s="201"/>
      <c r="G20" s="748"/>
      <c r="H20" s="201"/>
      <c r="I20" s="201"/>
      <c r="J20" s="201"/>
      <c r="K20" s="201"/>
      <c r="L20" s="201"/>
      <c r="M20" s="201"/>
      <c r="N20" s="201"/>
      <c r="O20" s="201"/>
      <c r="P20" s="201"/>
      <c r="Q20" s="749"/>
      <c r="R20" s="749"/>
      <c r="S20" s="749"/>
      <c r="T20" s="750">
        <f t="shared" si="0"/>
        <v>0</v>
      </c>
      <c r="U20" s="55"/>
      <c r="V20" s="55"/>
      <c r="Z20" s="195"/>
      <c r="AA20" s="195"/>
    </row>
    <row r="21" spans="1:27" ht="17.25" customHeight="1">
      <c r="A21" s="1084" t="s">
        <v>84</v>
      </c>
      <c r="B21" s="1085"/>
      <c r="C21" s="1086" t="s">
        <v>84</v>
      </c>
      <c r="D21" s="1087"/>
      <c r="E21" s="201"/>
      <c r="F21" s="201"/>
      <c r="G21" s="748"/>
      <c r="H21" s="201"/>
      <c r="I21" s="201"/>
      <c r="J21" s="201"/>
      <c r="K21" s="201"/>
      <c r="L21" s="201"/>
      <c r="M21" s="201"/>
      <c r="N21" s="201"/>
      <c r="O21" s="201"/>
      <c r="P21" s="201"/>
      <c r="Q21" s="749"/>
      <c r="R21" s="749"/>
      <c r="S21" s="749"/>
      <c r="T21" s="750">
        <f t="shared" si="0"/>
        <v>0</v>
      </c>
      <c r="U21" s="55"/>
      <c r="V21" s="55"/>
      <c r="Z21" s="195"/>
      <c r="AA21" s="195"/>
    </row>
    <row r="22" spans="1:27" ht="17.25" customHeight="1">
      <c r="A22" s="1084"/>
      <c r="B22" s="1085"/>
      <c r="C22" s="1086"/>
      <c r="D22" s="1087"/>
      <c r="E22" s="201"/>
      <c r="F22" s="201"/>
      <c r="G22" s="748"/>
      <c r="H22" s="201"/>
      <c r="I22" s="201"/>
      <c r="J22" s="201"/>
      <c r="K22" s="201"/>
      <c r="L22" s="201"/>
      <c r="M22" s="201"/>
      <c r="N22" s="201"/>
      <c r="O22" s="201"/>
      <c r="P22" s="201"/>
      <c r="Q22" s="749"/>
      <c r="R22" s="749"/>
      <c r="S22" s="749"/>
      <c r="T22" s="750">
        <f t="shared" si="0"/>
        <v>0</v>
      </c>
      <c r="U22" s="55"/>
      <c r="V22" s="55"/>
      <c r="Z22" s="195"/>
      <c r="AA22" s="195"/>
    </row>
    <row r="23" spans="1:27" ht="17.25" customHeight="1">
      <c r="A23" s="1084"/>
      <c r="B23" s="1085"/>
      <c r="C23" s="1086"/>
      <c r="D23" s="1087"/>
      <c r="E23" s="201"/>
      <c r="F23" s="201"/>
      <c r="G23" s="748"/>
      <c r="H23" s="201"/>
      <c r="I23" s="201"/>
      <c r="J23" s="201"/>
      <c r="K23" s="201"/>
      <c r="L23" s="201"/>
      <c r="M23" s="201"/>
      <c r="N23" s="201"/>
      <c r="O23" s="201"/>
      <c r="P23" s="201"/>
      <c r="Q23" s="749"/>
      <c r="R23" s="749"/>
      <c r="S23" s="749"/>
      <c r="T23" s="750">
        <f t="shared" si="0"/>
        <v>0</v>
      </c>
      <c r="U23" s="55"/>
      <c r="V23" s="55"/>
      <c r="Z23" s="195"/>
      <c r="AA23" s="195"/>
    </row>
    <row r="24" spans="1:27" ht="17.25" customHeight="1">
      <c r="A24" s="1084"/>
      <c r="B24" s="1085"/>
      <c r="C24" s="1086"/>
      <c r="D24" s="1087"/>
      <c r="E24" s="201"/>
      <c r="F24" s="201"/>
      <c r="G24" s="748"/>
      <c r="H24" s="201"/>
      <c r="I24" s="201"/>
      <c r="J24" s="201"/>
      <c r="K24" s="201"/>
      <c r="L24" s="201"/>
      <c r="M24" s="201"/>
      <c r="N24" s="201"/>
      <c r="O24" s="201"/>
      <c r="P24" s="201"/>
      <c r="Q24" s="749"/>
      <c r="R24" s="749"/>
      <c r="S24" s="749"/>
      <c r="T24" s="750">
        <f t="shared" si="0"/>
        <v>0</v>
      </c>
      <c r="U24" s="55"/>
      <c r="V24" s="55"/>
      <c r="Z24" s="195"/>
      <c r="AA24" s="195"/>
    </row>
    <row r="25" spans="1:27" ht="17.25" customHeight="1" thickBot="1">
      <c r="A25" s="1072"/>
      <c r="B25" s="1073"/>
      <c r="C25" s="1074"/>
      <c r="D25" s="1075"/>
      <c r="E25" s="199"/>
      <c r="F25" s="199"/>
      <c r="G25" s="751"/>
      <c r="H25" s="199"/>
      <c r="I25" s="199"/>
      <c r="J25" s="199"/>
      <c r="K25" s="199"/>
      <c r="L25" s="199"/>
      <c r="M25" s="199"/>
      <c r="N25" s="199"/>
      <c r="O25" s="199"/>
      <c r="P25" s="199"/>
      <c r="Q25" s="752"/>
      <c r="R25" s="752"/>
      <c r="S25" s="752"/>
      <c r="T25" s="753">
        <f t="shared" si="0"/>
        <v>0</v>
      </c>
      <c r="U25" s="55"/>
      <c r="V25" s="55"/>
      <c r="Z25" s="195"/>
      <c r="AA25" s="195"/>
    </row>
    <row r="26" spans="1:28" ht="17.25" customHeight="1">
      <c r="A26" s="1076"/>
      <c r="B26" s="1077"/>
      <c r="C26" s="1078" t="s">
        <v>85</v>
      </c>
      <c r="D26" s="1079"/>
      <c r="E26" s="754">
        <f aca="true" t="shared" si="1" ref="E26:S26">SUM(E14:E25)</f>
        <v>0</v>
      </c>
      <c r="F26" s="754">
        <f t="shared" si="1"/>
        <v>0</v>
      </c>
      <c r="G26" s="754">
        <f t="shared" si="1"/>
        <v>0</v>
      </c>
      <c r="H26" s="754">
        <f t="shared" si="1"/>
        <v>0</v>
      </c>
      <c r="I26" s="754">
        <f t="shared" si="1"/>
        <v>0</v>
      </c>
      <c r="J26" s="754">
        <f t="shared" si="1"/>
        <v>0</v>
      </c>
      <c r="K26" s="754">
        <f t="shared" si="1"/>
        <v>0</v>
      </c>
      <c r="L26" s="755">
        <f t="shared" si="1"/>
        <v>0</v>
      </c>
      <c r="M26" s="754">
        <f t="shared" si="1"/>
        <v>0</v>
      </c>
      <c r="N26" s="754">
        <f t="shared" si="1"/>
        <v>0</v>
      </c>
      <c r="O26" s="754">
        <f t="shared" si="1"/>
        <v>0</v>
      </c>
      <c r="P26" s="755">
        <f t="shared" si="1"/>
        <v>0</v>
      </c>
      <c r="Q26" s="754">
        <f t="shared" si="1"/>
        <v>0</v>
      </c>
      <c r="R26" s="754">
        <f t="shared" si="1"/>
        <v>0</v>
      </c>
      <c r="S26" s="754">
        <f t="shared" si="1"/>
        <v>0</v>
      </c>
      <c r="T26" s="756">
        <f t="shared" si="0"/>
        <v>0</v>
      </c>
      <c r="U26" s="55"/>
      <c r="V26" s="55"/>
      <c r="Z26" s="204"/>
      <c r="AA26" s="204"/>
      <c r="AB26" s="7"/>
    </row>
    <row r="27" spans="1:27" ht="17.25" customHeight="1">
      <c r="A27" s="1080" t="s">
        <v>677</v>
      </c>
      <c r="B27" s="1081"/>
      <c r="C27" s="1082" t="s">
        <v>124</v>
      </c>
      <c r="D27" s="1083"/>
      <c r="E27" s="203"/>
      <c r="F27" s="203"/>
      <c r="G27" s="202"/>
      <c r="H27" s="203"/>
      <c r="I27" s="203"/>
      <c r="J27" s="203"/>
      <c r="K27" s="203"/>
      <c r="L27" s="202"/>
      <c r="M27" s="203"/>
      <c r="N27" s="203"/>
      <c r="O27" s="203"/>
      <c r="P27" s="202"/>
      <c r="Q27" s="203"/>
      <c r="R27" s="203"/>
      <c r="S27" s="203"/>
      <c r="T27" s="757"/>
      <c r="U27" s="55"/>
      <c r="V27" s="55"/>
      <c r="Z27" s="198"/>
      <c r="AA27" s="198"/>
    </row>
    <row r="28" spans="1:27" ht="17.25" customHeight="1" thickBot="1">
      <c r="A28" s="1062" t="s">
        <v>676</v>
      </c>
      <c r="B28" s="1063"/>
      <c r="C28" s="1064" t="s">
        <v>124</v>
      </c>
      <c r="D28" s="1065"/>
      <c r="E28" s="200"/>
      <c r="F28" s="200"/>
      <c r="G28" s="758"/>
      <c r="H28" s="200"/>
      <c r="I28" s="200"/>
      <c r="J28" s="200"/>
      <c r="K28" s="200"/>
      <c r="L28" s="758"/>
      <c r="M28" s="200"/>
      <c r="N28" s="200"/>
      <c r="O28" s="200"/>
      <c r="P28" s="758"/>
      <c r="Q28" s="200"/>
      <c r="R28" s="200"/>
      <c r="S28" s="200"/>
      <c r="T28" s="759"/>
      <c r="U28" s="55"/>
      <c r="V28" s="55"/>
      <c r="Z28" s="198"/>
      <c r="AA28" s="198"/>
    </row>
    <row r="29" spans="1:38" ht="20.25" customHeight="1">
      <c r="A29" s="1066" t="s">
        <v>86</v>
      </c>
      <c r="B29" s="1066"/>
      <c r="C29" s="1066"/>
      <c r="D29" s="197" t="s">
        <v>754</v>
      </c>
      <c r="E29" s="55"/>
      <c r="F29" s="760"/>
      <c r="G29" s="55"/>
      <c r="H29" s="760"/>
      <c r="I29" s="760"/>
      <c r="J29" s="235"/>
      <c r="K29" s="761"/>
      <c r="L29" s="760"/>
      <c r="M29" s="55"/>
      <c r="N29" s="235"/>
      <c r="O29" s="235"/>
      <c r="P29" s="760"/>
      <c r="Q29" s="235"/>
      <c r="R29" s="235"/>
      <c r="S29" s="235"/>
      <c r="T29" s="235"/>
      <c r="U29" s="55"/>
      <c r="V29" s="55"/>
      <c r="Z29" s="18"/>
      <c r="AA29" s="18"/>
      <c r="AB29" s="18"/>
      <c r="AC29" s="18"/>
      <c r="AD29" s="18"/>
      <c r="AE29" s="18"/>
      <c r="AF29" s="18"/>
      <c r="AH29" s="18"/>
      <c r="AJ29" s="16"/>
      <c r="AK29" s="17"/>
      <c r="AL29" s="18"/>
    </row>
    <row r="30" spans="1:40" ht="20.25" customHeight="1" thickBot="1">
      <c r="A30" s="1067"/>
      <c r="B30" s="1067"/>
      <c r="C30" s="1067"/>
      <c r="D30" s="196" t="s">
        <v>760</v>
      </c>
      <c r="G30" s="15"/>
      <c r="H30" s="15"/>
      <c r="AN30" s="15"/>
    </row>
    <row r="31" spans="1:27" ht="15" customHeight="1" thickBot="1">
      <c r="A31" s="1068" t="s">
        <v>87</v>
      </c>
      <c r="B31" s="1069"/>
      <c r="C31" s="1068" t="s">
        <v>88</v>
      </c>
      <c r="D31" s="1069"/>
      <c r="E31" s="732">
        <v>41851</v>
      </c>
      <c r="F31" s="762" t="s">
        <v>874</v>
      </c>
      <c r="G31" s="763" t="s">
        <v>77</v>
      </c>
      <c r="H31" s="733" t="s">
        <v>723</v>
      </c>
      <c r="I31" s="733" t="s">
        <v>724</v>
      </c>
      <c r="J31" s="733" t="s">
        <v>884</v>
      </c>
      <c r="K31" s="733" t="s">
        <v>725</v>
      </c>
      <c r="L31" s="734" t="s">
        <v>77</v>
      </c>
      <c r="M31" s="732">
        <v>42035</v>
      </c>
      <c r="N31" s="733" t="s">
        <v>875</v>
      </c>
      <c r="O31" s="733" t="s">
        <v>134</v>
      </c>
      <c r="P31" s="733" t="s">
        <v>77</v>
      </c>
      <c r="Q31" s="733" t="s">
        <v>135</v>
      </c>
      <c r="R31" s="733" t="s">
        <v>107</v>
      </c>
      <c r="S31" s="733" t="s">
        <v>876</v>
      </c>
      <c r="T31" s="764" t="s">
        <v>57</v>
      </c>
      <c r="Z31" s="142"/>
      <c r="AA31" s="142"/>
    </row>
    <row r="32" spans="1:27" ht="17.25" customHeight="1" thickBot="1">
      <c r="A32" s="1070" t="s">
        <v>128</v>
      </c>
      <c r="B32" s="1071"/>
      <c r="C32" s="337" t="s">
        <v>90</v>
      </c>
      <c r="D32" s="765">
        <v>0</v>
      </c>
      <c r="E32" s="645">
        <f aca="true" t="shared" si="2" ref="E32:F34">IF(E$27=0,"",ROUND(E$27*$D32/1000,0))</f>
      </c>
      <c r="F32" s="645">
        <f t="shared" si="2"/>
      </c>
      <c r="G32" s="708">
        <f>IF(G26=0,"",ROUND((ROUNDDOWN(G26,-3)*$D$32/1000),0))</f>
      </c>
      <c r="H32" s="645">
        <f aca="true" t="shared" si="3" ref="H32:K34">IF(H$27=0,"",ROUND(H$27*$D32/1000,0))</f>
      </c>
      <c r="I32" s="645">
        <f t="shared" si="3"/>
      </c>
      <c r="J32" s="645">
        <f t="shared" si="3"/>
      </c>
      <c r="K32" s="645">
        <f t="shared" si="3"/>
      </c>
      <c r="L32" s="708">
        <f>IF(L26=0,"",ROUND((ROUNDDOWN(L26,-3)*$D$32/1000),0))</f>
      </c>
      <c r="M32" s="645">
        <f aca="true" t="shared" si="4" ref="M32:O34">IF(M$27=0,"",ROUND(M$27*$D32/1000,0))</f>
      </c>
      <c r="N32" s="645">
        <f t="shared" si="4"/>
      </c>
      <c r="O32" s="645">
        <f t="shared" si="4"/>
      </c>
      <c r="P32" s="708">
        <f>IF(P26=0,"",ROUND((ROUNDDOWN(P26,-3)*$D$32/1000),0))</f>
      </c>
      <c r="Q32" s="645">
        <f aca="true" t="shared" si="5" ref="Q32:S33">IF(Q$27=0,"",ROUND(Q$27*$D32/1000,0))</f>
      </c>
      <c r="R32" s="645">
        <f t="shared" si="5"/>
      </c>
      <c r="S32" s="645">
        <f t="shared" si="5"/>
      </c>
      <c r="T32" s="709">
        <f aca="true" t="shared" si="6" ref="T32:T45">SUM(E32:S32)</f>
        <v>0</v>
      </c>
      <c r="Z32" s="195"/>
      <c r="AA32" s="195"/>
    </row>
    <row r="33" spans="1:27" ht="17.25" customHeight="1" thickBot="1">
      <c r="A33" s="1060" t="s">
        <v>89</v>
      </c>
      <c r="B33" s="1061"/>
      <c r="C33" s="337" t="s">
        <v>90</v>
      </c>
      <c r="D33" s="765">
        <v>0</v>
      </c>
      <c r="E33" s="646">
        <f t="shared" si="2"/>
      </c>
      <c r="F33" s="646">
        <f t="shared" si="2"/>
      </c>
      <c r="G33" s="710">
        <f>IF(G$26=0,"",ROUND((ROUNDDOWN(G$26,-3)*$D33/1000),0))</f>
      </c>
      <c r="H33" s="646">
        <f t="shared" si="3"/>
      </c>
      <c r="I33" s="646">
        <f t="shared" si="3"/>
      </c>
      <c r="J33" s="646">
        <f t="shared" si="3"/>
      </c>
      <c r="K33" s="646">
        <f t="shared" si="3"/>
      </c>
      <c r="L33" s="710">
        <f>IF(L$26=0,"",ROUND((ROUNDDOWN(L$26,-3)*$D33/1000),0))</f>
      </c>
      <c r="M33" s="646">
        <f t="shared" si="4"/>
      </c>
      <c r="N33" s="646">
        <f t="shared" si="4"/>
      </c>
      <c r="O33" s="646">
        <f t="shared" si="4"/>
      </c>
      <c r="P33" s="710">
        <f>IF(P$26=0,"",ROUND((ROUNDDOWN(P$26,-3)*$D33/1000),0))</f>
      </c>
      <c r="Q33" s="646">
        <f t="shared" si="5"/>
      </c>
      <c r="R33" s="646">
        <f t="shared" si="5"/>
      </c>
      <c r="S33" s="646">
        <f t="shared" si="5"/>
      </c>
      <c r="T33" s="711">
        <f t="shared" si="6"/>
        <v>0</v>
      </c>
      <c r="Z33" s="195"/>
      <c r="AA33" s="195"/>
    </row>
    <row r="34" spans="1:27" s="191" customFormat="1" ht="17.25" customHeight="1" thickBot="1">
      <c r="A34" s="1060" t="s">
        <v>151</v>
      </c>
      <c r="B34" s="1061"/>
      <c r="C34" s="337" t="s">
        <v>90</v>
      </c>
      <c r="D34" s="765">
        <v>0</v>
      </c>
      <c r="E34" s="647">
        <f t="shared" si="2"/>
      </c>
      <c r="F34" s="647">
        <f t="shared" si="2"/>
      </c>
      <c r="G34" s="647">
        <f>IF(G$26=0,"",ROUND((ROUNDDOWN(G$26,-3)*$D34/1000),0))</f>
      </c>
      <c r="H34" s="647">
        <f t="shared" si="3"/>
      </c>
      <c r="I34" s="647">
        <f t="shared" si="3"/>
      </c>
      <c r="J34" s="647">
        <f t="shared" si="3"/>
      </c>
      <c r="K34" s="647">
        <f t="shared" si="3"/>
      </c>
      <c r="L34" s="647">
        <f>IF(L$26=0,"",ROUND((ROUNDDOWN(L$26,-3)*$D34/1000),0))</f>
      </c>
      <c r="M34" s="647">
        <f t="shared" si="4"/>
      </c>
      <c r="N34" s="647">
        <f t="shared" si="4"/>
      </c>
      <c r="O34" s="647">
        <f t="shared" si="4"/>
      </c>
      <c r="P34" s="710">
        <f>IF(P$26=0,"",ROUND((ROUNDDOWN(P$26,-3)*$D34/1000),0))</f>
      </c>
      <c r="Q34" s="712" t="s">
        <v>821</v>
      </c>
      <c r="R34" s="713" t="s">
        <v>821</v>
      </c>
      <c r="S34" s="713" t="s">
        <v>821</v>
      </c>
      <c r="T34" s="714">
        <f t="shared" si="6"/>
        <v>0</v>
      </c>
      <c r="Z34" s="193"/>
      <c r="AA34" s="193"/>
    </row>
    <row r="35" spans="1:27" s="191" customFormat="1" ht="17.25" customHeight="1" thickBot="1">
      <c r="A35" s="1050" t="s">
        <v>729</v>
      </c>
      <c r="B35" s="1051"/>
      <c r="C35" s="337" t="s">
        <v>90</v>
      </c>
      <c r="D35" s="765">
        <v>0</v>
      </c>
      <c r="E35" s="715" t="s">
        <v>821</v>
      </c>
      <c r="F35" s="715" t="s">
        <v>821</v>
      </c>
      <c r="G35" s="716" t="s">
        <v>821</v>
      </c>
      <c r="H35" s="715" t="s">
        <v>821</v>
      </c>
      <c r="I35" s="713" t="s">
        <v>821</v>
      </c>
      <c r="J35" s="712" t="s">
        <v>821</v>
      </c>
      <c r="K35" s="713" t="s">
        <v>821</v>
      </c>
      <c r="L35" s="713" t="s">
        <v>821</v>
      </c>
      <c r="M35" s="713" t="s">
        <v>821</v>
      </c>
      <c r="N35" s="713" t="s">
        <v>821</v>
      </c>
      <c r="O35" s="717" t="s">
        <v>821</v>
      </c>
      <c r="P35" s="713" t="s">
        <v>821</v>
      </c>
      <c r="Q35" s="718">
        <f>IF(Q$27=0,"",ROUND(Q$27*$D35/1000,0))</f>
      </c>
      <c r="R35" s="718">
        <f>IF(R$27=0,"",ROUND(R$27*$D35/1000,0))</f>
      </c>
      <c r="S35" s="718">
        <f>IF(S$27=0,"",ROUND(S$27*$D35/1000,0))</f>
      </c>
      <c r="T35" s="711">
        <f t="shared" si="6"/>
        <v>0</v>
      </c>
      <c r="Z35" s="193"/>
      <c r="AA35" s="193"/>
    </row>
    <row r="36" spans="1:27" s="191" customFormat="1" ht="17.25" customHeight="1" thickBot="1">
      <c r="A36" s="1058" t="s">
        <v>663</v>
      </c>
      <c r="B36" s="1059"/>
      <c r="C36" s="338" t="s">
        <v>90</v>
      </c>
      <c r="D36" s="766">
        <v>0</v>
      </c>
      <c r="E36" s="202">
        <f>IF(E$28=0,"",ROUND(E$28*$D36/1000,0))</f>
      </c>
      <c r="F36" s="202">
        <f>IF(F$28=0,"",ROUND(F$28*$D36/1000,0))</f>
      </c>
      <c r="G36" s="719">
        <f>IF(G26=0,"",ROUND((IF(ROUNDDOWN(G26,-3)&gt;1500000,1500000,ROUNDDOWN(G26,-3))*$D$36/1000),0))</f>
      </c>
      <c r="H36" s="715" t="s">
        <v>821</v>
      </c>
      <c r="I36" s="713" t="s">
        <v>821</v>
      </c>
      <c r="J36" s="712" t="s">
        <v>821</v>
      </c>
      <c r="K36" s="713" t="s">
        <v>821</v>
      </c>
      <c r="L36" s="713" t="s">
        <v>821</v>
      </c>
      <c r="M36" s="713" t="s">
        <v>821</v>
      </c>
      <c r="N36" s="713" t="s">
        <v>821</v>
      </c>
      <c r="O36" s="717" t="s">
        <v>821</v>
      </c>
      <c r="P36" s="713" t="s">
        <v>821</v>
      </c>
      <c r="Q36" s="712" t="s">
        <v>821</v>
      </c>
      <c r="R36" s="713" t="s">
        <v>821</v>
      </c>
      <c r="S36" s="713" t="s">
        <v>821</v>
      </c>
      <c r="T36" s="711">
        <f t="shared" si="6"/>
        <v>0</v>
      </c>
      <c r="Z36" s="193"/>
      <c r="AA36" s="193"/>
    </row>
    <row r="37" spans="1:27" s="191" customFormat="1" ht="17.25" customHeight="1" thickBot="1">
      <c r="A37" s="1058" t="s">
        <v>664</v>
      </c>
      <c r="B37" s="1059"/>
      <c r="C37" s="338" t="s">
        <v>90</v>
      </c>
      <c r="D37" s="766">
        <v>0</v>
      </c>
      <c r="E37" s="713" t="s">
        <v>821</v>
      </c>
      <c r="F37" s="713" t="s">
        <v>821</v>
      </c>
      <c r="G37" s="717" t="s">
        <v>821</v>
      </c>
      <c r="H37" s="710">
        <f aca="true" t="shared" si="7" ref="H37:K40">IF(H$28=0,"",ROUND(H$28*$D37/1000,0))</f>
      </c>
      <c r="I37" s="710">
        <f t="shared" si="7"/>
      </c>
      <c r="J37" s="710">
        <f t="shared" si="7"/>
      </c>
      <c r="K37" s="710">
        <f t="shared" si="7"/>
      </c>
      <c r="L37" s="647">
        <f>IF(L26=0,"",ROUND((IF(ROUNDDOWN(L26,-3)&gt;1500000,1500000,ROUNDDOWN(L26,-3))*$D$37/1000),0))</f>
      </c>
      <c r="M37" s="710">
        <f aca="true" t="shared" si="8" ref="M37:O40">IF(M$28=0,"",ROUND(M$28*$D37/1000,0))</f>
      </c>
      <c r="N37" s="710">
        <f t="shared" si="8"/>
      </c>
      <c r="O37" s="710">
        <f t="shared" si="8"/>
      </c>
      <c r="P37" s="647">
        <f>IF(P26=0,"",ROUND((IF(ROUNDDOWN(P26,-3)&gt;1500000,1500000,ROUNDDOWN(P26,-3))*$D$37/1000),0))</f>
      </c>
      <c r="Q37" s="646">
        <f aca="true" t="shared" si="9" ref="Q37:S40">IF(Q$28=0,"",ROUND(Q$28*$D37/1000,0))</f>
      </c>
      <c r="R37" s="646">
        <f t="shared" si="9"/>
      </c>
      <c r="S37" s="646">
        <f t="shared" si="9"/>
      </c>
      <c r="T37" s="711">
        <f t="shared" si="6"/>
        <v>0</v>
      </c>
      <c r="Z37" s="193"/>
      <c r="AA37" s="193"/>
    </row>
    <row r="38" spans="1:27" s="191" customFormat="1" ht="17.25" customHeight="1" thickBot="1">
      <c r="A38" s="1050" t="s">
        <v>728</v>
      </c>
      <c r="B38" s="1051"/>
      <c r="C38" s="338" t="s">
        <v>90</v>
      </c>
      <c r="D38" s="765">
        <v>0</v>
      </c>
      <c r="E38" s="647">
        <f aca="true" t="shared" si="10" ref="E38:F40">IF(E$28=0,"",ROUND(E$28*$D38/1000,0))</f>
      </c>
      <c r="F38" s="647">
        <f t="shared" si="10"/>
      </c>
      <c r="G38" s="719">
        <f>IF(G26=0,"",ROUND((IF(ROUNDDOWN(G26,-3)&gt;1500000,1500000,ROUNDDOWN(G26,-3))*$D$38/1000),0))</f>
      </c>
      <c r="H38" s="647">
        <f t="shared" si="7"/>
      </c>
      <c r="I38" s="647">
        <f t="shared" si="7"/>
      </c>
      <c r="J38" s="647">
        <f t="shared" si="7"/>
      </c>
      <c r="K38" s="647">
        <f t="shared" si="7"/>
      </c>
      <c r="L38" s="647">
        <f>IF(L26=0,"",ROUND((IF(ROUNDDOWN(L26,-3)&gt;1500000,1500000,ROUNDDOWN(L26,-3))*$D$38/1000),0))</f>
      </c>
      <c r="M38" s="647">
        <f t="shared" si="8"/>
      </c>
      <c r="N38" s="647">
        <f t="shared" si="8"/>
      </c>
      <c r="O38" s="647">
        <f t="shared" si="8"/>
      </c>
      <c r="P38" s="647">
        <f>IF(P$26=0,"",ROUND((IF(ROUNDDOWN(P$26,-3)&gt;1500000,1500000,ROUNDDOWN(P$26,-3))*$D38/1000),0))</f>
      </c>
      <c r="Q38" s="647">
        <f t="shared" si="9"/>
      </c>
      <c r="R38" s="647">
        <f t="shared" si="9"/>
      </c>
      <c r="S38" s="647">
        <f t="shared" si="9"/>
      </c>
      <c r="T38" s="711">
        <f t="shared" si="6"/>
        <v>0</v>
      </c>
      <c r="Z38" s="193"/>
      <c r="AA38" s="193"/>
    </row>
    <row r="39" spans="1:27" s="191" customFormat="1" ht="17.25" customHeight="1" thickBot="1">
      <c r="A39" s="1058" t="s">
        <v>648</v>
      </c>
      <c r="B39" s="1059"/>
      <c r="C39" s="194" t="s">
        <v>90</v>
      </c>
      <c r="D39" s="765">
        <v>0</v>
      </c>
      <c r="E39" s="647">
        <f t="shared" si="10"/>
      </c>
      <c r="F39" s="647">
        <f t="shared" si="10"/>
      </c>
      <c r="G39" s="716" t="s">
        <v>821</v>
      </c>
      <c r="H39" s="647">
        <f t="shared" si="7"/>
      </c>
      <c r="I39" s="647">
        <f t="shared" si="7"/>
      </c>
      <c r="J39" s="647">
        <f t="shared" si="7"/>
      </c>
      <c r="K39" s="647">
        <f t="shared" si="7"/>
      </c>
      <c r="L39" s="715" t="s">
        <v>821</v>
      </c>
      <c r="M39" s="647">
        <f t="shared" si="8"/>
      </c>
      <c r="N39" s="647">
        <f t="shared" si="8"/>
      </c>
      <c r="O39" s="647">
        <f t="shared" si="8"/>
      </c>
      <c r="P39" s="715" t="s">
        <v>821</v>
      </c>
      <c r="Q39" s="647">
        <f t="shared" si="9"/>
      </c>
      <c r="R39" s="647">
        <f t="shared" si="9"/>
      </c>
      <c r="S39" s="647">
        <f t="shared" si="9"/>
      </c>
      <c r="T39" s="711">
        <f t="shared" si="6"/>
        <v>0</v>
      </c>
      <c r="Z39" s="193"/>
      <c r="AA39" s="193"/>
    </row>
    <row r="40" spans="1:27" s="191" customFormat="1" ht="17.25" customHeight="1" thickBot="1">
      <c r="A40" s="1058" t="s">
        <v>648</v>
      </c>
      <c r="B40" s="1059"/>
      <c r="C40" s="194" t="s">
        <v>90</v>
      </c>
      <c r="D40" s="765">
        <v>0</v>
      </c>
      <c r="E40" s="647">
        <f t="shared" si="10"/>
      </c>
      <c r="F40" s="647">
        <f t="shared" si="10"/>
      </c>
      <c r="G40" s="716" t="s">
        <v>821</v>
      </c>
      <c r="H40" s="647">
        <f t="shared" si="7"/>
      </c>
      <c r="I40" s="647">
        <f t="shared" si="7"/>
      </c>
      <c r="J40" s="647">
        <f t="shared" si="7"/>
      </c>
      <c r="K40" s="647">
        <f t="shared" si="7"/>
      </c>
      <c r="L40" s="715" t="s">
        <v>821</v>
      </c>
      <c r="M40" s="647">
        <f t="shared" si="8"/>
      </c>
      <c r="N40" s="647">
        <f t="shared" si="8"/>
      </c>
      <c r="O40" s="647">
        <f t="shared" si="8"/>
      </c>
      <c r="P40" s="715" t="s">
        <v>821</v>
      </c>
      <c r="Q40" s="647">
        <f t="shared" si="9"/>
      </c>
      <c r="R40" s="647">
        <f t="shared" si="9"/>
      </c>
      <c r="S40" s="647">
        <f t="shared" si="9"/>
      </c>
      <c r="T40" s="711">
        <f t="shared" si="6"/>
        <v>0</v>
      </c>
      <c r="Z40" s="193"/>
      <c r="AA40" s="193"/>
    </row>
    <row r="41" spans="1:27" s="191" customFormat="1" ht="17.25" customHeight="1" thickBot="1">
      <c r="A41" s="1058" t="s">
        <v>647</v>
      </c>
      <c r="B41" s="1059"/>
      <c r="C41" s="194" t="s">
        <v>90</v>
      </c>
      <c r="D41" s="765">
        <v>0</v>
      </c>
      <c r="E41" s="715" t="s">
        <v>821</v>
      </c>
      <c r="F41" s="715" t="s">
        <v>821</v>
      </c>
      <c r="G41" s="719">
        <f>IF(G$26=0,"",ROUND((IF(ROUNDDOWN(G$26,-3)&gt;1500000,1500000,ROUNDDOWN(G$26,-3))*$D41/1000),0))</f>
      </c>
      <c r="H41" s="715" t="s">
        <v>821</v>
      </c>
      <c r="I41" s="715" t="s">
        <v>821</v>
      </c>
      <c r="J41" s="720" t="s">
        <v>821</v>
      </c>
      <c r="K41" s="715" t="s">
        <v>821</v>
      </c>
      <c r="L41" s="719">
        <f>IF(L$26=0,"",ROUND((IF(ROUNDDOWN(L$26,-3)&gt;1500000,1500000,ROUNDDOWN(L$26,-3))*$D41/1000),0))</f>
      </c>
      <c r="M41" s="715" t="s">
        <v>821</v>
      </c>
      <c r="N41" s="715" t="s">
        <v>821</v>
      </c>
      <c r="O41" s="716" t="s">
        <v>821</v>
      </c>
      <c r="P41" s="647">
        <f>IF(P$26=0,"",ROUND((IF(ROUNDDOWN(P$26,-3)&gt;1500000,1500000,ROUNDDOWN(P$26,-3))*$D41/1000),0))</f>
      </c>
      <c r="Q41" s="721" t="s">
        <v>821</v>
      </c>
      <c r="R41" s="722" t="s">
        <v>821</v>
      </c>
      <c r="S41" s="722" t="s">
        <v>821</v>
      </c>
      <c r="T41" s="711">
        <f t="shared" si="6"/>
        <v>0</v>
      </c>
      <c r="Z41" s="193"/>
      <c r="AA41" s="193"/>
    </row>
    <row r="42" spans="1:27" s="191" customFormat="1" ht="17.25" customHeight="1" thickBot="1">
      <c r="A42" s="1058" t="s">
        <v>647</v>
      </c>
      <c r="B42" s="1059"/>
      <c r="C42" s="194" t="s">
        <v>90</v>
      </c>
      <c r="D42" s="765">
        <v>0</v>
      </c>
      <c r="E42" s="715" t="s">
        <v>821</v>
      </c>
      <c r="F42" s="715" t="s">
        <v>821</v>
      </c>
      <c r="G42" s="719">
        <f>IF(G$26=0,"",ROUND((IF(ROUNDDOWN(G$26,-3)&gt;1500000,1500000,ROUNDDOWN(G$26,-3))*$D42/1000),0))</f>
      </c>
      <c r="H42" s="715" t="s">
        <v>821</v>
      </c>
      <c r="I42" s="715" t="s">
        <v>821</v>
      </c>
      <c r="J42" s="720" t="s">
        <v>821</v>
      </c>
      <c r="K42" s="715" t="s">
        <v>821</v>
      </c>
      <c r="L42" s="719">
        <f>IF(L$26=0,"",ROUND((IF(ROUNDDOWN(L$26,-3)&gt;1500000,1500000,ROUNDDOWN(L$26,-3))*$D42/1000),0))</f>
      </c>
      <c r="M42" s="715" t="s">
        <v>821</v>
      </c>
      <c r="N42" s="715" t="s">
        <v>821</v>
      </c>
      <c r="O42" s="716" t="s">
        <v>821</v>
      </c>
      <c r="P42" s="647">
        <f>IF(P$26=0,"",ROUND((IF(ROUNDDOWN(P$26,-3)&gt;1500000,1500000,ROUNDDOWN(P$26,-3))*$D42/1000),0))</f>
      </c>
      <c r="Q42" s="721" t="s">
        <v>821</v>
      </c>
      <c r="R42" s="722" t="s">
        <v>821</v>
      </c>
      <c r="S42" s="722" t="s">
        <v>821</v>
      </c>
      <c r="T42" s="711">
        <f t="shared" si="6"/>
        <v>0</v>
      </c>
      <c r="Z42" s="193"/>
      <c r="AA42" s="193"/>
    </row>
    <row r="43" spans="1:27" s="191" customFormat="1" ht="17.25" customHeight="1" thickBot="1">
      <c r="A43" s="1050" t="s">
        <v>91</v>
      </c>
      <c r="B43" s="1051"/>
      <c r="C43" s="336" t="s">
        <v>90</v>
      </c>
      <c r="D43" s="765">
        <v>0</v>
      </c>
      <c r="E43" s="647">
        <f aca="true" t="shared" si="11" ref="E43:S43">IF(E$26=0,"",ROUND(E$26*$D43/1000,0))</f>
      </c>
      <c r="F43" s="647">
        <f t="shared" si="11"/>
      </c>
      <c r="G43" s="719">
        <f t="shared" si="11"/>
      </c>
      <c r="H43" s="647">
        <f t="shared" si="11"/>
      </c>
      <c r="I43" s="647">
        <f t="shared" si="11"/>
      </c>
      <c r="J43" s="647">
        <f t="shared" si="11"/>
      </c>
      <c r="K43" s="647">
        <f t="shared" si="11"/>
      </c>
      <c r="L43" s="647">
        <f t="shared" si="11"/>
      </c>
      <c r="M43" s="647">
        <f t="shared" si="11"/>
      </c>
      <c r="N43" s="647">
        <f t="shared" si="11"/>
      </c>
      <c r="O43" s="719">
        <f t="shared" si="11"/>
      </c>
      <c r="P43" s="647">
        <f t="shared" si="11"/>
      </c>
      <c r="Q43" s="718">
        <f t="shared" si="11"/>
      </c>
      <c r="R43" s="647">
        <f t="shared" si="11"/>
      </c>
      <c r="S43" s="647">
        <f t="shared" si="11"/>
      </c>
      <c r="T43" s="711">
        <f t="shared" si="6"/>
        <v>0</v>
      </c>
      <c r="Z43" s="193"/>
      <c r="AA43" s="193"/>
    </row>
    <row r="44" spans="1:27" s="191" customFormat="1" ht="17.25" customHeight="1" thickBot="1">
      <c r="A44" s="1050" t="s">
        <v>92</v>
      </c>
      <c r="B44" s="1051"/>
      <c r="C44" s="336" t="s">
        <v>90</v>
      </c>
      <c r="D44" s="765">
        <v>0</v>
      </c>
      <c r="E44" s="647">
        <f aca="true" t="shared" si="12" ref="E44:S45">IF(E$26=0,"",ROUNDDOWN(E$26*$D44/1000,0))</f>
      </c>
      <c r="F44" s="647">
        <f t="shared" si="12"/>
      </c>
      <c r="G44" s="719">
        <f t="shared" si="12"/>
      </c>
      <c r="H44" s="647">
        <f t="shared" si="12"/>
      </c>
      <c r="I44" s="647">
        <f t="shared" si="12"/>
      </c>
      <c r="J44" s="647">
        <f t="shared" si="12"/>
      </c>
      <c r="K44" s="647">
        <f t="shared" si="12"/>
      </c>
      <c r="L44" s="647">
        <f t="shared" si="12"/>
      </c>
      <c r="M44" s="647">
        <f t="shared" si="12"/>
      </c>
      <c r="N44" s="647">
        <f t="shared" si="12"/>
      </c>
      <c r="O44" s="719">
        <f t="shared" si="12"/>
      </c>
      <c r="P44" s="647">
        <f t="shared" si="12"/>
      </c>
      <c r="Q44" s="718">
        <f t="shared" si="12"/>
      </c>
      <c r="R44" s="647">
        <f t="shared" si="12"/>
      </c>
      <c r="S44" s="647">
        <f t="shared" si="12"/>
      </c>
      <c r="T44" s="711">
        <f t="shared" si="6"/>
        <v>0</v>
      </c>
      <c r="Z44" s="193"/>
      <c r="AA44" s="193"/>
    </row>
    <row r="45" spans="1:27" s="191" customFormat="1" ht="17.25" customHeight="1" thickBot="1">
      <c r="A45" s="1050" t="s">
        <v>92</v>
      </c>
      <c r="B45" s="1051"/>
      <c r="C45" s="336" t="s">
        <v>90</v>
      </c>
      <c r="D45" s="765">
        <v>0</v>
      </c>
      <c r="E45" s="647">
        <f t="shared" si="12"/>
      </c>
      <c r="F45" s="647">
        <f t="shared" si="12"/>
      </c>
      <c r="G45" s="719">
        <f t="shared" si="12"/>
      </c>
      <c r="H45" s="647">
        <f t="shared" si="12"/>
      </c>
      <c r="I45" s="647">
        <f t="shared" si="12"/>
      </c>
      <c r="J45" s="647">
        <f t="shared" si="12"/>
      </c>
      <c r="K45" s="647">
        <f t="shared" si="12"/>
      </c>
      <c r="L45" s="647">
        <f t="shared" si="12"/>
      </c>
      <c r="M45" s="647">
        <f t="shared" si="12"/>
      </c>
      <c r="N45" s="647">
        <f t="shared" si="12"/>
      </c>
      <c r="O45" s="647">
        <f t="shared" si="12"/>
      </c>
      <c r="P45" s="647">
        <f t="shared" si="12"/>
      </c>
      <c r="Q45" s="718">
        <f t="shared" si="12"/>
      </c>
      <c r="R45" s="647">
        <f t="shared" si="12"/>
      </c>
      <c r="S45" s="723">
        <f t="shared" si="12"/>
      </c>
      <c r="T45" s="724">
        <f t="shared" si="6"/>
        <v>0</v>
      </c>
      <c r="Z45" s="193"/>
      <c r="AA45" s="193"/>
    </row>
    <row r="46" spans="1:28" s="191" customFormat="1" ht="17.25" customHeight="1" thickBot="1">
      <c r="A46" s="1052" t="s">
        <v>93</v>
      </c>
      <c r="B46" s="1053"/>
      <c r="C46" s="782"/>
      <c r="D46" s="767"/>
      <c r="E46" s="768">
        <f aca="true" t="shared" si="13" ref="E46:T46">SUM(E32:E45)</f>
        <v>0</v>
      </c>
      <c r="F46" s="768">
        <f t="shared" si="13"/>
        <v>0</v>
      </c>
      <c r="G46" s="768">
        <f t="shared" si="13"/>
        <v>0</v>
      </c>
      <c r="H46" s="769">
        <f t="shared" si="13"/>
        <v>0</v>
      </c>
      <c r="I46" s="768">
        <f t="shared" si="13"/>
        <v>0</v>
      </c>
      <c r="J46" s="768">
        <f t="shared" si="13"/>
        <v>0</v>
      </c>
      <c r="K46" s="770">
        <f t="shared" si="13"/>
        <v>0</v>
      </c>
      <c r="L46" s="768">
        <f t="shared" si="13"/>
        <v>0</v>
      </c>
      <c r="M46" s="768">
        <f t="shared" si="13"/>
        <v>0</v>
      </c>
      <c r="N46" s="768">
        <f t="shared" si="13"/>
        <v>0</v>
      </c>
      <c r="O46" s="768">
        <f t="shared" si="13"/>
        <v>0</v>
      </c>
      <c r="P46" s="769">
        <f t="shared" si="13"/>
        <v>0</v>
      </c>
      <c r="Q46" s="768">
        <f t="shared" si="13"/>
        <v>0</v>
      </c>
      <c r="R46" s="770">
        <f t="shared" si="13"/>
        <v>0</v>
      </c>
      <c r="S46" s="768">
        <f t="shared" si="13"/>
        <v>0</v>
      </c>
      <c r="T46" s="771">
        <f t="shared" si="13"/>
        <v>0</v>
      </c>
      <c r="U46" s="772"/>
      <c r="W46" s="773"/>
      <c r="Y46" s="644"/>
      <c r="Z46" s="193"/>
      <c r="AA46" s="193"/>
      <c r="AB46" s="192"/>
    </row>
    <row r="47" spans="1:28" s="334" customFormat="1" ht="15" customHeight="1">
      <c r="A47" s="7" t="s">
        <v>720</v>
      </c>
      <c r="B47" s="330"/>
      <c r="C47" s="331"/>
      <c r="D47" s="331"/>
      <c r="E47" s="335"/>
      <c r="F47" s="332"/>
      <c r="G47" s="332"/>
      <c r="H47" s="332"/>
      <c r="I47" s="341"/>
      <c r="J47" s="341"/>
      <c r="K47" s="341"/>
      <c r="L47" s="341"/>
      <c r="M47" s="341"/>
      <c r="N47" s="341"/>
      <c r="O47" s="341"/>
      <c r="P47" s="332"/>
      <c r="Q47" s="1054">
        <f>IF(OR($G$26&gt;=1501000,$L$26&gt;=1501000,$P$26&gt;=150100,$L$26&gt;=1501000,$P$26&gt;=1501000),"標準賞与上限：月間150万円超のため150万円で計算","")</f>
      </c>
      <c r="R47" s="1054"/>
      <c r="S47" s="1055"/>
      <c r="T47" s="1055"/>
      <c r="U47" s="1055"/>
      <c r="V47" s="332"/>
      <c r="W47" s="332"/>
      <c r="X47" s="332"/>
      <c r="Y47" s="774"/>
      <c r="Z47" s="332"/>
      <c r="AA47" s="332"/>
      <c r="AB47" s="333"/>
    </row>
    <row r="48" spans="1:20" ht="15" customHeight="1">
      <c r="A48" s="340"/>
      <c r="B48" s="19"/>
      <c r="C48" s="775"/>
      <c r="D48" s="20"/>
      <c r="E48" s="20"/>
      <c r="F48" s="20"/>
      <c r="G48" s="185"/>
      <c r="H48" s="20"/>
      <c r="I48" s="20"/>
      <c r="J48" s="20"/>
      <c r="K48" s="185"/>
      <c r="L48" s="20"/>
      <c r="M48" s="20"/>
      <c r="N48" s="20"/>
      <c r="O48" s="185"/>
      <c r="P48" s="20"/>
      <c r="Q48" s="20"/>
      <c r="R48" s="20"/>
      <c r="S48" s="20"/>
      <c r="T48" s="20"/>
    </row>
    <row r="49" spans="1:20" ht="15" customHeight="1" thickBot="1">
      <c r="A49" s="7"/>
      <c r="C49" s="618" t="s">
        <v>94</v>
      </c>
      <c r="D49" s="21"/>
      <c r="E49" s="21"/>
      <c r="F49" s="21"/>
      <c r="G49" s="1056"/>
      <c r="H49" s="1056"/>
      <c r="I49" s="1056"/>
      <c r="J49" s="1056"/>
      <c r="K49" s="1056"/>
      <c r="L49" s="1056"/>
      <c r="M49" s="21"/>
      <c r="N49" s="21"/>
      <c r="O49" s="783"/>
      <c r="Q49" s="1057" t="s">
        <v>95</v>
      </c>
      <c r="R49" s="1057"/>
      <c r="S49"/>
      <c r="T49"/>
    </row>
    <row r="50" spans="1:20" ht="29.25" customHeight="1" thickBot="1">
      <c r="A50" s="7"/>
      <c r="C50" s="21"/>
      <c r="D50" s="132"/>
      <c r="E50" s="132"/>
      <c r="F50" s="132"/>
      <c r="G50" s="132"/>
      <c r="H50" s="132"/>
      <c r="I50" s="132"/>
      <c r="J50" s="132"/>
      <c r="K50" s="21"/>
      <c r="L50" s="21"/>
      <c r="M50" s="783"/>
      <c r="N50" s="21"/>
      <c r="O50" s="21"/>
      <c r="P50" s="21"/>
      <c r="Q50" s="1040">
        <f>'総労働時間算定表(1)'!H8</f>
        <v>1920</v>
      </c>
      <c r="R50" s="1041"/>
      <c r="S50" s="132" t="s">
        <v>105</v>
      </c>
      <c r="T50" s="132"/>
    </row>
    <row r="51" spans="3:20" ht="15" customHeight="1" thickBot="1">
      <c r="C51" s="21"/>
      <c r="D51" s="21"/>
      <c r="E51" s="21"/>
      <c r="F51" s="21"/>
      <c r="G51" s="21"/>
      <c r="H51" s="21"/>
      <c r="I51" s="21"/>
      <c r="J51" s="1042"/>
      <c r="K51" s="1042"/>
      <c r="L51" s="21"/>
      <c r="M51" s="21"/>
      <c r="N51" s="21"/>
      <c r="O51" s="21"/>
      <c r="P51" s="21"/>
      <c r="Q51" s="1043"/>
      <c r="R51" s="1043"/>
      <c r="S51" s="21"/>
      <c r="T51" s="21"/>
    </row>
    <row r="52" spans="3:20" ht="30.75" customHeight="1" thickBot="1" thickTop="1">
      <c r="C52" s="23" t="s">
        <v>96</v>
      </c>
      <c r="D52" s="21"/>
      <c r="E52" s="24"/>
      <c r="F52" s="24" t="s">
        <v>675</v>
      </c>
      <c r="G52" s="1044">
        <f>T26</f>
        <v>0</v>
      </c>
      <c r="H52" s="1045"/>
      <c r="I52" s="776" t="s">
        <v>125</v>
      </c>
      <c r="J52" s="1046">
        <f>T46</f>
        <v>0</v>
      </c>
      <c r="K52" s="1047"/>
      <c r="L52" s="777" t="s">
        <v>674</v>
      </c>
      <c r="M52" s="92" t="s">
        <v>126</v>
      </c>
      <c r="N52" s="1040">
        <f>Q50</f>
        <v>1920</v>
      </c>
      <c r="O52" s="1041"/>
      <c r="P52" s="92" t="s">
        <v>127</v>
      </c>
      <c r="Q52" s="1048">
        <f>(ROUNDDOWN((G52+J52)/N52,0))</f>
        <v>0</v>
      </c>
      <c r="R52" s="1049"/>
      <c r="S52" s="132" t="s">
        <v>673</v>
      </c>
      <c r="T52" s="132"/>
    </row>
    <row r="53" spans="4:20" ht="15" customHeight="1" thickBot="1">
      <c r="D53" s="21"/>
      <c r="E53" s="21"/>
      <c r="F53" s="21"/>
      <c r="G53" s="21"/>
      <c r="H53" s="22"/>
      <c r="I53" s="21"/>
      <c r="J53" s="21"/>
      <c r="K53" s="21"/>
      <c r="L53" s="21"/>
      <c r="M53" s="21"/>
      <c r="N53" s="21"/>
      <c r="O53" s="21"/>
      <c r="P53" s="22"/>
      <c r="Q53" s="778" t="s">
        <v>97</v>
      </c>
      <c r="R53" s="779"/>
      <c r="S53" s="21"/>
      <c r="T53" s="21"/>
    </row>
    <row r="54" spans="4:20" ht="15" customHeight="1">
      <c r="D54" s="21"/>
      <c r="E54" s="21"/>
      <c r="F54" s="21"/>
      <c r="G54" s="25"/>
      <c r="H54" s="96"/>
      <c r="I54" s="96"/>
      <c r="J54" s="25"/>
      <c r="K54" s="96"/>
      <c r="L54" s="96"/>
      <c r="M54" s="21"/>
      <c r="N54" s="21"/>
      <c r="O54" s="189" t="s">
        <v>167</v>
      </c>
      <c r="P54" s="146"/>
      <c r="Q54" s="1032">
        <f>IF((ROUNDDOWN((G52+J52)/N52,0))&gt;=5000,5000,Q52)</f>
        <v>0</v>
      </c>
      <c r="R54" s="1033"/>
      <c r="S54" s="25"/>
      <c r="T54" s="25"/>
    </row>
    <row r="55" spans="3:20" ht="15" customHeight="1" thickBot="1">
      <c r="C55" s="190"/>
      <c r="D55" s="22"/>
      <c r="E55" s="21"/>
      <c r="F55" s="21"/>
      <c r="G55" s="25"/>
      <c r="H55" s="96"/>
      <c r="I55" s="96"/>
      <c r="J55" s="25"/>
      <c r="K55" s="96"/>
      <c r="L55" s="96"/>
      <c r="M55" s="21"/>
      <c r="N55" s="21"/>
      <c r="O55" s="189" t="s">
        <v>168</v>
      </c>
      <c r="P55" s="146"/>
      <c r="Q55" s="1034"/>
      <c r="R55" s="1035"/>
      <c r="S55" s="132" t="s">
        <v>673</v>
      </c>
      <c r="T55" s="132"/>
    </row>
    <row r="56" spans="3:20" ht="15" customHeight="1">
      <c r="C56" s="190"/>
      <c r="D56" s="22"/>
      <c r="E56" s="21"/>
      <c r="F56" s="21"/>
      <c r="G56" s="25"/>
      <c r="H56" s="96"/>
      <c r="I56" s="96"/>
      <c r="J56" s="25"/>
      <c r="K56" s="96"/>
      <c r="L56" s="96"/>
      <c r="M56" s="21"/>
      <c r="N56" s="21"/>
      <c r="O56" s="189"/>
      <c r="P56" s="146"/>
      <c r="Q56" s="780"/>
      <c r="R56" s="780"/>
      <c r="S56" s="132"/>
      <c r="T56" s="132"/>
    </row>
    <row r="57" spans="5:30" ht="18.75" customHeight="1">
      <c r="E57" s="188" t="s">
        <v>672</v>
      </c>
      <c r="F57" s="21"/>
      <c r="G57" s="21"/>
      <c r="H57" s="21"/>
      <c r="I57" s="21"/>
      <c r="J57" s="21"/>
      <c r="K57" s="21"/>
      <c r="L57" s="21"/>
      <c r="M57" s="21"/>
      <c r="N57" s="21"/>
      <c r="O57" s="21"/>
      <c r="P57" s="21"/>
      <c r="Q57" s="779"/>
      <c r="R57" s="779"/>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36" t="s">
        <v>879</v>
      </c>
      <c r="B59" s="1037"/>
      <c r="C59" s="1037"/>
      <c r="D59" s="1037"/>
      <c r="E59" s="1038" t="str">
        <f>"名称(社名)　：　"&amp;'基本情報入力（使い方）'!C10</f>
        <v>名称(社名)　：　Ｂ金属株式会社</v>
      </c>
      <c r="F59" s="1038"/>
      <c r="G59" s="1038"/>
      <c r="H59" s="1038"/>
      <c r="I59" s="1038"/>
      <c r="J59" s="1038"/>
      <c r="K59" s="1038"/>
      <c r="L59" s="1038"/>
      <c r="M59" s="781"/>
      <c r="N59" s="1039" t="str">
        <f>"部署・役職名　：　"&amp;'基本情報入力（使い方）'!C33</f>
        <v>部署・役職名　：　総務部長　経済計子</v>
      </c>
      <c r="O59" s="1039"/>
      <c r="P59" s="1039"/>
      <c r="Q59" s="1039"/>
      <c r="R59" s="1039"/>
      <c r="S59" s="187" t="s">
        <v>169</v>
      </c>
      <c r="T59" s="187"/>
      <c r="U59" s="339"/>
      <c r="V59" s="339"/>
      <c r="Y59"/>
      <c r="Z59"/>
      <c r="AA59"/>
      <c r="AB59"/>
      <c r="AC59"/>
      <c r="AD59"/>
    </row>
    <row r="60" spans="25:30" ht="15" customHeight="1">
      <c r="Y60"/>
      <c r="Z60"/>
      <c r="AA60"/>
      <c r="AB60"/>
      <c r="AC60"/>
      <c r="AD60"/>
    </row>
    <row r="66" ht="13.5">
      <c r="Q66" s="3" t="s">
        <v>720</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7" stopIfTrue="1">
      <formula>$G$26&gt;=1501000</formula>
    </cfRule>
  </conditionalFormatting>
  <conditionalFormatting sqref="L37:L38 L41:L42">
    <cfRule type="expression" priority="2" dxfId="87" stopIfTrue="1">
      <formula>$L$26&gt;=1501000</formula>
    </cfRule>
  </conditionalFormatting>
  <conditionalFormatting sqref="P37:P38 P41:P42">
    <cfRule type="expression" priority="1" dxfId="87" stopIfTrue="1">
      <formula>$P$26&gt;=1501000</formula>
    </cfRule>
  </conditionalFormatting>
  <conditionalFormatting sqref="Y47">
    <cfRule type="expression" priority="4" dxfId="87" stopIfTrue="1">
      <formula>OR('賃金台帳(12)'!#REF!&gt;=1501000,$G$26&gt;=1501000,$L$26&gt;=1501000,$P$26&gt;=1501000,'賃金台帳(12)'!#REF!&gt;=1501000)</formula>
    </cfRule>
  </conditionalFormatting>
  <conditionalFormatting sqref="Q47:U47">
    <cfRule type="expression" priority="5" dxfId="88"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8">
    <tabColor rgb="FFFFC000"/>
    <pageSetUpPr fitToPage="1"/>
  </sheetPr>
  <dimension ref="A1:AA69"/>
  <sheetViews>
    <sheetView showGridLines="0" zoomScaleSheetLayoutView="70" zoomScalePageLayoutView="0" workbookViewId="0" topLeftCell="A1">
      <pane ySplit="3" topLeftCell="A16" activePane="bottomLeft" state="frozen"/>
      <selection pane="topLeft" activeCell="A1" sqref="A1"/>
      <selection pane="bottomLeft" activeCell="A1" sqref="A1"/>
    </sheetView>
  </sheetViews>
  <sheetFormatPr defaultColWidth="9.140625" defaultRowHeight="15"/>
  <cols>
    <col min="1" max="1" width="3.57421875" style="179" customWidth="1"/>
    <col min="2" max="2" width="11.57421875" style="179" customWidth="1"/>
    <col min="3" max="3" width="20.8515625" style="179" customWidth="1"/>
    <col min="4" max="8" width="18.8515625" style="179" customWidth="1"/>
    <col min="9" max="10" width="13.57421875" style="179" customWidth="1"/>
    <col min="11" max="11" width="6.00390625" style="179" bestFit="1" customWidth="1"/>
    <col min="12" max="12" width="52.421875" style="179" bestFit="1" customWidth="1"/>
    <col min="13" max="14" width="11.140625" style="179" bestFit="1" customWidth="1"/>
    <col min="15" max="15" width="6.7109375" style="179" bestFit="1" customWidth="1"/>
    <col min="16" max="16" width="45.57421875" style="179" bestFit="1" customWidth="1"/>
    <col min="17" max="17" width="10.28125" style="179" bestFit="1" customWidth="1"/>
    <col min="18" max="18" width="9.421875" style="179" bestFit="1" customWidth="1"/>
    <col min="19" max="19" width="4.57421875" style="179" bestFit="1" customWidth="1"/>
    <col min="20" max="20" width="8.421875" style="179" bestFit="1" customWidth="1"/>
    <col min="21" max="21" width="4.57421875" style="179" bestFit="1" customWidth="1"/>
    <col min="22" max="22" width="15.421875" style="179" bestFit="1" customWidth="1"/>
    <col min="23" max="23" width="4.57421875" style="179" bestFit="1" customWidth="1"/>
    <col min="24" max="24" width="18.28125" style="179" bestFit="1" customWidth="1"/>
    <col min="25" max="25" width="6.8515625" style="179" bestFit="1" customWidth="1"/>
    <col min="26" max="26" width="14.00390625" style="179" customWidth="1"/>
    <col min="27" max="27" width="13.8515625" style="179" customWidth="1"/>
    <col min="28" max="28" width="17.28125" style="179" customWidth="1"/>
    <col min="29" max="16384" width="9.00390625" style="179" customWidth="1"/>
  </cols>
  <sheetData>
    <row r="1" spans="1:19" s="8" customFormat="1" ht="13.5">
      <c r="A1" s="13"/>
      <c r="F1" s="402"/>
      <c r="G1" s="401"/>
      <c r="I1" s="13"/>
      <c r="O1" s="13"/>
      <c r="P1" s="13"/>
      <c r="Q1" s="13"/>
      <c r="S1" s="403"/>
    </row>
    <row r="2" spans="1:19" s="8" customFormat="1" ht="13.5">
      <c r="A2" s="13"/>
      <c r="B2" s="802" t="s">
        <v>897</v>
      </c>
      <c r="F2" s="402"/>
      <c r="G2" s="401"/>
      <c r="I2" s="13"/>
      <c r="O2" s="13"/>
      <c r="P2" s="13"/>
      <c r="Q2" s="13"/>
      <c r="S2" s="403"/>
    </row>
    <row r="3" spans="1:19" s="8" customFormat="1" ht="13.5">
      <c r="A3" s="13"/>
      <c r="F3" s="402"/>
      <c r="G3" s="401"/>
      <c r="I3" s="13"/>
      <c r="O3" s="13"/>
      <c r="P3" s="13"/>
      <c r="Q3" s="13"/>
      <c r="S3" s="403"/>
    </row>
    <row r="4" spans="2:25" s="244" customFormat="1" ht="30" customHeight="1">
      <c r="B4" s="558" t="s">
        <v>978</v>
      </c>
      <c r="C4" s="213"/>
      <c r="D4" s="213"/>
      <c r="E4" s="213"/>
      <c r="Y4" s="483"/>
    </row>
    <row r="5" ht="30" customHeight="1">
      <c r="B5" s="556"/>
    </row>
    <row r="6" spans="2:10" s="1" customFormat="1" ht="30" customHeight="1">
      <c r="B6" s="533" t="s">
        <v>818</v>
      </c>
      <c r="C6" s="931" t="str">
        <f>'基本情報入力（使い方）'!C10</f>
        <v>Ｂ金属株式会社</v>
      </c>
      <c r="D6" s="931"/>
      <c r="E6" s="931"/>
      <c r="F6" s="53" t="s">
        <v>961</v>
      </c>
      <c r="J6" s="532" t="s">
        <v>0</v>
      </c>
    </row>
    <row r="7" spans="2:10" ht="36.75" customHeight="1">
      <c r="B7" s="952" t="s">
        <v>834</v>
      </c>
      <c r="C7" s="953"/>
      <c r="D7" s="954"/>
      <c r="E7" s="69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F7" s="698"/>
      <c r="G7" s="698"/>
      <c r="H7" s="699"/>
      <c r="I7" s="699"/>
      <c r="J7" s="700"/>
    </row>
    <row r="8" spans="2:10" s="1" customFormat="1" ht="30" customHeight="1">
      <c r="B8" s="949" t="s">
        <v>28</v>
      </c>
      <c r="C8" s="949"/>
      <c r="D8" s="936" t="s">
        <v>980</v>
      </c>
      <c r="E8" s="955" t="s">
        <v>832</v>
      </c>
      <c r="F8" s="956"/>
      <c r="G8" s="563" t="s">
        <v>829</v>
      </c>
      <c r="H8" s="563" t="s">
        <v>830</v>
      </c>
      <c r="I8" s="939" t="s">
        <v>833</v>
      </c>
      <c r="J8" s="940"/>
    </row>
    <row r="9" spans="2:10" ht="36.75" customHeight="1">
      <c r="B9" s="949"/>
      <c r="C9" s="949"/>
      <c r="D9" s="937"/>
      <c r="E9" s="947" t="s">
        <v>979</v>
      </c>
      <c r="F9" s="948"/>
      <c r="G9" s="584" t="s">
        <v>806</v>
      </c>
      <c r="H9" s="583" t="s">
        <v>982</v>
      </c>
      <c r="I9" s="941"/>
      <c r="J9" s="942"/>
    </row>
    <row r="10" spans="2:10" ht="22.5" customHeight="1">
      <c r="B10" s="949"/>
      <c r="C10" s="949"/>
      <c r="D10" s="938"/>
      <c r="E10" s="585" t="s">
        <v>153</v>
      </c>
      <c r="F10" s="585" t="s">
        <v>831</v>
      </c>
      <c r="G10" s="585" t="s">
        <v>831</v>
      </c>
      <c r="H10" s="585" t="s">
        <v>831</v>
      </c>
      <c r="I10" s="943"/>
      <c r="J10" s="944"/>
    </row>
    <row r="11" spans="2:10" ht="30" customHeight="1">
      <c r="B11" s="950" t="s">
        <v>781</v>
      </c>
      <c r="C11" s="951"/>
      <c r="D11" s="818">
        <v>3333333</v>
      </c>
      <c r="E11" s="534">
        <f>'経費明細表チェックリスト'!E26</f>
        <v>5400000</v>
      </c>
      <c r="F11" s="514">
        <f>'経費明細表チェックリスト'!G26</f>
        <v>5000000</v>
      </c>
      <c r="G11" s="514">
        <f>'経費明細表チェックリスト'!I26</f>
        <v>5000000</v>
      </c>
      <c r="H11" s="514">
        <f>'経費明細表チェックリスト'!K26</f>
        <v>3333333</v>
      </c>
      <c r="I11" s="813" t="s">
        <v>828</v>
      </c>
      <c r="J11" s="502"/>
    </row>
    <row r="12" spans="2:10" ht="30" customHeight="1">
      <c r="B12" s="945" t="s">
        <v>782</v>
      </c>
      <c r="C12" s="946"/>
      <c r="D12" s="819">
        <v>2133328</v>
      </c>
      <c r="E12" s="535">
        <f>'経費明細表チェックリスト'!E27</f>
        <v>1296000</v>
      </c>
      <c r="F12" s="516">
        <f>'経費明細表チェックリスト'!G27</f>
        <v>1200000</v>
      </c>
      <c r="G12" s="516">
        <f>'経費明細表チェックリスト'!I27</f>
        <v>1200000</v>
      </c>
      <c r="H12" s="516">
        <f>'経費明細表チェックリスト'!K27</f>
        <v>799998</v>
      </c>
      <c r="I12" s="491"/>
      <c r="J12" s="503"/>
    </row>
    <row r="13" spans="2:10" ht="30" customHeight="1">
      <c r="B13" s="945" t="s">
        <v>40</v>
      </c>
      <c r="C13" s="946"/>
      <c r="D13" s="819">
        <v>196362</v>
      </c>
      <c r="E13" s="535">
        <f>'経費明細表チェックリスト'!E28</f>
        <v>302886</v>
      </c>
      <c r="F13" s="516">
        <f>'経費明細表チェックリスト'!G28</f>
        <v>280450</v>
      </c>
      <c r="G13" s="516">
        <f>'経費明細表チェックリスト'!I28</f>
        <v>280450</v>
      </c>
      <c r="H13" s="516">
        <f>'経費明細表チェックリスト'!K28</f>
        <v>186966</v>
      </c>
      <c r="I13" s="491"/>
      <c r="J13" s="503"/>
    </row>
    <row r="14" spans="2:10" ht="30" customHeight="1">
      <c r="B14" s="945" t="s">
        <v>66</v>
      </c>
      <c r="C14" s="946"/>
      <c r="D14" s="819">
        <v>793695</v>
      </c>
      <c r="E14" s="535">
        <f>'経費明細表チェックリスト'!E29</f>
        <v>889440</v>
      </c>
      <c r="F14" s="516">
        <f>'経費明細表チェックリスト'!G29</f>
        <v>889440</v>
      </c>
      <c r="G14" s="516">
        <f>'経費明細表チェックリスト'!I29</f>
        <v>889440</v>
      </c>
      <c r="H14" s="516">
        <f>'経費明細表チェックリスト'!K29</f>
        <v>592960</v>
      </c>
      <c r="I14" s="58"/>
      <c r="J14" s="504"/>
    </row>
    <row r="15" spans="2:10" ht="30" customHeight="1">
      <c r="B15" s="945" t="s">
        <v>59</v>
      </c>
      <c r="C15" s="946"/>
      <c r="D15" s="819">
        <v>2065165</v>
      </c>
      <c r="E15" s="535">
        <f>'経費明細表チェックリスト'!E30</f>
        <v>2332800</v>
      </c>
      <c r="F15" s="516">
        <f>'経費明細表チェックリスト'!G30</f>
        <v>2160000</v>
      </c>
      <c r="G15" s="516">
        <f>'経費明細表チェックリスト'!I30</f>
        <v>2160000</v>
      </c>
      <c r="H15" s="516">
        <f>'経費明細表チェックリスト'!K30</f>
        <v>1440000</v>
      </c>
      <c r="I15" s="492"/>
      <c r="J15" s="503"/>
    </row>
    <row r="16" spans="2:10" ht="30" customHeight="1">
      <c r="B16" s="945" t="s">
        <v>61</v>
      </c>
      <c r="C16" s="946"/>
      <c r="D16" s="819">
        <v>191218</v>
      </c>
      <c r="E16" s="535">
        <f>'経費明細表チェックリスト'!E31</f>
        <v>0</v>
      </c>
      <c r="F16" s="516">
        <f>'経費明細表チェックリスト'!G31</f>
        <v>0</v>
      </c>
      <c r="G16" s="516">
        <f>'経費明細表チェックリスト'!I31</f>
        <v>0</v>
      </c>
      <c r="H16" s="516">
        <f>'経費明細表チェックリスト'!K31</f>
        <v>0</v>
      </c>
      <c r="I16" s="492"/>
      <c r="J16" s="505"/>
    </row>
    <row r="17" spans="2:10" ht="30" customHeight="1">
      <c r="B17" s="945" t="s">
        <v>60</v>
      </c>
      <c r="C17" s="946"/>
      <c r="D17" s="819">
        <v>206516</v>
      </c>
      <c r="E17" s="535">
        <f>'経費明細表チェックリスト'!E32</f>
        <v>583200</v>
      </c>
      <c r="F17" s="516">
        <f>'経費明細表チェックリスト'!G32</f>
        <v>540000</v>
      </c>
      <c r="G17" s="516">
        <f>'経費明細表チェックリスト'!I32</f>
        <v>540000</v>
      </c>
      <c r="H17" s="516">
        <f>'経費明細表チェックリスト'!K32</f>
        <v>360000</v>
      </c>
      <c r="I17" s="492"/>
      <c r="J17" s="505"/>
    </row>
    <row r="18" spans="2:10" ht="30" customHeight="1">
      <c r="B18" s="945" t="s">
        <v>149</v>
      </c>
      <c r="C18" s="946"/>
      <c r="D18" s="819">
        <v>210340</v>
      </c>
      <c r="E18" s="535">
        <f>'経費明細表チェックリスト'!E33</f>
        <v>0</v>
      </c>
      <c r="F18" s="516">
        <f>'経費明細表チェックリスト'!G33</f>
        <v>0</v>
      </c>
      <c r="G18" s="516">
        <f>'経費明細表チェックリスト'!I33</f>
        <v>0</v>
      </c>
      <c r="H18" s="516">
        <f>'経費明細表チェックリスト'!K33</f>
        <v>0</v>
      </c>
      <c r="I18" s="492"/>
      <c r="J18" s="506"/>
    </row>
    <row r="19" spans="2:10" ht="30" customHeight="1">
      <c r="B19" s="945" t="s">
        <v>62</v>
      </c>
      <c r="C19" s="946"/>
      <c r="D19" s="819">
        <v>338457</v>
      </c>
      <c r="E19" s="535">
        <f>'経費明細表チェックリスト'!E34</f>
        <v>446040</v>
      </c>
      <c r="F19" s="516">
        <f>'経費明細表チェックリスト'!G34</f>
        <v>413000</v>
      </c>
      <c r="G19" s="516">
        <f>'経費明細表チェックリスト'!I34</f>
        <v>413000</v>
      </c>
      <c r="H19" s="516">
        <f>'経費明細表チェックリスト'!K34</f>
        <v>275333</v>
      </c>
      <c r="I19" s="492"/>
      <c r="J19" s="506"/>
    </row>
    <row r="20" spans="2:10" ht="30" customHeight="1">
      <c r="B20" s="945" t="s">
        <v>783</v>
      </c>
      <c r="C20" s="946"/>
      <c r="D20" s="819">
        <v>382437</v>
      </c>
      <c r="E20" s="535">
        <f>'経費明細表チェックリスト'!E35</f>
        <v>540000</v>
      </c>
      <c r="F20" s="516">
        <f>'経費明細表チェックリスト'!G35</f>
        <v>500000</v>
      </c>
      <c r="G20" s="516">
        <f>'経費明細表チェックリスト'!I35</f>
        <v>500000</v>
      </c>
      <c r="H20" s="516">
        <f>'経費明細表チェックリスト'!K35</f>
        <v>333333</v>
      </c>
      <c r="I20" s="492"/>
      <c r="J20" s="506"/>
    </row>
    <row r="21" spans="2:10" ht="30" customHeight="1">
      <c r="B21" s="945" t="s">
        <v>63</v>
      </c>
      <c r="C21" s="946"/>
      <c r="D21" s="819">
        <v>53541</v>
      </c>
      <c r="E21" s="535">
        <f>'経費明細表チェックリスト'!E36</f>
        <v>80000</v>
      </c>
      <c r="F21" s="516">
        <f>'経費明細表チェックリスト'!G36</f>
        <v>80000</v>
      </c>
      <c r="G21" s="516">
        <f>'経費明細表チェックリスト'!I36</f>
        <v>80000</v>
      </c>
      <c r="H21" s="516">
        <f>'経費明細表チェックリスト'!K36</f>
        <v>53333</v>
      </c>
      <c r="I21" s="492"/>
      <c r="J21" s="506"/>
    </row>
    <row r="22" spans="2:10" ht="30" customHeight="1">
      <c r="B22" s="958" t="s">
        <v>784</v>
      </c>
      <c r="C22" s="959"/>
      <c r="D22" s="820">
        <v>95608</v>
      </c>
      <c r="E22" s="536">
        <f>'経費明細表チェックリスト'!E37</f>
        <v>108000</v>
      </c>
      <c r="F22" s="518">
        <f>'経費明細表チェックリスト'!G37</f>
        <v>100000</v>
      </c>
      <c r="G22" s="518">
        <f>'経費明細表チェックリスト'!I37</f>
        <v>100000</v>
      </c>
      <c r="H22" s="518">
        <f>'経費明細表チェックリスト'!K37</f>
        <v>66666</v>
      </c>
      <c r="I22" s="495"/>
      <c r="J22" s="507"/>
    </row>
    <row r="23" spans="2:10" ht="30" customHeight="1">
      <c r="B23" s="957" t="s">
        <v>704</v>
      </c>
      <c r="C23" s="957"/>
      <c r="D23" s="286">
        <v>10000000</v>
      </c>
      <c r="E23" s="286">
        <f>SUM(E11:E22)</f>
        <v>11978366</v>
      </c>
      <c r="F23" s="286">
        <f>SUM(F11:F22)</f>
        <v>11162890</v>
      </c>
      <c r="G23" s="286">
        <f>SUM(G11:G22)</f>
        <v>11162890</v>
      </c>
      <c r="H23" s="286">
        <f>SUM(H11:H22)</f>
        <v>7441922</v>
      </c>
      <c r="I23" s="508"/>
      <c r="J23" s="509"/>
    </row>
    <row r="24" spans="3:9" ht="30" customHeight="1">
      <c r="C24" s="265"/>
      <c r="D24" s="265"/>
      <c r="E24" s="264"/>
      <c r="F24" s="264"/>
      <c r="G24" s="922"/>
      <c r="H24" s="922"/>
      <c r="I24" s="264"/>
    </row>
    <row r="25" spans="16:20" ht="30" customHeight="1">
      <c r="P25" s="207"/>
      <c r="Q25" s="207"/>
      <c r="R25" s="207"/>
      <c r="S25" s="207"/>
      <c r="T25" s="207"/>
    </row>
    <row r="26" spans="16:20" ht="30" customHeight="1">
      <c r="P26" s="207"/>
      <c r="Q26" s="207"/>
      <c r="R26" s="207"/>
      <c r="S26" s="207"/>
      <c r="T26" s="207"/>
    </row>
    <row r="27" spans="15:20" ht="31.5" customHeight="1">
      <c r="O27" s="207"/>
      <c r="P27"/>
      <c r="Q27"/>
      <c r="R27"/>
      <c r="S27"/>
      <c r="T27"/>
    </row>
    <row r="28" spans="15:20" ht="38.25" customHeight="1">
      <c r="O28" s="207"/>
      <c r="P28"/>
      <c r="Q28"/>
      <c r="R28"/>
      <c r="S28"/>
      <c r="T28"/>
    </row>
    <row r="29" ht="38.25" customHeight="1">
      <c r="T29" s="207"/>
    </row>
    <row r="30" ht="38.25" customHeight="1"/>
    <row r="31" ht="38.25" customHeight="1">
      <c r="W31" s="207"/>
    </row>
    <row r="32" ht="30" customHeight="1">
      <c r="W32" s="207"/>
    </row>
    <row r="33" ht="30" customHeight="1">
      <c r="W33" s="207"/>
    </row>
    <row r="34" ht="30" customHeight="1">
      <c r="W34" s="207"/>
    </row>
    <row r="35" ht="30" customHeight="1">
      <c r="W35" s="207"/>
    </row>
    <row r="36" ht="20.25" customHeight="1">
      <c r="W36" s="207"/>
    </row>
    <row r="37" spans="11:25" ht="30" customHeight="1">
      <c r="K37" s="488"/>
      <c r="L37" s="488"/>
      <c r="M37" s="488"/>
      <c r="N37" s="488"/>
      <c r="O37" s="265"/>
      <c r="P37" s="265"/>
      <c r="Q37" s="265"/>
      <c r="R37" s="265"/>
      <c r="S37" s="265"/>
      <c r="T37" s="265"/>
      <c r="U37" s="265"/>
      <c r="V37" s="265"/>
      <c r="W37" s="265"/>
      <c r="X37" s="265"/>
      <c r="Y37" s="265"/>
    </row>
    <row r="38" spans="11:25" ht="30" customHeight="1">
      <c r="K38" s="484"/>
      <c r="L38" s="489"/>
      <c r="M38" s="486"/>
      <c r="N38" s="484"/>
      <c r="O38" s="484"/>
      <c r="P38" s="489"/>
      <c r="Q38" s="484"/>
      <c r="R38" s="489"/>
      <c r="S38" s="484"/>
      <c r="T38" s="489"/>
      <c r="U38" s="484"/>
      <c r="V38" s="489"/>
      <c r="W38" s="484"/>
      <c r="X38" s="484"/>
      <c r="Y38" s="484"/>
    </row>
    <row r="39" spans="11:25" ht="30" customHeight="1">
      <c r="K39" s="484"/>
      <c r="L39" s="489"/>
      <c r="M39" s="486"/>
      <c r="N39" s="484"/>
      <c r="O39" s="484"/>
      <c r="P39" s="489"/>
      <c r="Q39" s="484"/>
      <c r="R39" s="489"/>
      <c r="S39" s="484"/>
      <c r="T39" s="489"/>
      <c r="U39" s="484"/>
      <c r="V39" s="489"/>
      <c r="W39" s="484"/>
      <c r="X39" s="484"/>
      <c r="Y39" s="484"/>
    </row>
    <row r="40" spans="11:25" ht="30" customHeight="1">
      <c r="K40" s="484"/>
      <c r="L40" s="489"/>
      <c r="M40" s="486"/>
      <c r="N40" s="484"/>
      <c r="O40" s="484"/>
      <c r="P40" s="489"/>
      <c r="Q40" s="484"/>
      <c r="R40" s="489"/>
      <c r="S40" s="484"/>
      <c r="T40" s="489"/>
      <c r="U40" s="484"/>
      <c r="V40" s="489"/>
      <c r="W40" s="484"/>
      <c r="X40" s="484"/>
      <c r="Y40" s="484"/>
    </row>
    <row r="41" spans="11:25" ht="30" customHeight="1">
      <c r="K41" s="484"/>
      <c r="L41" s="265"/>
      <c r="M41" s="486"/>
      <c r="N41" s="265"/>
      <c r="O41" s="484"/>
      <c r="P41" s="489"/>
      <c r="Q41" s="484"/>
      <c r="R41" s="489"/>
      <c r="S41" s="484"/>
      <c r="T41" s="489"/>
      <c r="U41" s="484"/>
      <c r="V41" s="489"/>
      <c r="W41" s="484"/>
      <c r="X41" s="484"/>
      <c r="Y41" s="484"/>
    </row>
    <row r="42" spans="11:25" ht="30" customHeight="1">
      <c r="K42" s="487"/>
      <c r="L42" s="487"/>
      <c r="M42" s="487"/>
      <c r="N42" s="487"/>
      <c r="O42" s="487"/>
      <c r="P42" s="487"/>
      <c r="Q42" s="487"/>
      <c r="R42" s="487"/>
      <c r="S42" s="487"/>
      <c r="T42" s="487"/>
      <c r="U42" s="487"/>
      <c r="V42" s="487"/>
      <c r="W42" s="483"/>
      <c r="X42" s="483"/>
      <c r="Y42" s="483"/>
    </row>
    <row r="43" spans="11:25" ht="26.25" customHeight="1">
      <c r="K43" s="488"/>
      <c r="L43" s="265"/>
      <c r="M43" s="488"/>
      <c r="N43" s="265"/>
      <c r="O43" s="488"/>
      <c r="P43" s="265"/>
      <c r="Q43" s="488"/>
      <c r="R43" s="265"/>
      <c r="S43" s="488"/>
      <c r="T43" s="265"/>
      <c r="U43" s="488"/>
      <c r="V43" s="265"/>
      <c r="W43" s="485"/>
      <c r="X43" s="485"/>
      <c r="Y43" s="485"/>
    </row>
    <row r="44" spans="11:18" ht="13.5">
      <c r="K44"/>
      <c r="L44"/>
      <c r="M44"/>
      <c r="N44"/>
      <c r="O44"/>
      <c r="P44"/>
      <c r="Q44"/>
      <c r="R44"/>
    </row>
    <row r="48" spans="11:25" ht="13.5">
      <c r="K48"/>
      <c r="L48"/>
      <c r="M48"/>
      <c r="N48"/>
      <c r="O48"/>
      <c r="P48"/>
      <c r="Q48"/>
      <c r="R48"/>
      <c r="S48"/>
      <c r="T48"/>
      <c r="U48"/>
      <c r="V48"/>
      <c r="W48" s="1"/>
      <c r="X48" s="1"/>
      <c r="Y48" s="1"/>
    </row>
    <row r="49" spans="11:25" ht="13.5">
      <c r="K49"/>
      <c r="L49"/>
      <c r="M49"/>
      <c r="N49"/>
      <c r="O49"/>
      <c r="P49"/>
      <c r="Q49"/>
      <c r="R49"/>
      <c r="S49"/>
      <c r="T49"/>
      <c r="U49"/>
      <c r="V49"/>
      <c r="W49" s="1"/>
      <c r="X49" s="1"/>
      <c r="Y49" s="1"/>
    </row>
    <row r="50" spans="11:25" ht="13.5">
      <c r="K50"/>
      <c r="L50"/>
      <c r="M50"/>
      <c r="N50"/>
      <c r="O50"/>
      <c r="P50"/>
      <c r="Q50"/>
      <c r="R50"/>
      <c r="S50"/>
      <c r="T50"/>
      <c r="U50"/>
      <c r="V50"/>
      <c r="W50" s="1"/>
      <c r="X50" s="1"/>
      <c r="Y50" s="1"/>
    </row>
    <row r="51" spans="11:22" ht="13.5">
      <c r="K51"/>
      <c r="L51"/>
      <c r="M51"/>
      <c r="N51"/>
      <c r="O51"/>
      <c r="P51"/>
      <c r="Q51"/>
      <c r="R51"/>
      <c r="S51"/>
      <c r="T51"/>
      <c r="U51"/>
      <c r="V51"/>
    </row>
    <row r="52" spans="11:20" ht="13.5">
      <c r="K52"/>
      <c r="L52"/>
      <c r="M52"/>
      <c r="N52"/>
      <c r="O52"/>
      <c r="P52"/>
      <c r="Q52"/>
      <c r="R52"/>
      <c r="S52"/>
      <c r="T52"/>
    </row>
    <row r="53" spans="11:20" ht="13.5">
      <c r="K53"/>
      <c r="L53"/>
      <c r="M53"/>
      <c r="N53"/>
      <c r="O53"/>
      <c r="P53"/>
      <c r="Q53"/>
      <c r="R53"/>
      <c r="S53"/>
      <c r="T53"/>
    </row>
    <row r="54" spans="11:20" ht="13.5">
      <c r="K54"/>
      <c r="L54"/>
      <c r="M54"/>
      <c r="N54"/>
      <c r="O54"/>
      <c r="P54"/>
      <c r="Q54"/>
      <c r="R54"/>
      <c r="S54"/>
      <c r="T54"/>
    </row>
    <row r="55" spans="11:20" ht="13.5">
      <c r="K55"/>
      <c r="L55"/>
      <c r="M55"/>
      <c r="N55"/>
      <c r="O55"/>
      <c r="P55"/>
      <c r="Q55"/>
      <c r="R55"/>
      <c r="S55"/>
      <c r="T55"/>
    </row>
    <row r="56" spans="11:20" ht="13.5">
      <c r="K56"/>
      <c r="L56"/>
      <c r="M56"/>
      <c r="N56"/>
      <c r="O56"/>
      <c r="P56"/>
      <c r="Q56"/>
      <c r="R56"/>
      <c r="S56"/>
      <c r="T56"/>
    </row>
    <row r="57" spans="11:21" ht="13.5">
      <c r="K57"/>
      <c r="L57"/>
      <c r="M57"/>
      <c r="N57"/>
      <c r="O57"/>
      <c r="P57"/>
      <c r="Q57"/>
      <c r="R57"/>
      <c r="S57"/>
      <c r="T57"/>
      <c r="U57"/>
    </row>
    <row r="58" spans="11:21" ht="13.5">
      <c r="K58"/>
      <c r="L58"/>
      <c r="M58"/>
      <c r="N58"/>
      <c r="O58"/>
      <c r="P58"/>
      <c r="Q58"/>
      <c r="R58"/>
      <c r="S58"/>
      <c r="T58"/>
      <c r="U58"/>
    </row>
    <row r="59" spans="11:21" ht="13.5">
      <c r="K59"/>
      <c r="L59"/>
      <c r="M59"/>
      <c r="N59"/>
      <c r="O59"/>
      <c r="P59"/>
      <c r="Q59"/>
      <c r="R59"/>
      <c r="S59"/>
      <c r="T59"/>
      <c r="U59"/>
    </row>
    <row r="60" spans="11:21" ht="13.5">
      <c r="K60"/>
      <c r="L60"/>
      <c r="M60"/>
      <c r="N60"/>
      <c r="O60"/>
      <c r="P60"/>
      <c r="Q60"/>
      <c r="R60"/>
      <c r="S60"/>
      <c r="T60"/>
      <c r="U60"/>
    </row>
    <row r="61" spans="11:24" ht="13.5">
      <c r="K61"/>
      <c r="L61"/>
      <c r="M61"/>
      <c r="N61"/>
      <c r="O61"/>
      <c r="P61"/>
      <c r="Q61"/>
      <c r="R61"/>
      <c r="S61"/>
      <c r="T61"/>
      <c r="U61"/>
      <c r="V61"/>
      <c r="W61"/>
      <c r="X61"/>
    </row>
    <row r="62" spans="11:24" ht="13.5">
      <c r="K62"/>
      <c r="L62"/>
      <c r="M62"/>
      <c r="N62"/>
      <c r="O62"/>
      <c r="P62"/>
      <c r="Q62"/>
      <c r="R62"/>
      <c r="S62"/>
      <c r="T62"/>
      <c r="U62"/>
      <c r="V62"/>
      <c r="W62"/>
      <c r="X62"/>
    </row>
    <row r="63" spans="11:24" ht="13.5">
      <c r="K63"/>
      <c r="L63"/>
      <c r="M63"/>
      <c r="N63"/>
      <c r="O63"/>
      <c r="P63"/>
      <c r="Q63"/>
      <c r="R63"/>
      <c r="S63"/>
      <c r="T63"/>
      <c r="U63"/>
      <c r="V63"/>
      <c r="W63"/>
      <c r="X63"/>
    </row>
    <row r="64" spans="11:27" ht="13.5">
      <c r="K64"/>
      <c r="L64"/>
      <c r="M64"/>
      <c r="N64"/>
      <c r="O64"/>
      <c r="P64"/>
      <c r="Q64"/>
      <c r="R64"/>
      <c r="S64"/>
      <c r="T64"/>
      <c r="U64"/>
      <c r="V64"/>
      <c r="W64"/>
      <c r="X64"/>
      <c r="Y64"/>
      <c r="Z64"/>
      <c r="AA64"/>
    </row>
    <row r="65" spans="11:23" ht="13.5">
      <c r="K65"/>
      <c r="L65"/>
      <c r="M65"/>
      <c r="N65"/>
      <c r="O65"/>
      <c r="P65"/>
      <c r="Q65"/>
      <c r="R65"/>
      <c r="S65"/>
      <c r="T65"/>
      <c r="U65"/>
      <c r="V65"/>
      <c r="W65"/>
    </row>
    <row r="66" spans="11:16" ht="13.5">
      <c r="K66"/>
      <c r="L66"/>
      <c r="M66"/>
      <c r="N66"/>
      <c r="O66"/>
      <c r="P66"/>
    </row>
    <row r="67" ht="13.5">
      <c r="K67"/>
    </row>
    <row r="68" ht="13.5">
      <c r="K68"/>
    </row>
    <row r="69" spans="11:18" ht="13.5">
      <c r="K69"/>
      <c r="L69"/>
      <c r="M69"/>
      <c r="N69"/>
      <c r="O69"/>
      <c r="P69"/>
      <c r="Q69"/>
      <c r="R69"/>
    </row>
  </sheetData>
  <sheetProtection sheet="1"/>
  <mergeCells count="21">
    <mergeCell ref="B23:C23"/>
    <mergeCell ref="B22:C22"/>
    <mergeCell ref="B18:C18"/>
    <mergeCell ref="B20:C20"/>
    <mergeCell ref="B17:C17"/>
    <mergeCell ref="C6:E6"/>
    <mergeCell ref="B11:C11"/>
    <mergeCell ref="B12:C12"/>
    <mergeCell ref="B7:D7"/>
    <mergeCell ref="E8:F8"/>
    <mergeCell ref="G24:H24"/>
    <mergeCell ref="B13:C13"/>
    <mergeCell ref="B14:C14"/>
    <mergeCell ref="B15:C15"/>
    <mergeCell ref="B16:C16"/>
    <mergeCell ref="D8:D10"/>
    <mergeCell ref="I8:J10"/>
    <mergeCell ref="B21:C21"/>
    <mergeCell ref="E9:F9"/>
    <mergeCell ref="B8:C10"/>
    <mergeCell ref="B19:C19"/>
  </mergeCells>
  <conditionalFormatting sqref="H11:H22">
    <cfRule type="expression" priority="27" dxfId="60" stopIfTrue="1">
      <formula>様式第５の別紙　経費明細表　印刷用!#REF!="×"</formula>
    </cfRule>
  </conditionalFormatting>
  <conditionalFormatting sqref="H23">
    <cfRule type="expression" priority="26" dxfId="60" stopIfTrue="1">
      <formula>様式第５の別紙　経費明細表　印刷用!#REF!="×"</formula>
    </cfRule>
  </conditionalFormatting>
  <conditionalFormatting sqref="E11:E22 G11:H22">
    <cfRule type="expression" priority="25" dxfId="60" stopIfTrue="1">
      <formula>様式第５の別紙　経費明細表　印刷用!#REF!="×"</formula>
    </cfRule>
  </conditionalFormatting>
  <conditionalFormatting sqref="H11:H22">
    <cfRule type="expression" priority="20" dxfId="60" stopIfTrue="1">
      <formula>様式第５の別紙　経費明細表　印刷用!#REF!="×"</formula>
    </cfRule>
  </conditionalFormatting>
  <conditionalFormatting sqref="D11:D22">
    <cfRule type="expression" priority="4" dxfId="60" stopIfTrue="1">
      <formula>様式第５の別紙　経費明細表　印刷用!#REF!="×"</formula>
    </cfRule>
  </conditionalFormatting>
  <conditionalFormatting sqref="D23">
    <cfRule type="expression" priority="3" dxfId="60" stopIfTrue="1">
      <formula>様式第５の別紙　経費明細表　印刷用!#REF!="×"</formula>
    </cfRule>
  </conditionalFormatting>
  <conditionalFormatting sqref="D11:D22">
    <cfRule type="expression" priority="2" dxfId="60" stopIfTrue="1">
      <formula>様式第５の別紙　経費明細表　印刷用!#REF!="×"</formula>
    </cfRule>
  </conditionalFormatting>
  <conditionalFormatting sqref="D11:D22">
    <cfRule type="expression" priority="1" dxfId="60" stopIfTrue="1">
      <formula>様式第５の別紙　経費明細表　印刷用!#REF!="×"</formula>
    </cfRule>
  </conditionalFormatting>
  <dataValidations count="3">
    <dataValidation type="whole" operator="greaterThanOrEqual" allowBlank="1" showInputMessage="1" showErrorMessage="1" errorTitle="0以上の数字を入力して下さい。" imeMode="halfAlpha" sqref="D11:H22">
      <formula1>0</formula1>
    </dataValidation>
    <dataValidation allowBlank="1" showInputMessage="1" showErrorMessage="1" imeMode="hiragana" sqref="E8 G8 C6:D6"/>
    <dataValidation allowBlank="1" showInputMessage="1" showErrorMessage="1" imeMode="halfAlpha" sqref="G23"/>
  </dataValidations>
  <hyperlinks>
    <hyperlink ref="B2" location="'基本情報入力（使い方）'!A136"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62" customWidth="1"/>
    <col min="2" max="2" width="33.57421875" style="159" customWidth="1"/>
    <col min="3" max="3" width="33.57421875" style="159" hidden="1" customWidth="1"/>
    <col min="4" max="4" width="15.28125" style="158" hidden="1" customWidth="1"/>
    <col min="5" max="5" width="33.57421875" style="159" hidden="1" customWidth="1"/>
    <col min="6" max="6" width="33.57421875" style="157" hidden="1" customWidth="1"/>
    <col min="7" max="7" width="33.57421875" style="162" hidden="1" customWidth="1"/>
    <col min="8" max="9" width="0" style="157" hidden="1" customWidth="1"/>
    <col min="10" max="16384" width="33.57421875" style="157" customWidth="1"/>
  </cols>
  <sheetData>
    <row r="1" spans="1:9" ht="30.75" customHeight="1">
      <c r="A1" s="154" t="s">
        <v>170</v>
      </c>
      <c r="B1" s="155" t="s">
        <v>171</v>
      </c>
      <c r="C1" s="155" t="str">
        <f>CONCATENATE(A1,B1)</f>
        <v>中分類　コード内容</v>
      </c>
      <c r="D1" s="154" t="s">
        <v>172</v>
      </c>
      <c r="E1" s="155" t="s">
        <v>171</v>
      </c>
      <c r="F1" s="155" t="str">
        <f>CONCATENATE(D1,E1)</f>
        <v>全中分類コード内容</v>
      </c>
      <c r="G1" s="156" t="s">
        <v>173</v>
      </c>
      <c r="H1" s="154" t="str">
        <f>CONCATENATE(D1,I1)</f>
        <v>全中分類コード小分類</v>
      </c>
      <c r="I1" s="156" t="s">
        <v>174</v>
      </c>
    </row>
    <row r="2" spans="1:9" ht="30.75" customHeight="1">
      <c r="A2" s="158" t="s">
        <v>175</v>
      </c>
      <c r="B2" s="159" t="s">
        <v>176</v>
      </c>
      <c r="C2" s="160" t="str">
        <f>CONCATENATE(A2,B2)</f>
        <v>01　農業</v>
      </c>
      <c r="D2" s="161" t="s">
        <v>177</v>
      </c>
      <c r="E2" s="159" t="s">
        <v>176</v>
      </c>
      <c r="F2" s="159" t="str">
        <f>CONCATENATE(D2,E2)</f>
        <v>010000　農業</v>
      </c>
      <c r="G2" s="162" t="s">
        <v>178</v>
      </c>
      <c r="H2" s="159" t="str">
        <f>CONCATENATE(D2,I2)</f>
        <v>010000管理，補助的経済活動を行う事業所（01農業） </v>
      </c>
      <c r="I2" s="157" t="s">
        <v>179</v>
      </c>
    </row>
    <row r="3" spans="1:9" ht="30.75" customHeight="1">
      <c r="A3" s="162" t="s">
        <v>180</v>
      </c>
      <c r="B3" s="159" t="s">
        <v>181</v>
      </c>
      <c r="C3" s="160" t="str">
        <f aca="true" t="shared" si="0" ref="C3:C66">CONCATENATE(A3,B3)</f>
        <v>02　林業</v>
      </c>
      <c r="D3" s="161" t="s">
        <v>182</v>
      </c>
      <c r="E3" s="159" t="s">
        <v>181</v>
      </c>
      <c r="F3" s="159" t="str">
        <f aca="true" t="shared" si="1" ref="F3:F66">CONCATENATE(D3,E3)</f>
        <v>020000　林業</v>
      </c>
      <c r="G3" s="162" t="s">
        <v>183</v>
      </c>
      <c r="H3" s="159" t="str">
        <f aca="true" t="shared" si="2" ref="H3:H66">CONCATENATE(D3,I3)</f>
        <v>020000管理，補助的経済活動を行う事業所（02林業） </v>
      </c>
      <c r="I3" s="157" t="s">
        <v>184</v>
      </c>
    </row>
    <row r="4" spans="1:9" ht="30.75" customHeight="1">
      <c r="A4" s="162" t="s">
        <v>185</v>
      </c>
      <c r="B4" s="159" t="s">
        <v>186</v>
      </c>
      <c r="C4" s="160" t="str">
        <f t="shared" si="0"/>
        <v>03　漁業（水産養殖業を除く）</v>
      </c>
      <c r="D4" s="161" t="s">
        <v>187</v>
      </c>
      <c r="E4" s="159" t="s">
        <v>186</v>
      </c>
      <c r="F4" s="159" t="str">
        <f t="shared" si="1"/>
        <v>030000　漁業（水産養殖業を除く）</v>
      </c>
      <c r="G4" s="162" t="s">
        <v>188</v>
      </c>
      <c r="H4" s="159" t="str">
        <f t="shared" si="2"/>
        <v>030000管理，補助的経済活動を行う事業所（03漁業） </v>
      </c>
      <c r="I4" s="157" t="s">
        <v>189</v>
      </c>
    </row>
    <row r="5" spans="1:9" ht="30.75" customHeight="1">
      <c r="A5" s="162" t="s">
        <v>190</v>
      </c>
      <c r="B5" s="159" t="s">
        <v>191</v>
      </c>
      <c r="C5" s="160" t="str">
        <f t="shared" si="0"/>
        <v>04　水産養殖業</v>
      </c>
      <c r="D5" s="161" t="s">
        <v>187</v>
      </c>
      <c r="E5" s="159" t="s">
        <v>191</v>
      </c>
      <c r="F5" s="159" t="str">
        <f t="shared" si="1"/>
        <v>030000　水産養殖業</v>
      </c>
      <c r="G5" s="162" t="s">
        <v>192</v>
      </c>
      <c r="H5" s="159" t="str">
        <f t="shared" si="2"/>
        <v>030000管理，補助的経済活動を行う事業所（04水産養殖業） </v>
      </c>
      <c r="I5" s="157" t="s">
        <v>193</v>
      </c>
    </row>
    <row r="6" spans="1:9" ht="30.75" customHeight="1">
      <c r="A6" s="162" t="s">
        <v>194</v>
      </c>
      <c r="B6" s="159" t="s">
        <v>195</v>
      </c>
      <c r="C6" s="160" t="str">
        <f t="shared" si="0"/>
        <v>05　鉱業，採石業，砂利採取業</v>
      </c>
      <c r="D6" s="161" t="s">
        <v>196</v>
      </c>
      <c r="E6" s="159" t="s">
        <v>197</v>
      </c>
      <c r="F6" s="159" t="str">
        <f t="shared" si="1"/>
        <v>040000　鉱業</v>
      </c>
      <c r="G6" s="162" t="s">
        <v>198</v>
      </c>
      <c r="H6" s="159" t="str">
        <f t="shared" si="2"/>
        <v>040000管理，補助的経済活動を行う事業所（05鉱業，採石業，砂利採取業） </v>
      </c>
      <c r="I6" s="157" t="s">
        <v>199</v>
      </c>
    </row>
    <row r="7" spans="1:9" ht="30.75" customHeight="1">
      <c r="A7" s="162" t="s">
        <v>200</v>
      </c>
      <c r="B7" s="159" t="s">
        <v>201</v>
      </c>
      <c r="C7" s="160" t="str">
        <f t="shared" si="0"/>
        <v>06　総合工事業</v>
      </c>
      <c r="D7" s="161" t="s">
        <v>202</v>
      </c>
      <c r="E7" s="159" t="s">
        <v>201</v>
      </c>
      <c r="F7" s="159" t="str">
        <f t="shared" si="1"/>
        <v>050100　総合工事業</v>
      </c>
      <c r="G7" s="162" t="s">
        <v>203</v>
      </c>
      <c r="H7" s="159" t="str">
        <f t="shared" si="2"/>
        <v>050100管理，補助的経済活動を行う事業所（06総合工事業） </v>
      </c>
      <c r="I7" s="157" t="s">
        <v>204</v>
      </c>
    </row>
    <row r="8" spans="1:9" ht="30.75" customHeight="1">
      <c r="A8" s="162" t="s">
        <v>205</v>
      </c>
      <c r="B8" s="159" t="s">
        <v>206</v>
      </c>
      <c r="C8" s="160" t="str">
        <f t="shared" si="0"/>
        <v>07　職別工事業(設備工事業を除く)</v>
      </c>
      <c r="D8" s="161" t="s">
        <v>207</v>
      </c>
      <c r="E8" s="159" t="s">
        <v>206</v>
      </c>
      <c r="F8" s="159" t="str">
        <f t="shared" si="1"/>
        <v>050300　職別工事業(設備工事業を除く)</v>
      </c>
      <c r="G8" s="162" t="s">
        <v>208</v>
      </c>
      <c r="H8" s="159" t="str">
        <f t="shared" si="2"/>
        <v>050300管理，補助的経済活動を行う事業所（07職別工事業） </v>
      </c>
      <c r="I8" s="157" t="s">
        <v>209</v>
      </c>
    </row>
    <row r="9" spans="1:9" ht="30.75" customHeight="1">
      <c r="A9" s="162" t="s">
        <v>210</v>
      </c>
      <c r="B9" s="159" t="s">
        <v>211</v>
      </c>
      <c r="C9" s="160" t="str">
        <f t="shared" si="0"/>
        <v>08　設備工事業</v>
      </c>
      <c r="D9" s="161" t="s">
        <v>212</v>
      </c>
      <c r="E9" s="159" t="s">
        <v>211</v>
      </c>
      <c r="F9" s="159" t="str">
        <f t="shared" si="1"/>
        <v>050500　設備工事業</v>
      </c>
      <c r="G9" s="162" t="s">
        <v>213</v>
      </c>
      <c r="H9" s="159" t="str">
        <f t="shared" si="2"/>
        <v>050500管理，補助的経済活動を行う事業所（08設備工事業） </v>
      </c>
      <c r="I9" s="157" t="s">
        <v>214</v>
      </c>
    </row>
    <row r="10" spans="1:9" ht="30.75" customHeight="1">
      <c r="A10" s="162" t="s">
        <v>215</v>
      </c>
      <c r="B10" s="159" t="s">
        <v>216</v>
      </c>
      <c r="C10" s="160" t="str">
        <f t="shared" si="0"/>
        <v>09　食料品製造業</v>
      </c>
      <c r="D10" s="161" t="s">
        <v>217</v>
      </c>
      <c r="E10" s="159" t="s">
        <v>216</v>
      </c>
      <c r="F10" s="159" t="str">
        <f t="shared" si="1"/>
        <v>060100　食料品製造業</v>
      </c>
      <c r="G10" s="162" t="s">
        <v>218</v>
      </c>
      <c r="H10" s="159" t="str">
        <f t="shared" si="2"/>
        <v>060100管理，補助的経済活動を行う事業所（09食料品製造業） </v>
      </c>
      <c r="I10" s="157" t="s">
        <v>219</v>
      </c>
    </row>
    <row r="11" spans="1:9" ht="30.75" customHeight="1">
      <c r="A11" s="162" t="s">
        <v>220</v>
      </c>
      <c r="B11" s="159" t="s">
        <v>221</v>
      </c>
      <c r="C11" s="160" t="str">
        <f t="shared" si="0"/>
        <v>10　飲料・たばこ・飼料製造業</v>
      </c>
      <c r="D11" s="161" t="s">
        <v>222</v>
      </c>
      <c r="E11" s="159" t="s">
        <v>221</v>
      </c>
      <c r="F11" s="159" t="str">
        <f t="shared" si="1"/>
        <v>060300　飲料・たばこ・飼料製造業</v>
      </c>
      <c r="G11" s="162" t="s">
        <v>223</v>
      </c>
      <c r="H11" s="159" t="str">
        <f t="shared" si="2"/>
        <v>060300管理，補助的経済活動を行う事業所（10飲料・たばこ・飼料製造業） </v>
      </c>
      <c r="I11" s="157" t="s">
        <v>224</v>
      </c>
    </row>
    <row r="12" spans="1:9" ht="30.75" customHeight="1">
      <c r="A12" s="162" t="s">
        <v>225</v>
      </c>
      <c r="B12" s="159" t="s">
        <v>226</v>
      </c>
      <c r="C12" s="160" t="str">
        <f t="shared" si="0"/>
        <v>11　繊維工業</v>
      </c>
      <c r="D12" s="161" t="s">
        <v>227</v>
      </c>
      <c r="E12" s="159" t="s">
        <v>228</v>
      </c>
      <c r="F12" s="159" t="str">
        <f t="shared" si="1"/>
        <v>060500繊維工業（衣服、その他の繊維製品を除く）</v>
      </c>
      <c r="G12" s="162" t="s">
        <v>229</v>
      </c>
      <c r="H12" s="159" t="str">
        <f t="shared" si="2"/>
        <v>060500管理，補助的経済活動を行う事業所（11繊維工業） </v>
      </c>
      <c r="I12" s="157" t="s">
        <v>230</v>
      </c>
    </row>
    <row r="13" spans="1:9" ht="30.75" customHeight="1">
      <c r="A13" s="162" t="s">
        <v>231</v>
      </c>
      <c r="B13" s="159" t="s">
        <v>232</v>
      </c>
      <c r="C13" s="160" t="str">
        <f t="shared" si="0"/>
        <v>12　木材・木製品製造業（家具を除く）</v>
      </c>
      <c r="D13" s="161" t="s">
        <v>233</v>
      </c>
      <c r="E13" s="159" t="s">
        <v>232</v>
      </c>
      <c r="F13" s="159" t="str">
        <f t="shared" si="1"/>
        <v>060900　木材・木製品製造業（家具を除く）</v>
      </c>
      <c r="G13" s="162" t="s">
        <v>234</v>
      </c>
      <c r="H13" s="159" t="str">
        <f t="shared" si="2"/>
        <v>060900管理，補助的経済活動を行う事業所（12木材・木製品製造業） </v>
      </c>
      <c r="I13" s="157" t="s">
        <v>235</v>
      </c>
    </row>
    <row r="14" spans="1:9" ht="30.75" customHeight="1">
      <c r="A14" s="162" t="s">
        <v>236</v>
      </c>
      <c r="B14" s="159" t="s">
        <v>237</v>
      </c>
      <c r="C14" s="160" t="str">
        <f t="shared" si="0"/>
        <v>13　家具・装備品製造業</v>
      </c>
      <c r="D14" s="161" t="s">
        <v>238</v>
      </c>
      <c r="E14" s="159" t="s">
        <v>237</v>
      </c>
      <c r="F14" s="159" t="str">
        <f t="shared" si="1"/>
        <v>061100　家具・装備品製造業</v>
      </c>
      <c r="G14" s="162" t="s">
        <v>239</v>
      </c>
      <c r="H14" s="159" t="str">
        <f t="shared" si="2"/>
        <v>061100管理，補助的経済活動を行う事業所（13家具・装備品製造業） </v>
      </c>
      <c r="I14" s="157" t="s">
        <v>240</v>
      </c>
    </row>
    <row r="15" spans="1:9" ht="30.75" customHeight="1">
      <c r="A15" s="162" t="s">
        <v>241</v>
      </c>
      <c r="B15" s="159" t="s">
        <v>242</v>
      </c>
      <c r="C15" s="160" t="str">
        <f t="shared" si="0"/>
        <v>14　パルプ・紙・紙加工品製造業</v>
      </c>
      <c r="D15" s="161" t="s">
        <v>243</v>
      </c>
      <c r="E15" s="159" t="s">
        <v>242</v>
      </c>
      <c r="F15" s="159" t="str">
        <f t="shared" si="1"/>
        <v>061300　パルプ・紙・紙加工品製造業</v>
      </c>
      <c r="G15" s="162" t="s">
        <v>244</v>
      </c>
      <c r="H15" s="159" t="str">
        <f t="shared" si="2"/>
        <v>061300管理，補助的経済活動を行う事業所（14パルプ・紙・紙加工品製造業） </v>
      </c>
      <c r="I15" s="157" t="s">
        <v>245</v>
      </c>
    </row>
    <row r="16" spans="1:9" ht="30.75" customHeight="1">
      <c r="A16" s="162" t="s">
        <v>246</v>
      </c>
      <c r="B16" s="159" t="s">
        <v>247</v>
      </c>
      <c r="C16" s="160" t="str">
        <f t="shared" si="0"/>
        <v>15　印刷・同関連業</v>
      </c>
      <c r="D16" s="161" t="s">
        <v>248</v>
      </c>
      <c r="E16" s="159" t="s">
        <v>247</v>
      </c>
      <c r="F16" s="159" t="str">
        <f t="shared" si="1"/>
        <v>061500　印刷・同関連業</v>
      </c>
      <c r="G16" s="162" t="s">
        <v>249</v>
      </c>
      <c r="H16" s="159" t="str">
        <f t="shared" si="2"/>
        <v>061500管理，補助的経済活動を行う事業所（15印刷・同関連業） </v>
      </c>
      <c r="I16" s="157" t="s">
        <v>250</v>
      </c>
    </row>
    <row r="17" spans="1:9" ht="30.75" customHeight="1">
      <c r="A17" s="162" t="s">
        <v>251</v>
      </c>
      <c r="B17" s="159" t="s">
        <v>252</v>
      </c>
      <c r="C17" s="160" t="str">
        <f t="shared" si="0"/>
        <v>16　化学工業</v>
      </c>
      <c r="D17" s="161" t="s">
        <v>253</v>
      </c>
      <c r="E17" s="159" t="s">
        <v>252</v>
      </c>
      <c r="F17" s="159" t="str">
        <f t="shared" si="1"/>
        <v>061700　化学工業</v>
      </c>
      <c r="G17" s="162" t="s">
        <v>254</v>
      </c>
      <c r="H17" s="159" t="str">
        <f t="shared" si="2"/>
        <v>061700管理，補助的経済活動を行う事業所（16化学工業） </v>
      </c>
      <c r="I17" s="157" t="s">
        <v>255</v>
      </c>
    </row>
    <row r="18" spans="1:9" ht="30.75" customHeight="1">
      <c r="A18" s="162" t="s">
        <v>256</v>
      </c>
      <c r="B18" s="159" t="s">
        <v>257</v>
      </c>
      <c r="C18" s="160" t="str">
        <f t="shared" si="0"/>
        <v>17　石油製品・石炭製品製造業</v>
      </c>
      <c r="D18" s="161" t="s">
        <v>258</v>
      </c>
      <c r="E18" s="159" t="s">
        <v>257</v>
      </c>
      <c r="F18" s="159" t="str">
        <f t="shared" si="1"/>
        <v>061900　石油製品・石炭製品製造業</v>
      </c>
      <c r="G18" s="162" t="s">
        <v>259</v>
      </c>
      <c r="H18" s="159" t="str">
        <f t="shared" si="2"/>
        <v>061900管理，補助的経済活動を行う事業所（17石油製品・石炭製品製造業） </v>
      </c>
      <c r="I18" s="157" t="s">
        <v>260</v>
      </c>
    </row>
    <row r="19" spans="1:9" ht="30.75" customHeight="1">
      <c r="A19" s="162" t="s">
        <v>261</v>
      </c>
      <c r="B19" s="159" t="s">
        <v>262</v>
      </c>
      <c r="C19" s="160" t="str">
        <f t="shared" si="0"/>
        <v>18　プラスチック製品製造業（別掲を除く）</v>
      </c>
      <c r="D19" s="161" t="s">
        <v>263</v>
      </c>
      <c r="E19" s="159" t="s">
        <v>262</v>
      </c>
      <c r="F19" s="159" t="str">
        <f t="shared" si="1"/>
        <v>062100　プラスチック製品製造業（別掲を除く）</v>
      </c>
      <c r="G19" s="162" t="s">
        <v>264</v>
      </c>
      <c r="H19" s="159" t="str">
        <f t="shared" si="2"/>
        <v>062100管理，補助的経済活動を行う事業所（18プラスチック製品製造業） </v>
      </c>
      <c r="I19" s="157" t="s">
        <v>265</v>
      </c>
    </row>
    <row r="20" spans="1:9" ht="30.75" customHeight="1">
      <c r="A20" s="162" t="s">
        <v>266</v>
      </c>
      <c r="B20" s="159" t="s">
        <v>267</v>
      </c>
      <c r="C20" s="160" t="str">
        <f t="shared" si="0"/>
        <v>19　ゴム製品製造業</v>
      </c>
      <c r="D20" s="161" t="s">
        <v>268</v>
      </c>
      <c r="E20" s="159" t="s">
        <v>267</v>
      </c>
      <c r="F20" s="159" t="str">
        <f t="shared" si="1"/>
        <v>062300　ゴム製品製造業</v>
      </c>
      <c r="G20" s="162" t="s">
        <v>269</v>
      </c>
      <c r="H20" s="159" t="str">
        <f t="shared" si="2"/>
        <v>062300管理，補助的経済活動を行う事業所（19ゴム製品製造業） </v>
      </c>
      <c r="I20" s="157" t="s">
        <v>270</v>
      </c>
    </row>
    <row r="21" spans="1:9" ht="30.75" customHeight="1">
      <c r="A21" s="162" t="s">
        <v>271</v>
      </c>
      <c r="B21" s="159" t="s">
        <v>272</v>
      </c>
      <c r="C21" s="160" t="str">
        <f t="shared" si="0"/>
        <v>20　なめし革・同製品・毛皮製造業</v>
      </c>
      <c r="D21" s="161" t="s">
        <v>273</v>
      </c>
      <c r="E21" s="159" t="s">
        <v>272</v>
      </c>
      <c r="F21" s="159" t="str">
        <f t="shared" si="1"/>
        <v>062500　なめし革・同製品・毛皮製造業</v>
      </c>
      <c r="G21" s="162" t="s">
        <v>274</v>
      </c>
      <c r="H21" s="159" t="str">
        <f t="shared" si="2"/>
        <v>062500管理，補助的経済活動を行う事業所（20なめし革・同製品・毛皮製造業） </v>
      </c>
      <c r="I21" s="157" t="s">
        <v>275</v>
      </c>
    </row>
    <row r="22" spans="1:9" ht="30.75" customHeight="1">
      <c r="A22" s="162" t="s">
        <v>276</v>
      </c>
      <c r="B22" s="159" t="s">
        <v>277</v>
      </c>
      <c r="C22" s="160" t="str">
        <f t="shared" si="0"/>
        <v>21　窯業・土石製品製造業</v>
      </c>
      <c r="D22" s="161" t="s">
        <v>278</v>
      </c>
      <c r="E22" s="159" t="s">
        <v>277</v>
      </c>
      <c r="F22" s="159" t="str">
        <f t="shared" si="1"/>
        <v>062700　窯業・土石製品製造業</v>
      </c>
      <c r="G22" s="162" t="s">
        <v>279</v>
      </c>
      <c r="H22" s="159" t="str">
        <f t="shared" si="2"/>
        <v>062700管理，補助的経済活動を行う事業所（21窯業・土石製品製造業） </v>
      </c>
      <c r="I22" s="157" t="s">
        <v>280</v>
      </c>
    </row>
    <row r="23" spans="1:9" ht="30.75" customHeight="1">
      <c r="A23" s="162" t="s">
        <v>281</v>
      </c>
      <c r="B23" s="159" t="s">
        <v>282</v>
      </c>
      <c r="C23" s="160" t="str">
        <f t="shared" si="0"/>
        <v>22　鉄鋼業</v>
      </c>
      <c r="D23" s="161" t="s">
        <v>283</v>
      </c>
      <c r="E23" s="159" t="s">
        <v>282</v>
      </c>
      <c r="F23" s="159" t="str">
        <f t="shared" si="1"/>
        <v>062900　鉄鋼業</v>
      </c>
      <c r="G23" s="162" t="s">
        <v>284</v>
      </c>
      <c r="H23" s="159" t="str">
        <f t="shared" si="2"/>
        <v>062900管理，補助的経済活動を行う事業所（22鉄鋼業） </v>
      </c>
      <c r="I23" s="157" t="s">
        <v>285</v>
      </c>
    </row>
    <row r="24" spans="1:9" ht="30.75" customHeight="1">
      <c r="A24" s="162" t="s">
        <v>286</v>
      </c>
      <c r="B24" s="159" t="s">
        <v>287</v>
      </c>
      <c r="C24" s="160" t="str">
        <f t="shared" si="0"/>
        <v>23　非鉄金属製造業</v>
      </c>
      <c r="D24" s="161" t="s">
        <v>288</v>
      </c>
      <c r="E24" s="159" t="s">
        <v>287</v>
      </c>
      <c r="F24" s="159" t="str">
        <f t="shared" si="1"/>
        <v>063100　非鉄金属製造業</v>
      </c>
      <c r="G24" s="162" t="s">
        <v>289</v>
      </c>
      <c r="H24" s="159" t="str">
        <f t="shared" si="2"/>
        <v>063100管理，補助的経済活動を行う事業所（23非鉄金属製造業） </v>
      </c>
      <c r="I24" s="157" t="s">
        <v>290</v>
      </c>
    </row>
    <row r="25" spans="1:9" ht="30.75" customHeight="1">
      <c r="A25" s="162" t="s">
        <v>291</v>
      </c>
      <c r="B25" s="159" t="s">
        <v>292</v>
      </c>
      <c r="C25" s="160" t="str">
        <f t="shared" si="0"/>
        <v>24　金属製品製造業</v>
      </c>
      <c r="D25" s="161" t="s">
        <v>293</v>
      </c>
      <c r="E25" s="159" t="s">
        <v>292</v>
      </c>
      <c r="F25" s="159" t="str">
        <f t="shared" si="1"/>
        <v>063300　金属製品製造業</v>
      </c>
      <c r="G25" s="162" t="s">
        <v>294</v>
      </c>
      <c r="H25" s="159" t="str">
        <f t="shared" si="2"/>
        <v>063300管理，補助的経済活動を行う事業所（24金属製品製造業） </v>
      </c>
      <c r="I25" s="157" t="s">
        <v>295</v>
      </c>
    </row>
    <row r="26" spans="1:9" ht="30.75" customHeight="1">
      <c r="A26" s="162" t="s">
        <v>296</v>
      </c>
      <c r="B26" s="159" t="s">
        <v>297</v>
      </c>
      <c r="C26" s="160" t="str">
        <f t="shared" si="0"/>
        <v>25　はん用機械器具製造業</v>
      </c>
      <c r="D26" s="161" t="s">
        <v>298</v>
      </c>
      <c r="E26" s="159" t="s">
        <v>299</v>
      </c>
      <c r="F26" s="159" t="str">
        <f t="shared" si="1"/>
        <v>063500一般機械器具製造業　 </v>
      </c>
      <c r="G26" s="162" t="s">
        <v>300</v>
      </c>
      <c r="H26" s="159" t="str">
        <f t="shared" si="2"/>
        <v>063500管理，補助的経済活動を行う事業所（25はん用機械器具製造業） </v>
      </c>
      <c r="I26" s="157" t="s">
        <v>301</v>
      </c>
    </row>
    <row r="27" spans="1:9" ht="30.75" customHeight="1">
      <c r="A27" s="162" t="s">
        <v>302</v>
      </c>
      <c r="B27" s="159" t="s">
        <v>303</v>
      </c>
      <c r="C27" s="160" t="str">
        <f t="shared" si="0"/>
        <v>26　生産用機械器具製造業</v>
      </c>
      <c r="D27" s="161" t="s">
        <v>298</v>
      </c>
      <c r="E27" s="159" t="s">
        <v>299</v>
      </c>
      <c r="F27" s="159" t="str">
        <f t="shared" si="1"/>
        <v>063500一般機械器具製造業　 </v>
      </c>
      <c r="G27" s="162" t="s">
        <v>304</v>
      </c>
      <c r="H27" s="159" t="str">
        <f t="shared" si="2"/>
        <v>063500管理，補助的経済活動を行う事業所（26生産用機械器具製造業） </v>
      </c>
      <c r="I27" s="157" t="s">
        <v>305</v>
      </c>
    </row>
    <row r="28" spans="1:9" ht="30.75" customHeight="1">
      <c r="A28" s="162" t="s">
        <v>306</v>
      </c>
      <c r="B28" s="159" t="s">
        <v>307</v>
      </c>
      <c r="C28" s="160" t="str">
        <f t="shared" si="0"/>
        <v>27　業務用機械器具製造業</v>
      </c>
      <c r="D28" s="161" t="s">
        <v>308</v>
      </c>
      <c r="E28" s="159" t="s">
        <v>309</v>
      </c>
      <c r="F28" s="159" t="str">
        <f t="shared" si="1"/>
        <v>064500精密機械器具製造業   　</v>
      </c>
      <c r="G28" s="162" t="s">
        <v>310</v>
      </c>
      <c r="H28" s="159" t="str">
        <f t="shared" si="2"/>
        <v>064500管理，補助的経済活動を行う事業所（27業務用機械器具製造業） </v>
      </c>
      <c r="I28" s="157" t="s">
        <v>311</v>
      </c>
    </row>
    <row r="29" spans="1:9" ht="30.75" customHeight="1">
      <c r="A29" s="162" t="s">
        <v>312</v>
      </c>
      <c r="B29" s="159" t="s">
        <v>313</v>
      </c>
      <c r="C29" s="160" t="str">
        <f t="shared" si="0"/>
        <v>28　電子部品・デバイス製造業</v>
      </c>
      <c r="D29" s="161" t="s">
        <v>314</v>
      </c>
      <c r="E29" s="159" t="s">
        <v>315</v>
      </c>
      <c r="F29" s="159" t="str">
        <f t="shared" si="1"/>
        <v>064100　電子部品・デバイス・電子回路製造業</v>
      </c>
      <c r="G29" s="162" t="s">
        <v>316</v>
      </c>
      <c r="H29" s="159" t="str">
        <f t="shared" si="2"/>
        <v>064100管理，補助的経済活動を行う事業所（28電子部品・デバイス・電子回路製造業） </v>
      </c>
      <c r="I29" s="157" t="s">
        <v>317</v>
      </c>
    </row>
    <row r="30" spans="1:9" ht="30.75" customHeight="1">
      <c r="A30" s="162" t="s">
        <v>318</v>
      </c>
      <c r="B30" s="159" t="s">
        <v>319</v>
      </c>
      <c r="C30" s="160" t="str">
        <f t="shared" si="0"/>
        <v>29　電気機械器具製造業</v>
      </c>
      <c r="D30" s="161" t="s">
        <v>320</v>
      </c>
      <c r="E30" s="159" t="s">
        <v>319</v>
      </c>
      <c r="F30" s="159" t="str">
        <f t="shared" si="1"/>
        <v>063700　電気機械器具製造業</v>
      </c>
      <c r="G30" s="162" t="s">
        <v>321</v>
      </c>
      <c r="H30" s="159" t="str">
        <f t="shared" si="2"/>
        <v>063700管理，補助的経済活動を行う事業所（29電気機械器具製造業） </v>
      </c>
      <c r="I30" s="157" t="s">
        <v>322</v>
      </c>
    </row>
    <row r="31" spans="1:9" ht="30.75" customHeight="1">
      <c r="A31" s="162" t="s">
        <v>323</v>
      </c>
      <c r="B31" s="159" t="s">
        <v>324</v>
      </c>
      <c r="C31" s="160" t="str">
        <f t="shared" si="0"/>
        <v>30　情報通信機械器具製造業</v>
      </c>
      <c r="D31" s="161" t="s">
        <v>325</v>
      </c>
      <c r="E31" s="159" t="s">
        <v>324</v>
      </c>
      <c r="F31" s="159" t="str">
        <f t="shared" si="1"/>
        <v>063900　情報通信機械器具製造業</v>
      </c>
      <c r="G31" s="162" t="s">
        <v>326</v>
      </c>
      <c r="H31" s="159" t="str">
        <f t="shared" si="2"/>
        <v>063900管理，補助的経済活動を行う事業所（30情報通信機械器具製造業） </v>
      </c>
      <c r="I31" s="157" t="s">
        <v>327</v>
      </c>
    </row>
    <row r="32" spans="1:9" ht="30.75" customHeight="1">
      <c r="A32" s="162" t="s">
        <v>328</v>
      </c>
      <c r="B32" s="159" t="s">
        <v>329</v>
      </c>
      <c r="C32" s="160" t="str">
        <f t="shared" si="0"/>
        <v>31　輸送用機械器具製造業</v>
      </c>
      <c r="D32" s="161" t="s">
        <v>330</v>
      </c>
      <c r="E32" s="159" t="s">
        <v>329</v>
      </c>
      <c r="F32" s="159" t="str">
        <f t="shared" si="1"/>
        <v>064300　輸送用機械器具製造業</v>
      </c>
      <c r="G32" s="162" t="s">
        <v>331</v>
      </c>
      <c r="H32" s="159" t="str">
        <f t="shared" si="2"/>
        <v>064300管理，補助的経済活動を行う事業所（31輸送用機械器具製造業） </v>
      </c>
      <c r="I32" s="157" t="s">
        <v>332</v>
      </c>
    </row>
    <row r="33" spans="1:9" ht="30.75" customHeight="1">
      <c r="A33" s="162" t="s">
        <v>333</v>
      </c>
      <c r="B33" s="159" t="s">
        <v>334</v>
      </c>
      <c r="C33" s="160" t="str">
        <f t="shared" si="0"/>
        <v>32　その他の製造業</v>
      </c>
      <c r="D33" s="161" t="s">
        <v>335</v>
      </c>
      <c r="E33" s="159" t="s">
        <v>334</v>
      </c>
      <c r="F33" s="159" t="str">
        <f t="shared" si="1"/>
        <v>064700　その他の製造業</v>
      </c>
      <c r="G33" s="162" t="s">
        <v>336</v>
      </c>
      <c r="H33" s="159" t="str">
        <f t="shared" si="2"/>
        <v>064700管理，補助的経済活動を行う事業所（32その他の製造業） </v>
      </c>
      <c r="I33" s="157" t="s">
        <v>337</v>
      </c>
    </row>
    <row r="34" spans="1:9" ht="30.75" customHeight="1">
      <c r="A34" s="162" t="s">
        <v>333</v>
      </c>
      <c r="B34" s="159" t="s">
        <v>334</v>
      </c>
      <c r="C34" s="160" t="str">
        <f t="shared" si="0"/>
        <v>32　その他の製造業</v>
      </c>
      <c r="D34" s="161" t="s">
        <v>335</v>
      </c>
      <c r="E34" s="159" t="s">
        <v>334</v>
      </c>
      <c r="F34" s="159" t="str">
        <f t="shared" si="1"/>
        <v>064700　その他の製造業</v>
      </c>
      <c r="G34" s="162" t="s">
        <v>338</v>
      </c>
      <c r="H34" s="159" t="str">
        <f t="shared" si="2"/>
        <v>064700漆器製造業 </v>
      </c>
      <c r="I34" s="157" t="s">
        <v>339</v>
      </c>
    </row>
    <row r="35" spans="1:9" ht="30.75" customHeight="1">
      <c r="A35" s="162" t="s">
        <v>340</v>
      </c>
      <c r="B35" s="159" t="s">
        <v>341</v>
      </c>
      <c r="C35" s="160" t="str">
        <f t="shared" si="0"/>
        <v>33　電気業</v>
      </c>
      <c r="D35" s="161" t="s">
        <v>342</v>
      </c>
      <c r="E35" s="159" t="s">
        <v>341</v>
      </c>
      <c r="F35" s="159" t="str">
        <f t="shared" si="1"/>
        <v>070000　電気業</v>
      </c>
      <c r="G35" s="162" t="s">
        <v>343</v>
      </c>
      <c r="H35" s="159" t="str">
        <f t="shared" si="2"/>
        <v>070000管理，補助的経済活動を行う事業所（33電気業） </v>
      </c>
      <c r="I35" s="157" t="s">
        <v>344</v>
      </c>
    </row>
    <row r="36" spans="1:9" ht="30.75" customHeight="1">
      <c r="A36" s="162" t="s">
        <v>345</v>
      </c>
      <c r="B36" s="159" t="s">
        <v>346</v>
      </c>
      <c r="C36" s="160" t="str">
        <f t="shared" si="0"/>
        <v>34　ガス業</v>
      </c>
      <c r="D36" s="161" t="s">
        <v>342</v>
      </c>
      <c r="E36" s="159" t="s">
        <v>346</v>
      </c>
      <c r="F36" s="159" t="str">
        <f t="shared" si="1"/>
        <v>070000　ガス業</v>
      </c>
      <c r="G36" s="162" t="s">
        <v>347</v>
      </c>
      <c r="H36" s="159" t="str">
        <f t="shared" si="2"/>
        <v>070000管理，補助的経済活動を行う事業所（34ガス業） </v>
      </c>
      <c r="I36" s="157" t="s">
        <v>348</v>
      </c>
    </row>
    <row r="37" spans="1:9" ht="30.75" customHeight="1">
      <c r="A37" s="162" t="s">
        <v>349</v>
      </c>
      <c r="B37" s="159" t="s">
        <v>350</v>
      </c>
      <c r="C37" s="160" t="str">
        <f t="shared" si="0"/>
        <v>35　熱供給業</v>
      </c>
      <c r="D37" s="161" t="s">
        <v>342</v>
      </c>
      <c r="E37" s="159" t="s">
        <v>350</v>
      </c>
      <c r="F37" s="159" t="str">
        <f t="shared" si="1"/>
        <v>070000　熱供給業</v>
      </c>
      <c r="G37" s="162" t="s">
        <v>351</v>
      </c>
      <c r="H37" s="159" t="str">
        <f t="shared" si="2"/>
        <v>070000管理，補助的経済活動を行う事業所（35熱供給業） </v>
      </c>
      <c r="I37" s="157" t="s">
        <v>352</v>
      </c>
    </row>
    <row r="38" spans="1:9" ht="30.75" customHeight="1">
      <c r="A38" s="162" t="s">
        <v>353</v>
      </c>
      <c r="B38" s="159" t="s">
        <v>354</v>
      </c>
      <c r="C38" s="160" t="str">
        <f t="shared" si="0"/>
        <v>36　水道業</v>
      </c>
      <c r="D38" s="161" t="s">
        <v>342</v>
      </c>
      <c r="E38" s="159" t="s">
        <v>354</v>
      </c>
      <c r="F38" s="159" t="str">
        <f t="shared" si="1"/>
        <v>070000　水道業</v>
      </c>
      <c r="G38" s="162" t="s">
        <v>355</v>
      </c>
      <c r="H38" s="159" t="str">
        <f t="shared" si="2"/>
        <v>070000管理，補助的経済活動を行う事業所（36水道業） </v>
      </c>
      <c r="I38" s="157" t="s">
        <v>356</v>
      </c>
    </row>
    <row r="39" spans="1:9" ht="30.75" customHeight="1">
      <c r="A39" s="162" t="s">
        <v>357</v>
      </c>
      <c r="B39" s="159" t="s">
        <v>358</v>
      </c>
      <c r="C39" s="160" t="str">
        <f t="shared" si="0"/>
        <v>37　通信業</v>
      </c>
      <c r="D39" s="161" t="s">
        <v>359</v>
      </c>
      <c r="E39" s="159" t="s">
        <v>358</v>
      </c>
      <c r="F39" s="159" t="str">
        <f t="shared" si="1"/>
        <v>080100　通信業</v>
      </c>
      <c r="G39" s="162" t="s">
        <v>360</v>
      </c>
      <c r="H39" s="159" t="str">
        <f t="shared" si="2"/>
        <v>080100管理，補助的経済活動を行う事業所（37通信業） </v>
      </c>
      <c r="I39" s="157" t="s">
        <v>361</v>
      </c>
    </row>
    <row r="40" spans="1:9" ht="30.75" customHeight="1">
      <c r="A40" s="162" t="s">
        <v>362</v>
      </c>
      <c r="B40" s="159" t="s">
        <v>363</v>
      </c>
      <c r="C40" s="160" t="str">
        <f t="shared" si="0"/>
        <v>38　放送業</v>
      </c>
      <c r="D40" s="161" t="s">
        <v>364</v>
      </c>
      <c r="E40" s="159" t="s">
        <v>363</v>
      </c>
      <c r="F40" s="159" t="str">
        <f t="shared" si="1"/>
        <v>080300　放送業</v>
      </c>
      <c r="G40" s="162" t="s">
        <v>365</v>
      </c>
      <c r="H40" s="159" t="str">
        <f t="shared" si="2"/>
        <v>080300管理，補助的経済活動を行う事業所（38放送業） </v>
      </c>
      <c r="I40" s="157" t="s">
        <v>366</v>
      </c>
    </row>
    <row r="41" spans="1:9" ht="30.75" customHeight="1">
      <c r="A41" s="162" t="s">
        <v>367</v>
      </c>
      <c r="B41" s="159" t="s">
        <v>368</v>
      </c>
      <c r="C41" s="160" t="str">
        <f t="shared" si="0"/>
        <v>39　情報サービス業</v>
      </c>
      <c r="D41" s="161" t="s">
        <v>369</v>
      </c>
      <c r="E41" s="159" t="s">
        <v>368</v>
      </c>
      <c r="F41" s="159" t="str">
        <f t="shared" si="1"/>
        <v>080500　情報サービス業</v>
      </c>
      <c r="G41" s="162" t="s">
        <v>370</v>
      </c>
      <c r="H41" s="159" t="str">
        <f t="shared" si="2"/>
        <v>080500管理，補助的経済活動を行う事業所（39情報サービス業） </v>
      </c>
      <c r="I41" s="157" t="s">
        <v>371</v>
      </c>
    </row>
    <row r="42" spans="1:9" ht="30.75" customHeight="1">
      <c r="A42" s="162" t="s">
        <v>372</v>
      </c>
      <c r="B42" s="159" t="s">
        <v>373</v>
      </c>
      <c r="C42" s="160" t="str">
        <f t="shared" si="0"/>
        <v>40　インターネット附随サービス業</v>
      </c>
      <c r="D42" s="161" t="s">
        <v>374</v>
      </c>
      <c r="E42" s="159" t="s">
        <v>373</v>
      </c>
      <c r="F42" s="159" t="str">
        <f t="shared" si="1"/>
        <v>080700　インターネット附随サービス業</v>
      </c>
      <c r="G42" s="162" t="s">
        <v>375</v>
      </c>
      <c r="H42" s="159" t="str">
        <f t="shared" si="2"/>
        <v>080700管理，補助的経済活動を行う事業所（40インターネット附随サービス業） </v>
      </c>
      <c r="I42" s="157" t="s">
        <v>376</v>
      </c>
    </row>
    <row r="43" spans="1:9" ht="30.75" customHeight="1">
      <c r="A43" s="162" t="s">
        <v>377</v>
      </c>
      <c r="B43" s="159" t="s">
        <v>378</v>
      </c>
      <c r="C43" s="160" t="str">
        <f t="shared" si="0"/>
        <v>41　映像・音声・文字情報制作業</v>
      </c>
      <c r="D43" s="161" t="s">
        <v>379</v>
      </c>
      <c r="E43" s="159" t="s">
        <v>378</v>
      </c>
      <c r="F43" s="159" t="str">
        <f t="shared" si="1"/>
        <v>080900　映像・音声・文字情報制作業</v>
      </c>
      <c r="G43" s="162" t="s">
        <v>380</v>
      </c>
      <c r="H43" s="159" t="str">
        <f t="shared" si="2"/>
        <v>080900管理，補助的経済活動を行う事業所（41映像・音声・文字情報制作業） </v>
      </c>
      <c r="I43" s="157" t="s">
        <v>381</v>
      </c>
    </row>
    <row r="44" spans="1:9" ht="30.75" customHeight="1">
      <c r="A44" s="162" t="s">
        <v>382</v>
      </c>
      <c r="B44" s="159" t="s">
        <v>383</v>
      </c>
      <c r="C44" s="160" t="str">
        <f t="shared" si="0"/>
        <v>42　鉄道業</v>
      </c>
      <c r="D44" s="161" t="s">
        <v>384</v>
      </c>
      <c r="E44" s="159" t="s">
        <v>383</v>
      </c>
      <c r="F44" s="159" t="str">
        <f t="shared" si="1"/>
        <v>090000　鉄道業</v>
      </c>
      <c r="G44" s="162" t="s">
        <v>385</v>
      </c>
      <c r="H44" s="159" t="str">
        <f t="shared" si="2"/>
        <v>090000管理，補助的経済活動を行う事業所（42鉄道業） </v>
      </c>
      <c r="I44" s="157" t="s">
        <v>386</v>
      </c>
    </row>
    <row r="45" spans="1:9" ht="30.75" customHeight="1">
      <c r="A45" s="162" t="s">
        <v>382</v>
      </c>
      <c r="B45" s="159" t="s">
        <v>383</v>
      </c>
      <c r="C45" s="160" t="str">
        <f t="shared" si="0"/>
        <v>42　鉄道業</v>
      </c>
      <c r="D45" s="161" t="s">
        <v>384</v>
      </c>
      <c r="E45" s="159" t="s">
        <v>383</v>
      </c>
      <c r="F45" s="159" t="str">
        <f t="shared" si="1"/>
        <v>090000　鉄道業</v>
      </c>
      <c r="G45" s="162" t="s">
        <v>387</v>
      </c>
      <c r="H45" s="159" t="str">
        <f t="shared" si="2"/>
        <v>090000鉄道業 </v>
      </c>
      <c r="I45" s="157" t="s">
        <v>388</v>
      </c>
    </row>
    <row r="46" spans="1:9" ht="30.75" customHeight="1">
      <c r="A46" s="162" t="s">
        <v>389</v>
      </c>
      <c r="B46" s="159" t="s">
        <v>390</v>
      </c>
      <c r="C46" s="160" t="str">
        <f t="shared" si="0"/>
        <v>43　道路旅客運送業</v>
      </c>
      <c r="D46" s="161" t="s">
        <v>384</v>
      </c>
      <c r="E46" s="159" t="s">
        <v>390</v>
      </c>
      <c r="F46" s="159" t="str">
        <f t="shared" si="1"/>
        <v>090000　道路旅客運送業</v>
      </c>
      <c r="G46" s="162" t="s">
        <v>391</v>
      </c>
      <c r="H46" s="159" t="str">
        <f t="shared" si="2"/>
        <v>090000管理，補助的経済活動を行う事業所（43道路旅客運送業） </v>
      </c>
      <c r="I46" s="157" t="s">
        <v>392</v>
      </c>
    </row>
    <row r="47" spans="1:9" ht="30.75" customHeight="1">
      <c r="A47" s="162" t="s">
        <v>393</v>
      </c>
      <c r="B47" s="159" t="s">
        <v>394</v>
      </c>
      <c r="C47" s="160" t="str">
        <f t="shared" si="0"/>
        <v>44　道路貨物運送業</v>
      </c>
      <c r="D47" s="161" t="s">
        <v>384</v>
      </c>
      <c r="E47" s="159" t="s">
        <v>394</v>
      </c>
      <c r="F47" s="159" t="str">
        <f t="shared" si="1"/>
        <v>090000　道路貨物運送業</v>
      </c>
      <c r="G47" s="162" t="s">
        <v>395</v>
      </c>
      <c r="H47" s="159" t="str">
        <f t="shared" si="2"/>
        <v>090000管理，補助的経済活動を行う事業所（44道路貨物運送業） </v>
      </c>
      <c r="I47" s="157" t="s">
        <v>396</v>
      </c>
    </row>
    <row r="48" spans="1:9" ht="30.75" customHeight="1">
      <c r="A48" s="162" t="s">
        <v>397</v>
      </c>
      <c r="B48" s="159" t="s">
        <v>398</v>
      </c>
      <c r="C48" s="160" t="str">
        <f t="shared" si="0"/>
        <v>45　水運業</v>
      </c>
      <c r="D48" s="161" t="s">
        <v>384</v>
      </c>
      <c r="E48" s="159" t="s">
        <v>398</v>
      </c>
      <c r="F48" s="159" t="str">
        <f t="shared" si="1"/>
        <v>090000　水運業</v>
      </c>
      <c r="G48" s="162" t="s">
        <v>399</v>
      </c>
      <c r="H48" s="159" t="str">
        <f t="shared" si="2"/>
        <v>090000管理，補助的経済活動を行う事業所（45水運業） </v>
      </c>
      <c r="I48" s="157" t="s">
        <v>400</v>
      </c>
    </row>
    <row r="49" spans="1:9" ht="30.75" customHeight="1">
      <c r="A49" s="162" t="s">
        <v>401</v>
      </c>
      <c r="B49" s="159" t="s">
        <v>402</v>
      </c>
      <c r="C49" s="160" t="str">
        <f t="shared" si="0"/>
        <v>46　航空運輸業</v>
      </c>
      <c r="D49" s="161" t="s">
        <v>384</v>
      </c>
      <c r="E49" s="159" t="s">
        <v>402</v>
      </c>
      <c r="F49" s="159" t="str">
        <f t="shared" si="1"/>
        <v>090000　航空運輸業</v>
      </c>
      <c r="G49" s="162" t="s">
        <v>403</v>
      </c>
      <c r="H49" s="159" t="str">
        <f t="shared" si="2"/>
        <v>090000管理，補助的経済活動を行う事業所（46航空運輸業） </v>
      </c>
      <c r="I49" s="157" t="s">
        <v>404</v>
      </c>
    </row>
    <row r="50" spans="1:9" ht="30.75" customHeight="1">
      <c r="A50" s="162" t="s">
        <v>405</v>
      </c>
      <c r="B50" s="159" t="s">
        <v>406</v>
      </c>
      <c r="C50" s="160" t="str">
        <f t="shared" si="0"/>
        <v>47　倉庫業</v>
      </c>
      <c r="D50" s="161" t="s">
        <v>384</v>
      </c>
      <c r="E50" s="159" t="s">
        <v>406</v>
      </c>
      <c r="F50" s="159" t="str">
        <f t="shared" si="1"/>
        <v>090000　倉庫業</v>
      </c>
      <c r="G50" s="162" t="s">
        <v>407</v>
      </c>
      <c r="H50" s="159" t="str">
        <f t="shared" si="2"/>
        <v>090000管理，補助的経済活動を行う事業所（47倉庫業） </v>
      </c>
      <c r="I50" s="157" t="s">
        <v>408</v>
      </c>
    </row>
    <row r="51" spans="1:9" ht="30.75" customHeight="1">
      <c r="A51" s="162" t="s">
        <v>409</v>
      </c>
      <c r="B51" s="159" t="s">
        <v>410</v>
      </c>
      <c r="C51" s="160" t="str">
        <f t="shared" si="0"/>
        <v>48　運輸に附帯するサービス業</v>
      </c>
      <c r="D51" s="161" t="s">
        <v>384</v>
      </c>
      <c r="E51" s="159" t="s">
        <v>410</v>
      </c>
      <c r="F51" s="159" t="str">
        <f t="shared" si="1"/>
        <v>090000　運輸に附帯するサービス業</v>
      </c>
      <c r="G51" s="162" t="s">
        <v>411</v>
      </c>
      <c r="H51" s="159" t="str">
        <f t="shared" si="2"/>
        <v>090000管理，補助的経済活動を行う事業所（48運輸に附帯するサービス業） </v>
      </c>
      <c r="I51" s="157" t="s">
        <v>412</v>
      </c>
    </row>
    <row r="52" spans="1:9" ht="30.75" customHeight="1">
      <c r="A52" s="162" t="s">
        <v>413</v>
      </c>
      <c r="B52" s="159" t="s">
        <v>414</v>
      </c>
      <c r="C52" s="160" t="str">
        <f t="shared" si="0"/>
        <v>49　郵便業（信書便事業を含む）</v>
      </c>
      <c r="D52" s="161" t="s">
        <v>384</v>
      </c>
      <c r="E52" s="159" t="s">
        <v>414</v>
      </c>
      <c r="F52" s="159" t="str">
        <f t="shared" si="1"/>
        <v>090000　郵便業（信書便事業を含む）</v>
      </c>
      <c r="G52" s="162" t="s">
        <v>415</v>
      </c>
      <c r="H52" s="159" t="str">
        <f t="shared" si="2"/>
        <v>090000管理，補助的経済活動を行う事業所（49郵便業） </v>
      </c>
      <c r="I52" s="157" t="s">
        <v>416</v>
      </c>
    </row>
    <row r="53" spans="1:9" ht="30.75" customHeight="1">
      <c r="A53" s="162" t="s">
        <v>417</v>
      </c>
      <c r="B53" s="159" t="s">
        <v>418</v>
      </c>
      <c r="C53" s="160" t="str">
        <f t="shared" si="0"/>
        <v>50　各種商品卸売業</v>
      </c>
      <c r="D53" s="163" t="s">
        <v>419</v>
      </c>
      <c r="E53" s="159" t="s">
        <v>418</v>
      </c>
      <c r="F53" s="159" t="str">
        <f t="shared" si="1"/>
        <v>100100　各種商品卸売業</v>
      </c>
      <c r="G53" s="162" t="s">
        <v>420</v>
      </c>
      <c r="H53" s="159" t="str">
        <f t="shared" si="2"/>
        <v>100100管理，補助的経済活動を行う事業所（50各種商品卸売業） </v>
      </c>
      <c r="I53" s="157" t="s">
        <v>421</v>
      </c>
    </row>
    <row r="54" spans="1:9" ht="30.75" customHeight="1">
      <c r="A54" s="162" t="s">
        <v>422</v>
      </c>
      <c r="B54" s="159" t="s">
        <v>423</v>
      </c>
      <c r="C54" s="160" t="str">
        <f t="shared" si="0"/>
        <v>51　繊維・衣服等卸売業</v>
      </c>
      <c r="D54" s="163" t="s">
        <v>424</v>
      </c>
      <c r="E54" s="159" t="s">
        <v>423</v>
      </c>
      <c r="F54" s="159" t="str">
        <f t="shared" si="1"/>
        <v>100300　繊維・衣服等卸売業</v>
      </c>
      <c r="G54" s="162" t="s">
        <v>425</v>
      </c>
      <c r="H54" s="159" t="str">
        <f t="shared" si="2"/>
        <v>100300管理，補助的経済活動を行う事業所（51繊維・衣服等卸売業） </v>
      </c>
      <c r="I54" s="157" t="s">
        <v>426</v>
      </c>
    </row>
    <row r="55" spans="1:9" ht="30.75" customHeight="1">
      <c r="A55" s="162" t="s">
        <v>427</v>
      </c>
      <c r="B55" s="159" t="s">
        <v>428</v>
      </c>
      <c r="C55" s="160" t="str">
        <f t="shared" si="0"/>
        <v>52　飲食料品卸売業</v>
      </c>
      <c r="D55" s="163" t="s">
        <v>429</v>
      </c>
      <c r="E55" s="159" t="s">
        <v>428</v>
      </c>
      <c r="F55" s="159" t="str">
        <f t="shared" si="1"/>
        <v>100500　飲食料品卸売業</v>
      </c>
      <c r="G55" s="162" t="s">
        <v>430</v>
      </c>
      <c r="H55" s="159" t="str">
        <f t="shared" si="2"/>
        <v>100500管理，補助的経済活動を行う事業所（52飲食料品卸売業） </v>
      </c>
      <c r="I55" s="157" t="s">
        <v>431</v>
      </c>
    </row>
    <row r="56" spans="1:9" ht="30.75" customHeight="1">
      <c r="A56" s="162" t="s">
        <v>432</v>
      </c>
      <c r="B56" s="159" t="s">
        <v>433</v>
      </c>
      <c r="C56" s="160" t="str">
        <f t="shared" si="0"/>
        <v>53　建築材料，鉱物・金属材料等卸売業</v>
      </c>
      <c r="D56" s="163" t="s">
        <v>434</v>
      </c>
      <c r="E56" s="159" t="s">
        <v>433</v>
      </c>
      <c r="F56" s="159" t="str">
        <f t="shared" si="1"/>
        <v>100700　建築材料，鉱物・金属材料等卸売業</v>
      </c>
      <c r="G56" s="162" t="s">
        <v>435</v>
      </c>
      <c r="H56" s="159" t="str">
        <f t="shared" si="2"/>
        <v>100700管理，補助的経済活動を行う事業所（53建築材料，鉱物・金属材料等卸売業） </v>
      </c>
      <c r="I56" s="157" t="s">
        <v>436</v>
      </c>
    </row>
    <row r="57" spans="1:9" ht="30.75" customHeight="1">
      <c r="A57" s="162" t="s">
        <v>437</v>
      </c>
      <c r="B57" s="159" t="s">
        <v>438</v>
      </c>
      <c r="C57" s="160" t="str">
        <f t="shared" si="0"/>
        <v>54　機械器具卸売業</v>
      </c>
      <c r="D57" s="163" t="s">
        <v>439</v>
      </c>
      <c r="E57" s="159" t="s">
        <v>438</v>
      </c>
      <c r="F57" s="159" t="str">
        <f t="shared" si="1"/>
        <v>100900　機械器具卸売業</v>
      </c>
      <c r="G57" s="162" t="s">
        <v>440</v>
      </c>
      <c r="H57" s="159" t="str">
        <f t="shared" si="2"/>
        <v>100900管理，補助的経済活動を行う事業所（54機械器具卸売業） </v>
      </c>
      <c r="I57" s="157" t="s">
        <v>441</v>
      </c>
    </row>
    <row r="58" spans="1:9" ht="30.75" customHeight="1">
      <c r="A58" s="162" t="s">
        <v>442</v>
      </c>
      <c r="B58" s="159" t="s">
        <v>443</v>
      </c>
      <c r="C58" s="160" t="str">
        <f t="shared" si="0"/>
        <v>55　その他の卸売業</v>
      </c>
      <c r="D58" s="163" t="s">
        <v>444</v>
      </c>
      <c r="E58" s="159" t="s">
        <v>443</v>
      </c>
      <c r="F58" s="159" t="str">
        <f t="shared" si="1"/>
        <v>101100　その他の卸売業</v>
      </c>
      <c r="G58" s="162" t="s">
        <v>445</v>
      </c>
      <c r="H58" s="159" t="str">
        <f t="shared" si="2"/>
        <v>101100管理，補助的経済活動を行う事業所（55その他の卸売業） </v>
      </c>
      <c r="I58" s="157" t="s">
        <v>446</v>
      </c>
    </row>
    <row r="59" spans="1:9" ht="30.75" customHeight="1">
      <c r="A59" s="162" t="s">
        <v>447</v>
      </c>
      <c r="B59" s="159" t="s">
        <v>448</v>
      </c>
      <c r="C59" s="160" t="str">
        <f t="shared" si="0"/>
        <v>56　各種商品小売業</v>
      </c>
      <c r="D59" s="163" t="s">
        <v>449</v>
      </c>
      <c r="E59" s="159" t="s">
        <v>448</v>
      </c>
      <c r="F59" s="159" t="str">
        <f t="shared" si="1"/>
        <v>105100　各種商品小売業</v>
      </c>
      <c r="G59" s="162" t="s">
        <v>450</v>
      </c>
      <c r="H59" s="159" t="str">
        <f t="shared" si="2"/>
        <v>105100管理，補助的経済活動を行う事業所（56各種商品小売業） </v>
      </c>
      <c r="I59" s="157" t="s">
        <v>451</v>
      </c>
    </row>
    <row r="60" spans="1:9" ht="30.75" customHeight="1">
      <c r="A60" s="162" t="s">
        <v>452</v>
      </c>
      <c r="B60" s="159" t="s">
        <v>453</v>
      </c>
      <c r="C60" s="160" t="str">
        <f t="shared" si="0"/>
        <v>57　織物・衣服・身の回り品小売業</v>
      </c>
      <c r="D60" s="163" t="s">
        <v>454</v>
      </c>
      <c r="E60" s="159" t="s">
        <v>453</v>
      </c>
      <c r="F60" s="159" t="str">
        <f t="shared" si="1"/>
        <v>105300　織物・衣服・身の回り品小売業</v>
      </c>
      <c r="G60" s="162" t="s">
        <v>455</v>
      </c>
      <c r="H60" s="159" t="str">
        <f t="shared" si="2"/>
        <v>105300管理，補助的経済活動を行う事業所（57織物・衣服・身の回り品小売業） </v>
      </c>
      <c r="I60" s="157" t="s">
        <v>456</v>
      </c>
    </row>
    <row r="61" spans="1:9" ht="30.75" customHeight="1">
      <c r="A61" s="162" t="s">
        <v>457</v>
      </c>
      <c r="B61" s="159" t="s">
        <v>458</v>
      </c>
      <c r="C61" s="160" t="str">
        <f t="shared" si="0"/>
        <v>58　飲食料品小売業</v>
      </c>
      <c r="D61" s="163" t="s">
        <v>459</v>
      </c>
      <c r="E61" s="159" t="s">
        <v>458</v>
      </c>
      <c r="F61" s="159" t="str">
        <f t="shared" si="1"/>
        <v>105500　飲食料品小売業</v>
      </c>
      <c r="G61" s="162" t="s">
        <v>460</v>
      </c>
      <c r="H61" s="159" t="str">
        <f t="shared" si="2"/>
        <v>105500管理，補助的経済活動を行う事業所（58飲食料品小売業） </v>
      </c>
      <c r="I61" s="157" t="s">
        <v>461</v>
      </c>
    </row>
    <row r="62" spans="1:9" ht="30.75" customHeight="1">
      <c r="A62" s="162" t="s">
        <v>462</v>
      </c>
      <c r="B62" s="159" t="s">
        <v>463</v>
      </c>
      <c r="C62" s="160" t="str">
        <f t="shared" si="0"/>
        <v>59　機械器具小売業</v>
      </c>
      <c r="D62" s="163" t="s">
        <v>464</v>
      </c>
      <c r="E62" s="159" t="s">
        <v>465</v>
      </c>
      <c r="F62" s="159" t="str">
        <f t="shared" si="1"/>
        <v>105700自動車・自転車小売業   　　　　</v>
      </c>
      <c r="G62" s="162" t="s">
        <v>466</v>
      </c>
      <c r="H62" s="159" t="str">
        <f t="shared" si="2"/>
        <v>105700管理，補助的経済活動を行う事業所（59機械器具小売業） </v>
      </c>
      <c r="I62" s="157" t="s">
        <v>467</v>
      </c>
    </row>
    <row r="63" spans="1:9" ht="30.75" customHeight="1">
      <c r="A63" s="162" t="s">
        <v>468</v>
      </c>
      <c r="B63" s="159" t="s">
        <v>469</v>
      </c>
      <c r="C63" s="160" t="str">
        <f t="shared" si="0"/>
        <v>60　その他の小売業</v>
      </c>
      <c r="D63" s="163" t="s">
        <v>470</v>
      </c>
      <c r="E63" s="159" t="s">
        <v>471</v>
      </c>
      <c r="F63" s="159" t="str">
        <f t="shared" si="1"/>
        <v>105900家具・じゅう器・機械器具小売業</v>
      </c>
      <c r="G63" s="162" t="s">
        <v>472</v>
      </c>
      <c r="H63" s="159" t="str">
        <f t="shared" si="2"/>
        <v>105900管理，補助的経済活動を行う事業所（60その他の小売業） </v>
      </c>
      <c r="I63" s="157" t="s">
        <v>473</v>
      </c>
    </row>
    <row r="64" spans="1:9" ht="30.75" customHeight="1">
      <c r="A64" s="162" t="s">
        <v>474</v>
      </c>
      <c r="B64" s="159" t="s">
        <v>475</v>
      </c>
      <c r="C64" s="160" t="str">
        <f t="shared" si="0"/>
        <v>61　無店舗小売業</v>
      </c>
      <c r="D64" s="163" t="s">
        <v>476</v>
      </c>
      <c r="E64" s="159" t="s">
        <v>469</v>
      </c>
      <c r="F64" s="159" t="str">
        <f t="shared" si="1"/>
        <v>106100　その他の小売業</v>
      </c>
      <c r="G64" s="162" t="s">
        <v>477</v>
      </c>
      <c r="H64" s="159" t="str">
        <f t="shared" si="2"/>
        <v>106100管理，補助的経済活動を行う事業所（61無店舗小売業） </v>
      </c>
      <c r="I64" s="157" t="s">
        <v>478</v>
      </c>
    </row>
    <row r="65" spans="1:9" ht="30.75" customHeight="1">
      <c r="A65" s="162" t="s">
        <v>479</v>
      </c>
      <c r="B65" s="159" t="s">
        <v>480</v>
      </c>
      <c r="C65" s="160" t="str">
        <f t="shared" si="0"/>
        <v>62　銀行業</v>
      </c>
      <c r="D65" s="163" t="s">
        <v>481</v>
      </c>
      <c r="E65" s="159" t="s">
        <v>480</v>
      </c>
      <c r="F65" s="159" t="str">
        <f t="shared" si="1"/>
        <v>110000　銀行業</v>
      </c>
      <c r="G65" s="162" t="s">
        <v>482</v>
      </c>
      <c r="H65" s="159" t="str">
        <f t="shared" si="2"/>
        <v>110000管理，補助的経済活動を行う事業所（62銀行業） </v>
      </c>
      <c r="I65" s="157" t="s">
        <v>483</v>
      </c>
    </row>
    <row r="66" spans="1:9" ht="30.75" customHeight="1">
      <c r="A66" s="162" t="s">
        <v>484</v>
      </c>
      <c r="B66" s="159" t="s">
        <v>485</v>
      </c>
      <c r="C66" s="160" t="str">
        <f t="shared" si="0"/>
        <v>63　協同組織金融業</v>
      </c>
      <c r="D66" s="163" t="s">
        <v>481</v>
      </c>
      <c r="E66" s="159" t="s">
        <v>485</v>
      </c>
      <c r="F66" s="159" t="str">
        <f t="shared" si="1"/>
        <v>110000　協同組織金融業</v>
      </c>
      <c r="G66" s="162" t="s">
        <v>486</v>
      </c>
      <c r="H66" s="159" t="str">
        <f t="shared" si="2"/>
        <v>110000管理，補助的経済活動を行う事業所（63協同組織金融業） </v>
      </c>
      <c r="I66" s="157" t="s">
        <v>487</v>
      </c>
    </row>
    <row r="67" spans="1:9" ht="30.75" customHeight="1">
      <c r="A67" s="162">
        <v>64</v>
      </c>
      <c r="B67" s="159" t="s">
        <v>488</v>
      </c>
      <c r="C67" s="160" t="str">
        <f aca="true" t="shared" si="3" ref="C67:C97">CONCATENATE(A67,B67)</f>
        <v>64　貸金業，クレジットカード業等非預金信用機関</v>
      </c>
      <c r="D67" s="163" t="s">
        <v>481</v>
      </c>
      <c r="E67" s="159" t="s">
        <v>488</v>
      </c>
      <c r="F67" s="159" t="str">
        <f aca="true" t="shared" si="4" ref="F67:F97">CONCATENATE(D67,E67)</f>
        <v>110000　貸金業，クレジットカード業等非預金信用機関</v>
      </c>
      <c r="G67" s="162" t="s">
        <v>489</v>
      </c>
      <c r="H67" s="159" t="str">
        <f aca="true" t="shared" si="5" ref="H67:H97">CONCATENATE(D67,I67)</f>
        <v>110000管理，補助的経済活動を行う事業所（64貸金業，クレジットカード業等非預金信用機関） </v>
      </c>
      <c r="I67" s="157" t="s">
        <v>490</v>
      </c>
    </row>
    <row r="68" spans="1:9" ht="30.75" customHeight="1">
      <c r="A68" s="162" t="s">
        <v>491</v>
      </c>
      <c r="B68" s="159" t="s">
        <v>492</v>
      </c>
      <c r="C68" s="160" t="str">
        <f t="shared" si="3"/>
        <v>65　金融商品取引業，商品先物取引業</v>
      </c>
      <c r="D68" s="163" t="s">
        <v>481</v>
      </c>
      <c r="E68" s="159" t="s">
        <v>492</v>
      </c>
      <c r="F68" s="159" t="str">
        <f t="shared" si="4"/>
        <v>110000　金融商品取引業，商品先物取引業</v>
      </c>
      <c r="G68" s="162" t="s">
        <v>493</v>
      </c>
      <c r="H68" s="159" t="str">
        <f t="shared" si="5"/>
        <v>110000管理，補助的経済活動を行う事業所（65金融商品取引業，商品先物取引業） </v>
      </c>
      <c r="I68" s="157" t="s">
        <v>494</v>
      </c>
    </row>
    <row r="69" spans="1:9" ht="30.75" customHeight="1">
      <c r="A69" s="162" t="s">
        <v>495</v>
      </c>
      <c r="B69" s="159" t="s">
        <v>496</v>
      </c>
      <c r="C69" s="160" t="str">
        <f t="shared" si="3"/>
        <v>66　補助的金融業等</v>
      </c>
      <c r="D69" s="163" t="s">
        <v>481</v>
      </c>
      <c r="E69" s="159" t="s">
        <v>496</v>
      </c>
      <c r="F69" s="159" t="str">
        <f t="shared" si="4"/>
        <v>110000　補助的金融業等</v>
      </c>
      <c r="G69" s="162" t="s">
        <v>497</v>
      </c>
      <c r="H69" s="159" t="str">
        <f t="shared" si="5"/>
        <v>110000管理，補助的経済活動を行う事業所（66補助的金融業等） </v>
      </c>
      <c r="I69" s="157" t="s">
        <v>498</v>
      </c>
    </row>
    <row r="70" spans="1:9" ht="30.75" customHeight="1">
      <c r="A70" s="162" t="s">
        <v>499</v>
      </c>
      <c r="B70" s="159" t="s">
        <v>500</v>
      </c>
      <c r="C70" s="160" t="str">
        <f t="shared" si="3"/>
        <v>67　保険業（保険媒介代理業，保険サービス業を含む）</v>
      </c>
      <c r="D70" s="163" t="s">
        <v>481</v>
      </c>
      <c r="E70" s="159" t="s">
        <v>500</v>
      </c>
      <c r="F70" s="159" t="str">
        <f t="shared" si="4"/>
        <v>110000　保険業（保険媒介代理業，保険サービス業を含む）</v>
      </c>
      <c r="G70" s="162" t="s">
        <v>501</v>
      </c>
      <c r="H70" s="159" t="str">
        <f t="shared" si="5"/>
        <v>110000管理，補助的経済活動を行う事業所（67保険業） </v>
      </c>
      <c r="I70" s="157" t="s">
        <v>502</v>
      </c>
    </row>
    <row r="71" spans="1:9" ht="30.75" customHeight="1">
      <c r="A71" s="162" t="s">
        <v>503</v>
      </c>
      <c r="B71" s="159" t="s">
        <v>504</v>
      </c>
      <c r="C71" s="160" t="str">
        <f t="shared" si="3"/>
        <v>68　不動産取引業</v>
      </c>
      <c r="D71" s="163" t="s">
        <v>505</v>
      </c>
      <c r="E71" s="159" t="s">
        <v>504</v>
      </c>
      <c r="F71" s="159" t="str">
        <f t="shared" si="4"/>
        <v>120000　不動産取引業</v>
      </c>
      <c r="G71" s="162" t="s">
        <v>506</v>
      </c>
      <c r="H71" s="159" t="str">
        <f t="shared" si="5"/>
        <v>120000管理，補助的経済活動を行う事業所（68不動産取引業） </v>
      </c>
      <c r="I71" s="157" t="s">
        <v>507</v>
      </c>
    </row>
    <row r="72" spans="1:9" ht="30.75" customHeight="1">
      <c r="A72" s="162" t="s">
        <v>508</v>
      </c>
      <c r="B72" s="159" t="s">
        <v>509</v>
      </c>
      <c r="C72" s="160" t="str">
        <f t="shared" si="3"/>
        <v>69　不動産賃貸業・管理業</v>
      </c>
      <c r="D72" s="163" t="s">
        <v>505</v>
      </c>
      <c r="E72" s="159" t="s">
        <v>509</v>
      </c>
      <c r="F72" s="159" t="str">
        <f t="shared" si="4"/>
        <v>120000　不動産賃貸業・管理業</v>
      </c>
      <c r="G72" s="162" t="s">
        <v>510</v>
      </c>
      <c r="H72" s="159" t="str">
        <f t="shared" si="5"/>
        <v>120000管理，補助的経済活動を行う事業所（69不動産賃貸業・管理業） </v>
      </c>
      <c r="I72" s="157" t="s">
        <v>511</v>
      </c>
    </row>
    <row r="73" spans="1:9" ht="30.75" customHeight="1">
      <c r="A73" s="162" t="s">
        <v>512</v>
      </c>
      <c r="B73" s="159" t="s">
        <v>513</v>
      </c>
      <c r="C73" s="160" t="str">
        <f t="shared" si="3"/>
        <v>70　物品賃貸業</v>
      </c>
      <c r="D73" s="163" t="s">
        <v>514</v>
      </c>
      <c r="E73" s="159" t="s">
        <v>513</v>
      </c>
      <c r="F73" s="159" t="str">
        <f t="shared" si="4"/>
        <v>171700　物品賃貸業</v>
      </c>
      <c r="G73" s="162" t="s">
        <v>515</v>
      </c>
      <c r="H73" s="159" t="str">
        <f t="shared" si="5"/>
        <v>171700管理，補助的経済活動を行う事業所（70物品賃貸業） </v>
      </c>
      <c r="I73" s="157" t="s">
        <v>516</v>
      </c>
    </row>
    <row r="74" spans="1:9" ht="30.75" customHeight="1">
      <c r="A74" s="162" t="s">
        <v>517</v>
      </c>
      <c r="B74" s="159" t="s">
        <v>518</v>
      </c>
      <c r="C74" s="160" t="str">
        <f t="shared" si="3"/>
        <v>71　学術・開発研究機関</v>
      </c>
      <c r="D74" s="163" t="s">
        <v>519</v>
      </c>
      <c r="E74" s="159" t="s">
        <v>518</v>
      </c>
      <c r="F74" s="159" t="str">
        <f t="shared" si="4"/>
        <v>170300　学術・開発研究機関</v>
      </c>
      <c r="G74" s="162" t="s">
        <v>520</v>
      </c>
      <c r="H74" s="159" t="str">
        <f t="shared" si="5"/>
        <v>170300管理，補助的経済活動を行う事業所（71学術・開発研究機関） </v>
      </c>
      <c r="I74" s="157" t="s">
        <v>521</v>
      </c>
    </row>
    <row r="75" spans="1:9" ht="30.75" customHeight="1">
      <c r="A75" s="162">
        <v>72</v>
      </c>
      <c r="B75" s="164" t="s">
        <v>522</v>
      </c>
      <c r="C75" s="160" t="str">
        <f t="shared" si="3"/>
        <v>72専門サービス業</v>
      </c>
      <c r="D75" s="163" t="s">
        <v>523</v>
      </c>
      <c r="E75" s="159" t="s">
        <v>522</v>
      </c>
      <c r="F75" s="159" t="str">
        <f t="shared" si="4"/>
        <v>170100専門サービス業</v>
      </c>
      <c r="G75" s="162" t="s">
        <v>524</v>
      </c>
      <c r="H75" s="159" t="str">
        <f t="shared" si="5"/>
        <v>170100管理，補助的経済活動を行う事業所（72専門サービス業） </v>
      </c>
      <c r="I75" s="157" t="s">
        <v>525</v>
      </c>
    </row>
    <row r="76" spans="1:9" ht="30.75" customHeight="1">
      <c r="A76" s="162">
        <v>73</v>
      </c>
      <c r="B76" s="164" t="s">
        <v>526</v>
      </c>
      <c r="C76" s="160" t="str">
        <f t="shared" si="3"/>
        <v>73広告業</v>
      </c>
      <c r="D76" s="163" t="s">
        <v>527</v>
      </c>
      <c r="E76" s="159" t="s">
        <v>528</v>
      </c>
      <c r="F76" s="159" t="str">
        <f t="shared" si="4"/>
        <v>171900　広告業</v>
      </c>
      <c r="G76" s="162" t="s">
        <v>529</v>
      </c>
      <c r="H76" s="159" t="str">
        <f t="shared" si="5"/>
        <v>171900管理，補助的経済活動を行う事業所（73広告業） </v>
      </c>
      <c r="I76" s="157" t="s">
        <v>530</v>
      </c>
    </row>
    <row r="77" spans="1:9" ht="30.75" customHeight="1">
      <c r="A77" s="162" t="s">
        <v>531</v>
      </c>
      <c r="B77" s="159" t="s">
        <v>532</v>
      </c>
      <c r="C77" s="160" t="str">
        <f t="shared" si="3"/>
        <v>74　技術サービス業（他に分類されないもの）</v>
      </c>
      <c r="D77" s="163" t="s">
        <v>523</v>
      </c>
      <c r="E77" s="164" t="s">
        <v>533</v>
      </c>
      <c r="F77" s="159" t="str">
        <f t="shared" si="4"/>
        <v>170100専門サービス業</v>
      </c>
      <c r="G77" s="162" t="s">
        <v>534</v>
      </c>
      <c r="H77" s="159" t="str">
        <f t="shared" si="5"/>
        <v>170100管理，補助的経済活動を行う事業所（74技術サービス業） </v>
      </c>
      <c r="I77" s="157" t="s">
        <v>535</v>
      </c>
    </row>
    <row r="78" spans="1:9" ht="30.75" customHeight="1">
      <c r="A78" s="162">
        <v>75</v>
      </c>
      <c r="B78" s="159" t="s">
        <v>536</v>
      </c>
      <c r="C78" s="160" t="str">
        <f t="shared" si="3"/>
        <v>75　宿泊業</v>
      </c>
      <c r="D78" s="163" t="s">
        <v>537</v>
      </c>
      <c r="E78" s="159" t="s">
        <v>536</v>
      </c>
      <c r="F78" s="159" t="str">
        <f t="shared" si="4"/>
        <v>130500　宿泊業</v>
      </c>
      <c r="G78" s="162" t="s">
        <v>538</v>
      </c>
      <c r="H78" s="159" t="str">
        <f t="shared" si="5"/>
        <v>130500管理，補助的経済活動を行う事業所（75宿泊業） </v>
      </c>
      <c r="I78" s="157" t="s">
        <v>539</v>
      </c>
    </row>
    <row r="79" spans="1:9" ht="30.75" customHeight="1">
      <c r="A79" s="162">
        <v>76</v>
      </c>
      <c r="B79" s="159" t="s">
        <v>540</v>
      </c>
      <c r="C79" s="160" t="str">
        <f t="shared" si="3"/>
        <v>76　飲食店</v>
      </c>
      <c r="D79" s="163" t="s">
        <v>541</v>
      </c>
      <c r="E79" s="159" t="s">
        <v>542</v>
      </c>
      <c r="F79" s="159" t="str">
        <f t="shared" si="4"/>
        <v>130100一般飲食店　</v>
      </c>
      <c r="G79" s="162" t="s">
        <v>543</v>
      </c>
      <c r="H79" s="159" t="str">
        <f t="shared" si="5"/>
        <v>130100管理，補助的経済活動を行う事業所（76飲食店） </v>
      </c>
      <c r="I79" s="157" t="s">
        <v>544</v>
      </c>
    </row>
    <row r="80" spans="1:9" ht="30.75" customHeight="1">
      <c r="A80" s="162" t="s">
        <v>545</v>
      </c>
      <c r="B80" s="159" t="s">
        <v>546</v>
      </c>
      <c r="C80" s="160" t="str">
        <f t="shared" si="3"/>
        <v>77　持ち帰り・配達飲食サービス業</v>
      </c>
      <c r="D80" s="163" t="s">
        <v>459</v>
      </c>
      <c r="E80" s="159" t="s">
        <v>458</v>
      </c>
      <c r="F80" s="159" t="str">
        <f t="shared" si="4"/>
        <v>105500　飲食料品小売業</v>
      </c>
      <c r="G80" s="162" t="s">
        <v>547</v>
      </c>
      <c r="H80" s="159" t="str">
        <f t="shared" si="5"/>
        <v>105500管理，補助的経済活動を行う事業所（77持ち帰り・配達飲食サービス業） </v>
      </c>
      <c r="I80" s="157" t="s">
        <v>548</v>
      </c>
    </row>
    <row r="81" spans="1:9" ht="30.75" customHeight="1">
      <c r="A81" s="162">
        <v>78</v>
      </c>
      <c r="B81" s="159" t="s">
        <v>549</v>
      </c>
      <c r="C81" s="160" t="str">
        <f t="shared" si="3"/>
        <v>78　洗濯・理容・美容・浴場業</v>
      </c>
      <c r="D81" s="163" t="s">
        <v>550</v>
      </c>
      <c r="E81" s="159" t="s">
        <v>549</v>
      </c>
      <c r="F81" s="159" t="str">
        <f t="shared" si="4"/>
        <v>170500　洗濯・理容・美容・浴場業</v>
      </c>
      <c r="G81" s="162" t="s">
        <v>551</v>
      </c>
      <c r="H81" s="159" t="str">
        <f t="shared" si="5"/>
        <v>170500管理，補助的経済活動を行う事業所（78洗濯・理容・美容・浴場業） </v>
      </c>
      <c r="I81" s="157" t="s">
        <v>552</v>
      </c>
    </row>
    <row r="82" spans="1:9" ht="30.75" customHeight="1">
      <c r="A82" s="162" t="s">
        <v>553</v>
      </c>
      <c r="B82" s="159" t="s">
        <v>554</v>
      </c>
      <c r="C82" s="160" t="str">
        <f t="shared" si="3"/>
        <v>79　その他の生活関連サービス業</v>
      </c>
      <c r="D82" s="163" t="s">
        <v>555</v>
      </c>
      <c r="E82" s="159" t="s">
        <v>554</v>
      </c>
      <c r="F82" s="159" t="str">
        <f t="shared" si="4"/>
        <v>170700　その他の生活関連サービス業</v>
      </c>
      <c r="G82" s="162" t="s">
        <v>556</v>
      </c>
      <c r="H82" s="159" t="str">
        <f t="shared" si="5"/>
        <v>170700管理，補助的経済活動を行う事業所（79その他の生活関連サービス業） </v>
      </c>
      <c r="I82" s="157" t="s">
        <v>557</v>
      </c>
    </row>
    <row r="83" spans="1:9" ht="30.75" customHeight="1">
      <c r="A83" s="162" t="s">
        <v>558</v>
      </c>
      <c r="B83" s="159" t="s">
        <v>559</v>
      </c>
      <c r="C83" s="160" t="str">
        <f t="shared" si="3"/>
        <v>80　娯楽業</v>
      </c>
      <c r="D83" s="163" t="s">
        <v>560</v>
      </c>
      <c r="E83" s="159" t="s">
        <v>559</v>
      </c>
      <c r="F83" s="159" t="str">
        <f t="shared" si="4"/>
        <v>170900　娯楽業</v>
      </c>
      <c r="G83" s="162" t="s">
        <v>561</v>
      </c>
      <c r="H83" s="159" t="str">
        <f t="shared" si="5"/>
        <v>170900管理，補助的経済活動を行う事業所（80娯楽業） </v>
      </c>
      <c r="I83" s="157" t="s">
        <v>562</v>
      </c>
    </row>
    <row r="84" spans="1:9" ht="30.75" customHeight="1">
      <c r="A84" s="162" t="s">
        <v>563</v>
      </c>
      <c r="B84" s="159" t="s">
        <v>564</v>
      </c>
      <c r="C84" s="160" t="str">
        <f t="shared" si="3"/>
        <v>81　学校教育</v>
      </c>
      <c r="D84" s="163" t="s">
        <v>565</v>
      </c>
      <c r="E84" s="159" t="s">
        <v>564</v>
      </c>
      <c r="F84" s="159" t="str">
        <f t="shared" si="4"/>
        <v>150000　学校教育</v>
      </c>
      <c r="G84" s="162" t="s">
        <v>566</v>
      </c>
      <c r="H84" s="159" t="str">
        <f t="shared" si="5"/>
        <v>150000管理，補助的経済活動を行う事業所（81学校教育） </v>
      </c>
      <c r="I84" s="157" t="s">
        <v>567</v>
      </c>
    </row>
    <row r="85" spans="1:9" ht="30.75" customHeight="1">
      <c r="A85" s="162">
        <v>82</v>
      </c>
      <c r="B85" s="159" t="s">
        <v>568</v>
      </c>
      <c r="C85" s="160" t="str">
        <f t="shared" si="3"/>
        <v>82　その他の教育，学習支援業</v>
      </c>
      <c r="D85" s="163" t="s">
        <v>565</v>
      </c>
      <c r="E85" s="159" t="s">
        <v>568</v>
      </c>
      <c r="F85" s="159" t="str">
        <f t="shared" si="4"/>
        <v>150000　その他の教育，学習支援業</v>
      </c>
      <c r="G85" s="162" t="s">
        <v>569</v>
      </c>
      <c r="H85" s="159" t="str">
        <f t="shared" si="5"/>
        <v>150000管理，補助的経済活動を行う事業所（82その他の教育，学習支援業） </v>
      </c>
      <c r="I85" s="157" t="s">
        <v>570</v>
      </c>
    </row>
    <row r="86" spans="1:9" ht="30.75" customHeight="1">
      <c r="A86" s="162" t="s">
        <v>571</v>
      </c>
      <c r="B86" s="159" t="s">
        <v>572</v>
      </c>
      <c r="C86" s="160" t="str">
        <f t="shared" si="3"/>
        <v>83　医療業</v>
      </c>
      <c r="D86" s="163" t="s">
        <v>573</v>
      </c>
      <c r="E86" s="159" t="s">
        <v>572</v>
      </c>
      <c r="F86" s="159" t="str">
        <f t="shared" si="4"/>
        <v>140100　医療業</v>
      </c>
      <c r="G86" s="162" t="s">
        <v>574</v>
      </c>
      <c r="H86" s="159" t="str">
        <f t="shared" si="5"/>
        <v>140100管理，補助的経済活動を行う事業所（83医療業） </v>
      </c>
      <c r="I86" s="157" t="s">
        <v>575</v>
      </c>
    </row>
    <row r="87" spans="1:9" ht="30.75" customHeight="1">
      <c r="A87" s="162" t="s">
        <v>576</v>
      </c>
      <c r="B87" s="159" t="s">
        <v>577</v>
      </c>
      <c r="C87" s="160" t="str">
        <f t="shared" si="3"/>
        <v>84　保健衛生</v>
      </c>
      <c r="D87" s="163" t="s">
        <v>578</v>
      </c>
      <c r="E87" s="159" t="s">
        <v>577</v>
      </c>
      <c r="F87" s="159" t="str">
        <f t="shared" si="4"/>
        <v>140300　保健衛生</v>
      </c>
      <c r="G87" s="162" t="s">
        <v>579</v>
      </c>
      <c r="H87" s="159" t="str">
        <f t="shared" si="5"/>
        <v>140300管理，補助的経済活動を行う事業所（84保健衛生） </v>
      </c>
      <c r="I87" s="157" t="s">
        <v>580</v>
      </c>
    </row>
    <row r="88" spans="1:9" ht="30.75" customHeight="1">
      <c r="A88" s="162" t="s">
        <v>581</v>
      </c>
      <c r="B88" s="159" t="s">
        <v>582</v>
      </c>
      <c r="C88" s="160" t="str">
        <f t="shared" si="3"/>
        <v>85　社会保険・社会福祉・介護事業</v>
      </c>
      <c r="D88" s="163" t="s">
        <v>583</v>
      </c>
      <c r="E88" s="159" t="s">
        <v>582</v>
      </c>
      <c r="F88" s="159" t="str">
        <f t="shared" si="4"/>
        <v>140500　社会保険・社会福祉・介護事業</v>
      </c>
      <c r="G88" s="162" t="s">
        <v>584</v>
      </c>
      <c r="H88" s="159" t="str">
        <f t="shared" si="5"/>
        <v>140500管理，補助的経済活動を行う事業所（85社会保険・社会福祉・介護事業） </v>
      </c>
      <c r="I88" s="157" t="s">
        <v>585</v>
      </c>
    </row>
    <row r="89" spans="1:9" ht="30.75" customHeight="1">
      <c r="A89" s="162" t="s">
        <v>586</v>
      </c>
      <c r="B89" s="159" t="s">
        <v>587</v>
      </c>
      <c r="C89" s="160" t="str">
        <f t="shared" si="3"/>
        <v>86　郵便局</v>
      </c>
      <c r="D89" s="163" t="s">
        <v>588</v>
      </c>
      <c r="E89" s="159" t="s">
        <v>587</v>
      </c>
      <c r="F89" s="159" t="str">
        <f t="shared" si="4"/>
        <v>160000　郵便局</v>
      </c>
      <c r="G89" s="162" t="s">
        <v>589</v>
      </c>
      <c r="H89" s="159" t="str">
        <f t="shared" si="5"/>
        <v>160000管理，補助的経済活動を行う事業所（86郵便局） </v>
      </c>
      <c r="I89" s="157" t="s">
        <v>590</v>
      </c>
    </row>
    <row r="90" spans="1:9" ht="30.75" customHeight="1">
      <c r="A90" s="162" t="s">
        <v>591</v>
      </c>
      <c r="B90" s="159" t="s">
        <v>592</v>
      </c>
      <c r="C90" s="160" t="str">
        <f t="shared" si="3"/>
        <v>87　協同組合（他に分類されないもの）</v>
      </c>
      <c r="D90" s="163" t="s">
        <v>588</v>
      </c>
      <c r="E90" s="159" t="s">
        <v>592</v>
      </c>
      <c r="F90" s="159" t="str">
        <f t="shared" si="4"/>
        <v>160000　協同組合（他に分類されないもの）</v>
      </c>
      <c r="G90" s="162" t="s">
        <v>593</v>
      </c>
      <c r="H90" s="159" t="str">
        <f t="shared" si="5"/>
        <v>160000管理，補助的経済活動を行う事業所（87協同組合） </v>
      </c>
      <c r="I90" s="157" t="s">
        <v>594</v>
      </c>
    </row>
    <row r="91" spans="1:9" ht="30.75" customHeight="1">
      <c r="A91" s="162" t="s">
        <v>595</v>
      </c>
      <c r="B91" s="159" t="s">
        <v>596</v>
      </c>
      <c r="C91" s="160" t="str">
        <f t="shared" si="3"/>
        <v>88　廃棄物処理業</v>
      </c>
      <c r="D91" s="163" t="s">
        <v>597</v>
      </c>
      <c r="E91" s="159" t="s">
        <v>596</v>
      </c>
      <c r="F91" s="159" t="str">
        <f t="shared" si="4"/>
        <v>171100　廃棄物処理業</v>
      </c>
      <c r="G91" s="162" t="s">
        <v>598</v>
      </c>
      <c r="H91" s="159" t="str">
        <f t="shared" si="5"/>
        <v>171100管理，補助的経済活動を行う事業所（88廃棄物処理業） </v>
      </c>
      <c r="I91" s="157" t="s">
        <v>599</v>
      </c>
    </row>
    <row r="92" spans="1:9" ht="30.75" customHeight="1">
      <c r="A92" s="162" t="s">
        <v>600</v>
      </c>
      <c r="B92" s="159" t="s">
        <v>601</v>
      </c>
      <c r="C92" s="160" t="str">
        <f t="shared" si="3"/>
        <v>89　自動車整備業</v>
      </c>
      <c r="D92" s="163" t="s">
        <v>602</v>
      </c>
      <c r="E92" s="159" t="s">
        <v>601</v>
      </c>
      <c r="F92" s="159" t="str">
        <f t="shared" si="4"/>
        <v>171300　自動車整備業</v>
      </c>
      <c r="G92" s="162" t="s">
        <v>603</v>
      </c>
      <c r="H92" s="159" t="str">
        <f t="shared" si="5"/>
        <v>171300管理，補助的経済活動を行う事業所（89自動車整備業） </v>
      </c>
      <c r="I92" s="157" t="s">
        <v>604</v>
      </c>
    </row>
    <row r="93" spans="1:9" ht="30.75" customHeight="1">
      <c r="A93" s="162" t="s">
        <v>605</v>
      </c>
      <c r="B93" s="159" t="s">
        <v>606</v>
      </c>
      <c r="C93" s="160" t="str">
        <f t="shared" si="3"/>
        <v>90　機械等修理業（別掲を除く）</v>
      </c>
      <c r="D93" s="163" t="s">
        <v>607</v>
      </c>
      <c r="E93" s="159" t="s">
        <v>606</v>
      </c>
      <c r="F93" s="159" t="str">
        <f t="shared" si="4"/>
        <v>171500　機械等修理業（別掲を除く）</v>
      </c>
      <c r="G93" s="162" t="s">
        <v>608</v>
      </c>
      <c r="H93" s="159" t="str">
        <f t="shared" si="5"/>
        <v>171500管理，補助的経済活動を行う事業所（90機械等修理業） </v>
      </c>
      <c r="I93" s="157" t="s">
        <v>609</v>
      </c>
    </row>
    <row r="94" spans="1:9" ht="30.75" customHeight="1">
      <c r="A94" s="162">
        <v>91</v>
      </c>
      <c r="B94" s="165" t="s">
        <v>610</v>
      </c>
      <c r="C94" s="160" t="str">
        <f t="shared" si="3"/>
        <v>91　職業紹介・労働者派遣業</v>
      </c>
      <c r="D94" s="163" t="s">
        <v>611</v>
      </c>
      <c r="E94" s="159" t="s">
        <v>612</v>
      </c>
      <c r="F94" s="159" t="str">
        <f t="shared" si="4"/>
        <v>172100　その他の事業サービス業</v>
      </c>
      <c r="G94" s="162" t="s">
        <v>613</v>
      </c>
      <c r="H94" s="159" t="str">
        <f t="shared" si="5"/>
        <v>172100管理，補助的経済活動を行う事業所（91職業紹介・労働者派遣業） </v>
      </c>
      <c r="I94" s="157" t="s">
        <v>614</v>
      </c>
    </row>
    <row r="95" spans="1:9" ht="30.75" customHeight="1">
      <c r="A95" s="162" t="s">
        <v>615</v>
      </c>
      <c r="B95" s="159" t="s">
        <v>612</v>
      </c>
      <c r="C95" s="160" t="str">
        <f t="shared" si="3"/>
        <v>92　その他の事業サービス業</v>
      </c>
      <c r="D95" s="163" t="s">
        <v>611</v>
      </c>
      <c r="E95" s="159" t="s">
        <v>612</v>
      </c>
      <c r="F95" s="159" t="str">
        <f t="shared" si="4"/>
        <v>172100　その他の事業サービス業</v>
      </c>
      <c r="G95" s="162" t="s">
        <v>616</v>
      </c>
      <c r="H95" s="159" t="str">
        <f t="shared" si="5"/>
        <v>172100管理，補助的経済活動を行う事業所（92その他の事業サービス業） </v>
      </c>
      <c r="I95" s="157" t="s">
        <v>617</v>
      </c>
    </row>
    <row r="96" spans="1:9" ht="30.75" customHeight="1">
      <c r="A96" s="162" t="s">
        <v>618</v>
      </c>
      <c r="B96" s="159" t="s">
        <v>619</v>
      </c>
      <c r="C96" s="160" t="str">
        <f t="shared" si="3"/>
        <v>93　政治・経済・文化団体</v>
      </c>
      <c r="D96" s="163" t="s">
        <v>620</v>
      </c>
      <c r="E96" s="159" t="s">
        <v>619</v>
      </c>
      <c r="F96" s="159" t="str">
        <f t="shared" si="4"/>
        <v>172300　政治・経済・文化団体</v>
      </c>
      <c r="G96" s="162" t="s">
        <v>621</v>
      </c>
      <c r="H96" s="159" t="str">
        <f t="shared" si="5"/>
        <v>172300経済団体 </v>
      </c>
      <c r="I96" s="157" t="s">
        <v>622</v>
      </c>
    </row>
    <row r="97" spans="1:9" ht="30.75" customHeight="1">
      <c r="A97" s="162" t="s">
        <v>623</v>
      </c>
      <c r="B97" s="159" t="s">
        <v>624</v>
      </c>
      <c r="C97" s="160" t="str">
        <f t="shared" si="3"/>
        <v>94　宗教</v>
      </c>
      <c r="D97" s="163" t="s">
        <v>620</v>
      </c>
      <c r="E97" s="159" t="s">
        <v>624</v>
      </c>
      <c r="F97" s="159" t="str">
        <f t="shared" si="4"/>
        <v>172300　宗教</v>
      </c>
      <c r="G97" s="162" t="s">
        <v>625</v>
      </c>
      <c r="H97" s="159" t="str">
        <f t="shared" si="5"/>
        <v>172300神道系宗教 </v>
      </c>
      <c r="I97" s="157" t="s">
        <v>626</v>
      </c>
    </row>
    <row r="98" spans="1:9" ht="30.75" customHeight="1">
      <c r="A98" s="162" t="s">
        <v>627</v>
      </c>
      <c r="B98" s="159" t="s">
        <v>628</v>
      </c>
      <c r="C98" s="160" t="str">
        <f>CONCATENATE(A98,B98)</f>
        <v>95　その他のサービス業</v>
      </c>
      <c r="D98" s="163" t="s">
        <v>620</v>
      </c>
      <c r="E98" s="159" t="s">
        <v>628</v>
      </c>
      <c r="F98" s="159" t="str">
        <f>CONCATENATE(D98,E98)</f>
        <v>172300　その他のサービス業</v>
      </c>
      <c r="G98" s="162" t="s">
        <v>629</v>
      </c>
      <c r="H98" s="159" t="str">
        <f>CONCATENATE(D98,I98)</f>
        <v>172300管理，補助的経済活動を行う事業所（95その他のサービス業） </v>
      </c>
      <c r="I98" s="157" t="s">
        <v>630</v>
      </c>
    </row>
    <row r="99" spans="1:9" ht="30.75" customHeight="1">
      <c r="A99" s="162" t="s">
        <v>631</v>
      </c>
      <c r="B99" s="159" t="s">
        <v>632</v>
      </c>
      <c r="C99" s="160" t="str">
        <f>CONCATENATE(A99,B99)</f>
        <v>96　外国公務</v>
      </c>
      <c r="D99" s="163" t="s">
        <v>620</v>
      </c>
      <c r="E99" s="159" t="s">
        <v>632</v>
      </c>
      <c r="F99" s="159" t="str">
        <f>CONCATENATE(D99,E99)</f>
        <v>172300　外国公務</v>
      </c>
      <c r="G99" s="162" t="s">
        <v>633</v>
      </c>
      <c r="H99" s="159" t="str">
        <f>CONCATENATE(D99,I99)</f>
        <v>172300外国公館 </v>
      </c>
      <c r="I99" s="157" t="s">
        <v>634</v>
      </c>
    </row>
    <row r="100" spans="1:9" ht="30.75" customHeight="1">
      <c r="A100" s="162">
        <v>97</v>
      </c>
      <c r="B100" s="159" t="s">
        <v>635</v>
      </c>
      <c r="C100" s="160" t="str">
        <f>CONCATENATE(A100,B100)</f>
        <v>97　国家公務</v>
      </c>
      <c r="D100" s="163" t="s">
        <v>620</v>
      </c>
      <c r="E100" s="159" t="s">
        <v>635</v>
      </c>
      <c r="F100" s="159" t="str">
        <f>CONCATENATE(D100,E100)</f>
        <v>172300　国家公務</v>
      </c>
      <c r="G100" s="162" t="s">
        <v>636</v>
      </c>
      <c r="H100" s="159" t="str">
        <f>CONCATENATE(D100,I100)</f>
        <v>172300立法機関 </v>
      </c>
      <c r="I100" s="157" t="s">
        <v>637</v>
      </c>
    </row>
    <row r="101" spans="1:9" ht="30.75" customHeight="1">
      <c r="A101" s="162" t="s">
        <v>638</v>
      </c>
      <c r="B101" s="159" t="s">
        <v>639</v>
      </c>
      <c r="C101" s="160" t="str">
        <f>CONCATENATE(A101,B101)</f>
        <v>98　地方公務</v>
      </c>
      <c r="D101" s="163" t="s">
        <v>620</v>
      </c>
      <c r="E101" s="159" t="s">
        <v>639</v>
      </c>
      <c r="F101" s="159" t="str">
        <f>CONCATENATE(D101,E101)</f>
        <v>172300　地方公務</v>
      </c>
      <c r="G101" s="162" t="s">
        <v>640</v>
      </c>
      <c r="H101" s="159" t="str">
        <f>CONCATENATE(D101,I101)</f>
        <v>172300都道府県機関 </v>
      </c>
      <c r="I101" s="157" t="s">
        <v>641</v>
      </c>
    </row>
    <row r="102" spans="1:9" ht="30.75" customHeight="1">
      <c r="A102" s="162" t="s">
        <v>642</v>
      </c>
      <c r="B102" s="159" t="s">
        <v>643</v>
      </c>
      <c r="C102" s="160" t="str">
        <f>CONCATENATE(A102,B102)</f>
        <v>99分類不能の産業</v>
      </c>
      <c r="D102" s="163" t="s">
        <v>644</v>
      </c>
      <c r="E102" s="159" t="s">
        <v>643</v>
      </c>
      <c r="F102" s="159" t="str">
        <f>CONCATENATE(D102,E102)</f>
        <v>990000分類不能の産業</v>
      </c>
      <c r="G102" s="162" t="s">
        <v>645</v>
      </c>
      <c r="H102" s="159" t="str">
        <f>CONCATENATE(D102,I102)</f>
        <v>990000分類不能の産業 </v>
      </c>
      <c r="I102" s="157" t="s">
        <v>646</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I13" activeCellId="1" sqref="K33:M33 I13:M32"/>
      <selection pane="bottomLeft" activeCell="A1" sqref="A1"/>
    </sheetView>
  </sheetViews>
  <sheetFormatPr defaultColWidth="9.140625" defaultRowHeight="15"/>
  <cols>
    <col min="1" max="1" width="3.7109375" style="13" customWidth="1"/>
    <col min="2" max="4" width="3.7109375" style="8" customWidth="1"/>
    <col min="5" max="5" width="16.421875" style="402" customWidth="1"/>
    <col min="6" max="6" width="16.140625" style="396"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3" bestFit="1" customWidth="1"/>
    <col min="19" max="16384" width="9.00390625" style="8" customWidth="1"/>
  </cols>
  <sheetData>
    <row r="1" ht="13.5"/>
    <row r="2" ht="13.5">
      <c r="B2" s="802" t="s">
        <v>899</v>
      </c>
    </row>
    <row r="3" ht="13.5"/>
    <row r="4" spans="1:6" ht="13.5" customHeight="1">
      <c r="A4" s="972" t="s">
        <v>972</v>
      </c>
      <c r="B4" s="972"/>
      <c r="C4" s="972"/>
      <c r="D4" s="972"/>
      <c r="E4" s="972"/>
      <c r="F4" s="13"/>
    </row>
    <row r="5" spans="1:14" ht="13.5" customHeight="1">
      <c r="A5" s="80"/>
      <c r="B5" s="80"/>
      <c r="C5" s="80"/>
      <c r="D5" s="80"/>
      <c r="E5" s="430"/>
      <c r="F5" s="13"/>
      <c r="N5" s="80"/>
    </row>
    <row r="6" spans="1:14" ht="13.5" customHeight="1">
      <c r="A6" s="80"/>
      <c r="B6" s="80" t="s">
        <v>133</v>
      </c>
      <c r="C6" s="404" t="s">
        <v>33</v>
      </c>
      <c r="D6" s="80"/>
      <c r="E6" s="430"/>
      <c r="F6" s="405" t="s">
        <v>28</v>
      </c>
      <c r="N6" s="80"/>
    </row>
    <row r="7" spans="1:14" ht="13.5" customHeight="1">
      <c r="A7" s="80"/>
      <c r="B7" s="80"/>
      <c r="C7" s="80"/>
      <c r="D7" s="80"/>
      <c r="E7" s="430"/>
      <c r="F7" s="566" t="s">
        <v>835</v>
      </c>
      <c r="N7" s="80"/>
    </row>
    <row r="8" spans="1:15" ht="13.5" customHeight="1">
      <c r="A8" s="80"/>
      <c r="B8" s="80"/>
      <c r="C8" s="80"/>
      <c r="D8" s="80"/>
      <c r="E8" s="430"/>
      <c r="F8" s="13"/>
      <c r="M8" s="8" t="s">
        <v>37</v>
      </c>
      <c r="N8" s="80"/>
      <c r="O8" s="406"/>
    </row>
    <row r="9" spans="1:14" ht="13.5" customHeight="1">
      <c r="A9" s="80"/>
      <c r="F9" s="13"/>
      <c r="K9" s="9" t="s">
        <v>114</v>
      </c>
      <c r="L9" s="45" t="str">
        <f>IF('基本情報入力（使い方）'!$C$10="","",'基本情報入力（使い方）'!$C$10)</f>
        <v>Ｂ金属株式会社</v>
      </c>
      <c r="N9" s="80"/>
    </row>
    <row r="10" spans="1:14" ht="13.5" customHeight="1" thickBot="1">
      <c r="A10" s="80"/>
      <c r="F10" s="13"/>
      <c r="N10" s="80"/>
    </row>
    <row r="11" spans="1:17" ht="27" customHeight="1">
      <c r="A11" s="973" t="s">
        <v>13</v>
      </c>
      <c r="B11" s="960" t="s">
        <v>14</v>
      </c>
      <c r="C11" s="960"/>
      <c r="D11" s="961"/>
      <c r="E11" s="431" t="s">
        <v>15</v>
      </c>
      <c r="F11" s="10" t="s">
        <v>16</v>
      </c>
      <c r="G11" s="10" t="s">
        <v>17</v>
      </c>
      <c r="H11" s="399" t="s">
        <v>18</v>
      </c>
      <c r="I11" s="10" t="s">
        <v>7</v>
      </c>
      <c r="J11" s="10" t="s">
        <v>7</v>
      </c>
      <c r="K11" s="960" t="s">
        <v>19</v>
      </c>
      <c r="L11" s="961"/>
      <c r="M11" s="399" t="s">
        <v>795</v>
      </c>
      <c r="N11" s="962" t="s">
        <v>13</v>
      </c>
      <c r="O11" s="964" t="s">
        <v>132</v>
      </c>
      <c r="Q11" s="475" t="s">
        <v>796</v>
      </c>
    </row>
    <row r="12" spans="1:17" ht="42" customHeight="1" thickBot="1">
      <c r="A12" s="974"/>
      <c r="B12" s="409" t="s">
        <v>21</v>
      </c>
      <c r="C12" s="409" t="s">
        <v>22</v>
      </c>
      <c r="D12" s="410" t="s">
        <v>23</v>
      </c>
      <c r="E12" s="432"/>
      <c r="F12" s="412"/>
      <c r="G12" s="397"/>
      <c r="H12" s="11"/>
      <c r="I12" s="397" t="s">
        <v>24</v>
      </c>
      <c r="J12" s="397" t="s">
        <v>41</v>
      </c>
      <c r="K12" s="166" t="s">
        <v>25</v>
      </c>
      <c r="L12" s="11" t="s">
        <v>39</v>
      </c>
      <c r="M12" s="11" t="s">
        <v>26</v>
      </c>
      <c r="N12" s="963"/>
      <c r="O12" s="965"/>
      <c r="Q12" s="476" t="s">
        <v>794</v>
      </c>
    </row>
    <row r="13" spans="1:18" ht="30.75" customHeight="1">
      <c r="A13" s="831">
        <v>1</v>
      </c>
      <c r="B13" s="970">
        <v>42278</v>
      </c>
      <c r="C13" s="971"/>
      <c r="D13" s="971"/>
      <c r="E13" s="378" t="s">
        <v>909</v>
      </c>
      <c r="F13" s="379" t="s">
        <v>910</v>
      </c>
      <c r="G13" s="690">
        <v>1</v>
      </c>
      <c r="H13" s="680" t="s">
        <v>911</v>
      </c>
      <c r="I13" s="662">
        <f>IF(J13="","",ROUNDDOWN(J13*(1+O13/100),0))</f>
        <v>5400000</v>
      </c>
      <c r="J13" s="664">
        <v>5000000</v>
      </c>
      <c r="K13" s="662">
        <f>IF(L13="","",ROUNDDOWN(L13*(1+O13/100),0))</f>
        <v>5400000</v>
      </c>
      <c r="L13" s="662">
        <f>IF(OR(J13="",G13=""),"",ROUNDDOWN(J13*G13,0))</f>
        <v>5000000</v>
      </c>
      <c r="M13" s="663">
        <f>L13</f>
        <v>5000000</v>
      </c>
      <c r="N13" s="439">
        <f>IF(A13="","",A13)</f>
        <v>1</v>
      </c>
      <c r="O13" s="433">
        <v>8</v>
      </c>
      <c r="P13" s="8"/>
      <c r="Q13" s="477">
        <f>IF(M13="","",ROUNDDOWN(M13*2/3,0))</f>
        <v>3333333</v>
      </c>
      <c r="R13" s="8"/>
    </row>
    <row r="14" spans="1:18" ht="30.75" customHeight="1">
      <c r="A14" s="832"/>
      <c r="B14" s="966"/>
      <c r="C14" s="967"/>
      <c r="D14" s="967"/>
      <c r="E14" s="379"/>
      <c r="F14" s="379"/>
      <c r="G14" s="691"/>
      <c r="H14" s="680"/>
      <c r="I14" s="662">
        <f aca="true" t="shared" si="0" ref="I14:I32">IF(J14="","",ROUNDDOWN(J14*(1+O14/100),0))</f>
      </c>
      <c r="J14" s="664"/>
      <c r="K14" s="662">
        <f aca="true" t="shared" si="1" ref="K14:K32">IF(L14="","",ROUNDDOWN(L14*(1+O14/100),0))</f>
      </c>
      <c r="L14" s="662">
        <f aca="true" t="shared" si="2" ref="L14:L32">IF(OR(J14="",G14=""),"",ROUNDDOWN(J14*G14,0))</f>
      </c>
      <c r="M14" s="663">
        <f aca="true" t="shared" si="3" ref="M14:M32">L14</f>
      </c>
      <c r="N14" s="439"/>
      <c r="O14" s="433">
        <v>8</v>
      </c>
      <c r="Q14" s="477">
        <f>IF(M14="","",ROUNDDOWN(M14*2/3,0))</f>
      </c>
      <c r="R14" s="43"/>
    </row>
    <row r="15" spans="1:18" ht="30.75" customHeight="1">
      <c r="A15" s="831"/>
      <c r="B15" s="966"/>
      <c r="C15" s="967"/>
      <c r="D15" s="967"/>
      <c r="E15" s="380"/>
      <c r="F15" s="380"/>
      <c r="G15" s="690"/>
      <c r="H15" s="680"/>
      <c r="I15" s="662">
        <f t="shared" si="0"/>
      </c>
      <c r="J15" s="664"/>
      <c r="K15" s="662">
        <f t="shared" si="1"/>
      </c>
      <c r="L15" s="662">
        <f t="shared" si="2"/>
      </c>
      <c r="M15" s="663">
        <f t="shared" si="3"/>
      </c>
      <c r="N15" s="439"/>
      <c r="O15" s="433">
        <v>8</v>
      </c>
      <c r="P15" s="403"/>
      <c r="Q15" s="477">
        <f aca="true" t="shared" si="4" ref="Q15:Q32">IF(M15="","",ROUNDDOWN(M15*2/3,0))</f>
      </c>
      <c r="R15" s="43"/>
    </row>
    <row r="16" spans="1:18" s="77" customFormat="1" ht="30.75" customHeight="1">
      <c r="A16" s="832"/>
      <c r="B16" s="966"/>
      <c r="C16" s="967"/>
      <c r="D16" s="967"/>
      <c r="E16" s="380"/>
      <c r="F16" s="380"/>
      <c r="G16" s="690"/>
      <c r="H16" s="680"/>
      <c r="I16" s="662">
        <f t="shared" si="0"/>
      </c>
      <c r="J16" s="664"/>
      <c r="K16" s="662">
        <f t="shared" si="1"/>
      </c>
      <c r="L16" s="662">
        <f t="shared" si="2"/>
      </c>
      <c r="M16" s="663">
        <f t="shared" si="3"/>
      </c>
      <c r="N16" s="439"/>
      <c r="O16" s="433">
        <v>8</v>
      </c>
      <c r="P16" s="403"/>
      <c r="Q16" s="477">
        <f t="shared" si="4"/>
      </c>
      <c r="R16" s="43"/>
    </row>
    <row r="17" spans="1:18" ht="30.75" customHeight="1">
      <c r="A17" s="831"/>
      <c r="B17" s="966"/>
      <c r="C17" s="967"/>
      <c r="D17" s="967"/>
      <c r="E17" s="380"/>
      <c r="F17" s="380"/>
      <c r="G17" s="690"/>
      <c r="H17" s="680"/>
      <c r="I17" s="662">
        <f t="shared" si="0"/>
      </c>
      <c r="J17" s="664"/>
      <c r="K17" s="662">
        <f t="shared" si="1"/>
      </c>
      <c r="L17" s="662">
        <f t="shared" si="2"/>
      </c>
      <c r="M17" s="663">
        <f t="shared" si="3"/>
      </c>
      <c r="N17" s="439"/>
      <c r="O17" s="433">
        <v>8</v>
      </c>
      <c r="P17" s="403"/>
      <c r="Q17" s="477">
        <f t="shared" si="4"/>
      </c>
      <c r="R17" s="43"/>
    </row>
    <row r="18" spans="1:17" ht="30.75" customHeight="1">
      <c r="A18" s="832"/>
      <c r="B18" s="966"/>
      <c r="C18" s="967"/>
      <c r="D18" s="967"/>
      <c r="E18" s="380"/>
      <c r="F18" s="380"/>
      <c r="G18" s="690"/>
      <c r="H18" s="680"/>
      <c r="I18" s="662">
        <f t="shared" si="0"/>
      </c>
      <c r="J18" s="664"/>
      <c r="K18" s="662">
        <f t="shared" si="1"/>
      </c>
      <c r="L18" s="662">
        <f t="shared" si="2"/>
      </c>
      <c r="M18" s="663">
        <f t="shared" si="3"/>
      </c>
      <c r="N18" s="439"/>
      <c r="O18" s="433">
        <v>8</v>
      </c>
      <c r="P18" s="403"/>
      <c r="Q18" s="477">
        <f t="shared" si="4"/>
      </c>
    </row>
    <row r="19" spans="1:17" ht="30.75" customHeight="1">
      <c r="A19" s="831"/>
      <c r="B19" s="966"/>
      <c r="C19" s="967"/>
      <c r="D19" s="967"/>
      <c r="E19" s="380"/>
      <c r="F19" s="415"/>
      <c r="G19" s="690"/>
      <c r="H19" s="680"/>
      <c r="I19" s="662">
        <f t="shared" si="0"/>
      </c>
      <c r="J19" s="664"/>
      <c r="K19" s="662">
        <f t="shared" si="1"/>
      </c>
      <c r="L19" s="662">
        <f t="shared" si="2"/>
      </c>
      <c r="M19" s="663">
        <f t="shared" si="3"/>
      </c>
      <c r="N19" s="439"/>
      <c r="O19" s="433">
        <v>8</v>
      </c>
      <c r="P19" s="403"/>
      <c r="Q19" s="477">
        <f t="shared" si="4"/>
      </c>
    </row>
    <row r="20" spans="1:18" s="77" customFormat="1" ht="30.75" customHeight="1">
      <c r="A20" s="832"/>
      <c r="B20" s="966"/>
      <c r="C20" s="967"/>
      <c r="D20" s="967"/>
      <c r="E20" s="380"/>
      <c r="F20" s="380"/>
      <c r="G20" s="690"/>
      <c r="H20" s="680"/>
      <c r="I20" s="662">
        <f t="shared" si="0"/>
      </c>
      <c r="J20" s="664"/>
      <c r="K20" s="662">
        <f t="shared" si="1"/>
      </c>
      <c r="L20" s="662">
        <f t="shared" si="2"/>
      </c>
      <c r="M20" s="663">
        <f t="shared" si="3"/>
      </c>
      <c r="N20" s="441"/>
      <c r="O20" s="433">
        <v>8</v>
      </c>
      <c r="P20" s="442"/>
      <c r="Q20" s="477">
        <f t="shared" si="4"/>
      </c>
      <c r="R20" s="443"/>
    </row>
    <row r="21" spans="1:17" ht="30.75" customHeight="1">
      <c r="A21" s="831"/>
      <c r="B21" s="966"/>
      <c r="C21" s="967"/>
      <c r="D21" s="967"/>
      <c r="E21" s="380"/>
      <c r="F21" s="380"/>
      <c r="G21" s="690"/>
      <c r="H21" s="680"/>
      <c r="I21" s="662">
        <f t="shared" si="0"/>
      </c>
      <c r="J21" s="664"/>
      <c r="K21" s="662">
        <f t="shared" si="1"/>
      </c>
      <c r="L21" s="662">
        <f t="shared" si="2"/>
      </c>
      <c r="M21" s="663">
        <f t="shared" si="3"/>
      </c>
      <c r="N21" s="439"/>
      <c r="O21" s="433">
        <v>8</v>
      </c>
      <c r="Q21" s="477">
        <f t="shared" si="4"/>
      </c>
    </row>
    <row r="22" spans="1:17" ht="30.75" customHeight="1">
      <c r="A22" s="832"/>
      <c r="B22" s="966"/>
      <c r="C22" s="967"/>
      <c r="D22" s="967"/>
      <c r="E22" s="380"/>
      <c r="F22" s="380"/>
      <c r="G22" s="690"/>
      <c r="H22" s="680"/>
      <c r="I22" s="662">
        <f t="shared" si="0"/>
      </c>
      <c r="J22" s="664"/>
      <c r="K22" s="662">
        <f t="shared" si="1"/>
      </c>
      <c r="L22" s="662">
        <f t="shared" si="2"/>
      </c>
      <c r="M22" s="663">
        <f t="shared" si="3"/>
      </c>
      <c r="N22" s="439"/>
      <c r="O22" s="433">
        <v>8</v>
      </c>
      <c r="Q22" s="477">
        <f t="shared" si="4"/>
      </c>
    </row>
    <row r="23" spans="1:17" ht="30.75" customHeight="1">
      <c r="A23" s="831"/>
      <c r="B23" s="966"/>
      <c r="C23" s="967"/>
      <c r="D23" s="967"/>
      <c r="E23" s="380"/>
      <c r="F23" s="380"/>
      <c r="G23" s="690"/>
      <c r="H23" s="680"/>
      <c r="I23" s="662">
        <f t="shared" si="0"/>
      </c>
      <c r="J23" s="664"/>
      <c r="K23" s="662">
        <f t="shared" si="1"/>
      </c>
      <c r="L23" s="662">
        <f t="shared" si="2"/>
      </c>
      <c r="M23" s="663">
        <f t="shared" si="3"/>
      </c>
      <c r="N23" s="439"/>
      <c r="O23" s="433">
        <v>8</v>
      </c>
      <c r="Q23" s="477">
        <f t="shared" si="4"/>
      </c>
    </row>
    <row r="24" spans="1:17" ht="30.75" customHeight="1">
      <c r="A24" s="832"/>
      <c r="B24" s="966"/>
      <c r="C24" s="967"/>
      <c r="D24" s="967"/>
      <c r="E24" s="380"/>
      <c r="F24" s="380"/>
      <c r="G24" s="690"/>
      <c r="H24" s="680"/>
      <c r="I24" s="662">
        <f t="shared" si="0"/>
      </c>
      <c r="J24" s="664"/>
      <c r="K24" s="662">
        <f t="shared" si="1"/>
      </c>
      <c r="L24" s="662">
        <f t="shared" si="2"/>
      </c>
      <c r="M24" s="663">
        <f t="shared" si="3"/>
      </c>
      <c r="N24" s="439"/>
      <c r="O24" s="433">
        <v>8</v>
      </c>
      <c r="Q24" s="477">
        <f t="shared" si="4"/>
      </c>
    </row>
    <row r="25" spans="1:17" ht="30.75" customHeight="1">
      <c r="A25" s="831"/>
      <c r="B25" s="966"/>
      <c r="C25" s="967"/>
      <c r="D25" s="967"/>
      <c r="E25" s="380"/>
      <c r="F25" s="380"/>
      <c r="G25" s="690"/>
      <c r="H25" s="680"/>
      <c r="I25" s="662">
        <f t="shared" si="0"/>
      </c>
      <c r="J25" s="664"/>
      <c r="K25" s="662">
        <f t="shared" si="1"/>
      </c>
      <c r="L25" s="662">
        <f t="shared" si="2"/>
      </c>
      <c r="M25" s="663">
        <f t="shared" si="3"/>
      </c>
      <c r="N25" s="439"/>
      <c r="O25" s="433">
        <v>8</v>
      </c>
      <c r="Q25" s="477">
        <f t="shared" si="4"/>
      </c>
    </row>
    <row r="26" spans="1:17" ht="30.75" customHeight="1">
      <c r="A26" s="832"/>
      <c r="B26" s="966"/>
      <c r="C26" s="967"/>
      <c r="D26" s="967"/>
      <c r="E26" s="381"/>
      <c r="F26" s="380"/>
      <c r="G26" s="690"/>
      <c r="H26" s="680"/>
      <c r="I26" s="662">
        <f t="shared" si="0"/>
      </c>
      <c r="J26" s="664"/>
      <c r="K26" s="662">
        <f t="shared" si="1"/>
      </c>
      <c r="L26" s="662">
        <f t="shared" si="2"/>
      </c>
      <c r="M26" s="663">
        <f t="shared" si="3"/>
      </c>
      <c r="N26" s="439"/>
      <c r="O26" s="433">
        <v>8</v>
      </c>
      <c r="Q26" s="477">
        <f t="shared" si="4"/>
      </c>
    </row>
    <row r="27" spans="1:17" ht="30.75" customHeight="1">
      <c r="A27" s="831"/>
      <c r="B27" s="966"/>
      <c r="C27" s="967"/>
      <c r="D27" s="967"/>
      <c r="E27" s="381"/>
      <c r="F27" s="380"/>
      <c r="G27" s="690"/>
      <c r="H27" s="680"/>
      <c r="I27" s="662">
        <f t="shared" si="0"/>
      </c>
      <c r="J27" s="664"/>
      <c r="K27" s="662">
        <f t="shared" si="1"/>
      </c>
      <c r="L27" s="662">
        <f t="shared" si="2"/>
      </c>
      <c r="M27" s="663">
        <f t="shared" si="3"/>
      </c>
      <c r="N27" s="439"/>
      <c r="O27" s="433">
        <v>8</v>
      </c>
      <c r="Q27" s="477">
        <f t="shared" si="4"/>
      </c>
    </row>
    <row r="28" spans="1:17" ht="30.75" customHeight="1">
      <c r="A28" s="832"/>
      <c r="B28" s="966"/>
      <c r="C28" s="967"/>
      <c r="D28" s="967"/>
      <c r="E28" s="380"/>
      <c r="F28" s="380"/>
      <c r="G28" s="690"/>
      <c r="H28" s="680"/>
      <c r="I28" s="662">
        <f t="shared" si="0"/>
      </c>
      <c r="J28" s="664"/>
      <c r="K28" s="662">
        <f t="shared" si="1"/>
      </c>
      <c r="L28" s="662">
        <f t="shared" si="2"/>
      </c>
      <c r="M28" s="663">
        <f t="shared" si="3"/>
      </c>
      <c r="N28" s="439"/>
      <c r="O28" s="433">
        <v>8</v>
      </c>
      <c r="Q28" s="477">
        <f t="shared" si="4"/>
      </c>
    </row>
    <row r="29" spans="1:17" ht="30.75" customHeight="1">
      <c r="A29" s="831"/>
      <c r="B29" s="966"/>
      <c r="C29" s="967"/>
      <c r="D29" s="967"/>
      <c r="E29" s="380"/>
      <c r="F29" s="380"/>
      <c r="G29" s="690"/>
      <c r="H29" s="680"/>
      <c r="I29" s="662">
        <f t="shared" si="0"/>
      </c>
      <c r="J29" s="664"/>
      <c r="K29" s="662">
        <f t="shared" si="1"/>
      </c>
      <c r="L29" s="662">
        <f t="shared" si="2"/>
      </c>
      <c r="M29" s="663">
        <f t="shared" si="3"/>
      </c>
      <c r="N29" s="439"/>
      <c r="O29" s="433">
        <v>8</v>
      </c>
      <c r="Q29" s="477">
        <f t="shared" si="4"/>
      </c>
    </row>
    <row r="30" spans="1:17" ht="30.75" customHeight="1">
      <c r="A30" s="832"/>
      <c r="B30" s="966"/>
      <c r="C30" s="967"/>
      <c r="D30" s="967"/>
      <c r="E30" s="380"/>
      <c r="F30" s="380"/>
      <c r="G30" s="690"/>
      <c r="H30" s="680"/>
      <c r="I30" s="662">
        <f t="shared" si="0"/>
      </c>
      <c r="J30" s="664"/>
      <c r="K30" s="662">
        <f t="shared" si="1"/>
      </c>
      <c r="L30" s="662">
        <f t="shared" si="2"/>
      </c>
      <c r="M30" s="663">
        <f t="shared" si="3"/>
      </c>
      <c r="N30" s="439"/>
      <c r="O30" s="433">
        <v>8</v>
      </c>
      <c r="Q30" s="477">
        <f t="shared" si="4"/>
      </c>
    </row>
    <row r="31" spans="1:17" ht="30.75" customHeight="1">
      <c r="A31" s="831"/>
      <c r="B31" s="966"/>
      <c r="C31" s="967"/>
      <c r="D31" s="967"/>
      <c r="E31" s="381"/>
      <c r="F31" s="380"/>
      <c r="G31" s="690"/>
      <c r="H31" s="680"/>
      <c r="I31" s="662">
        <f t="shared" si="0"/>
      </c>
      <c r="J31" s="664"/>
      <c r="K31" s="662">
        <f t="shared" si="1"/>
      </c>
      <c r="L31" s="662">
        <f t="shared" si="2"/>
      </c>
      <c r="M31" s="663">
        <f t="shared" si="3"/>
      </c>
      <c r="N31" s="439"/>
      <c r="O31" s="433">
        <v>8</v>
      </c>
      <c r="Q31" s="477">
        <f t="shared" si="4"/>
      </c>
    </row>
    <row r="32" spans="1:17" ht="30.75" customHeight="1" thickBot="1">
      <c r="A32" s="833"/>
      <c r="B32" s="975"/>
      <c r="C32" s="976"/>
      <c r="D32" s="976"/>
      <c r="E32" s="384"/>
      <c r="F32" s="384"/>
      <c r="G32" s="692"/>
      <c r="H32" s="681"/>
      <c r="I32" s="667">
        <f t="shared" si="0"/>
      </c>
      <c r="J32" s="679"/>
      <c r="K32" s="665">
        <f t="shared" si="1"/>
      </c>
      <c r="L32" s="665">
        <f t="shared" si="2"/>
      </c>
      <c r="M32" s="667">
        <f t="shared" si="3"/>
      </c>
      <c r="N32" s="444"/>
      <c r="O32" s="434">
        <v>8</v>
      </c>
      <c r="Q32" s="478">
        <f t="shared" si="4"/>
      </c>
    </row>
    <row r="33" spans="1:18" ht="21" customHeight="1" thickBot="1">
      <c r="A33" s="968" t="s">
        <v>27</v>
      </c>
      <c r="B33" s="969"/>
      <c r="C33" s="969"/>
      <c r="D33" s="969"/>
      <c r="E33" s="969"/>
      <c r="F33" s="969"/>
      <c r="G33" s="969"/>
      <c r="H33" s="969"/>
      <c r="I33" s="969"/>
      <c r="J33" s="398"/>
      <c r="K33" s="674">
        <f>SUM(K13:K32)</f>
        <v>5400000</v>
      </c>
      <c r="L33" s="674">
        <f>SUM(L13:L32)</f>
        <v>5000000</v>
      </c>
      <c r="M33" s="675">
        <f>SUM(M13:M32)</f>
        <v>5000000</v>
      </c>
      <c r="N33" s="83"/>
      <c r="Q33" s="803">
        <f>SUM(Q13:Q32)</f>
        <v>3333333</v>
      </c>
      <c r="R33" s="806" t="s">
        <v>907</v>
      </c>
    </row>
    <row r="34" spans="1:20" ht="13.5" customHeight="1">
      <c r="A34" s="80"/>
      <c r="N34" s="80"/>
      <c r="R34" s="479"/>
      <c r="S34" s="480"/>
      <c r="T34" s="480"/>
    </row>
    <row r="35" spans="2:20" ht="13.5" customHeight="1">
      <c r="B35" s="8" t="s">
        <v>34</v>
      </c>
      <c r="D35" s="407"/>
      <c r="E35" s="396" t="s">
        <v>115</v>
      </c>
      <c r="H35" s="8"/>
      <c r="M35" s="418"/>
      <c r="N35" s="80"/>
      <c r="Q35" s="418"/>
      <c r="R35" s="479"/>
      <c r="S35" s="480"/>
      <c r="T35" s="480"/>
    </row>
    <row r="36" spans="1:20" s="396" customFormat="1" ht="13.5" customHeight="1">
      <c r="A36" s="13"/>
      <c r="B36" s="8"/>
      <c r="C36" s="8"/>
      <c r="D36" s="8"/>
      <c r="E36" s="396" t="s">
        <v>116</v>
      </c>
      <c r="G36" s="8"/>
      <c r="H36" s="8"/>
      <c r="I36" s="8"/>
      <c r="J36" s="8"/>
      <c r="K36" s="8"/>
      <c r="L36" s="8"/>
      <c r="N36" s="84"/>
      <c r="O36" s="13"/>
      <c r="P36" s="13"/>
      <c r="Q36" s="401"/>
      <c r="R36" s="479"/>
      <c r="S36" s="481"/>
      <c r="T36" s="481"/>
    </row>
    <row r="37" spans="1:20" s="396" customFormat="1" ht="13.5" customHeight="1">
      <c r="A37" s="13"/>
      <c r="B37" s="8" t="s">
        <v>35</v>
      </c>
      <c r="C37" s="8"/>
      <c r="D37" s="8"/>
      <c r="E37" s="396" t="s">
        <v>117</v>
      </c>
      <c r="G37" s="8"/>
      <c r="H37" s="8"/>
      <c r="I37" s="8"/>
      <c r="J37" s="8"/>
      <c r="K37" s="8"/>
      <c r="L37" s="8"/>
      <c r="M37" s="418"/>
      <c r="N37" s="13"/>
      <c r="O37" s="13"/>
      <c r="P37" s="13"/>
      <c r="Q37" s="418"/>
      <c r="R37" s="482"/>
      <c r="S37" s="481"/>
      <c r="T37" s="481"/>
    </row>
    <row r="38" spans="1:18" s="396" customFormat="1" ht="13.5" customHeight="1">
      <c r="A38" s="13"/>
      <c r="B38" s="8" t="s">
        <v>36</v>
      </c>
      <c r="C38" s="8"/>
      <c r="D38" s="8"/>
      <c r="E38" s="396" t="s">
        <v>118</v>
      </c>
      <c r="G38" s="8"/>
      <c r="H38" s="8"/>
      <c r="I38" s="8"/>
      <c r="J38" s="8"/>
      <c r="K38" s="8"/>
      <c r="L38" s="8"/>
      <c r="M38" s="418"/>
      <c r="N38" s="13"/>
      <c r="O38" s="13"/>
      <c r="P38" s="13"/>
      <c r="Q38" s="418"/>
      <c r="R38" s="321"/>
    </row>
    <row r="39" spans="13:17" ht="13.5">
      <c r="M39" s="75"/>
      <c r="Q39" s="75"/>
    </row>
  </sheetData>
  <sheetProtection sheet="1" objects="1" scenarios="1"/>
  <mergeCells count="27">
    <mergeCell ref="B28:D28"/>
    <mergeCell ref="B29:D29"/>
    <mergeCell ref="B30:D30"/>
    <mergeCell ref="B31:D31"/>
    <mergeCell ref="B32:D32"/>
    <mergeCell ref="B22:D22"/>
    <mergeCell ref="B23:D23"/>
    <mergeCell ref="B24:D24"/>
    <mergeCell ref="B25:D25"/>
    <mergeCell ref="B26:D26"/>
    <mergeCell ref="B27:D27"/>
    <mergeCell ref="A4:E4"/>
    <mergeCell ref="A11:A12"/>
    <mergeCell ref="B11:D11"/>
    <mergeCell ref="B15:D15"/>
    <mergeCell ref="B16:D16"/>
    <mergeCell ref="B17:D17"/>
    <mergeCell ref="K11:L11"/>
    <mergeCell ref="N11:N12"/>
    <mergeCell ref="O11:O12"/>
    <mergeCell ref="B14:D14"/>
    <mergeCell ref="A33:I33"/>
    <mergeCell ref="B18:D18"/>
    <mergeCell ref="B19:D19"/>
    <mergeCell ref="B20:D20"/>
    <mergeCell ref="B21:D21"/>
    <mergeCell ref="B13:D13"/>
  </mergeCells>
  <dataValidations count="4">
    <dataValidation allowBlank="1" showInputMessage="1" showErrorMessage="1" imeMode="halfAlpha" sqref="I13:M32 Q13:Q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E13" sqref="E13"/>
      <selection pane="bottomLeft" activeCell="A1" sqref="A1"/>
    </sheetView>
  </sheetViews>
  <sheetFormatPr defaultColWidth="9.140625" defaultRowHeight="15"/>
  <cols>
    <col min="1" max="1" width="3.7109375" style="13" customWidth="1"/>
    <col min="2" max="4" width="3.7109375" style="8" customWidth="1"/>
    <col min="5" max="5" width="16.421875" style="402" customWidth="1"/>
    <col min="6" max="6" width="16.140625" style="396"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3" bestFit="1" customWidth="1"/>
    <col min="19" max="16384" width="9.00390625" style="8" customWidth="1"/>
  </cols>
  <sheetData>
    <row r="1" ht="13.5"/>
    <row r="2" ht="13.5">
      <c r="B2" s="802" t="s">
        <v>899</v>
      </c>
    </row>
    <row r="3" ht="13.5"/>
    <row r="4" spans="1:6" ht="13.5" customHeight="1">
      <c r="A4" s="972" t="s">
        <v>973</v>
      </c>
      <c r="B4" s="972"/>
      <c r="C4" s="972"/>
      <c r="D4" s="972"/>
      <c r="E4" s="972"/>
      <c r="F4" s="13"/>
    </row>
    <row r="5" spans="1:14" ht="13.5" customHeight="1">
      <c r="A5" s="80"/>
      <c r="B5" s="80"/>
      <c r="C5" s="80"/>
      <c r="D5" s="80"/>
      <c r="E5" s="430"/>
      <c r="F5" s="13"/>
      <c r="N5" s="80"/>
    </row>
    <row r="6" spans="1:14" ht="13.5" customHeight="1">
      <c r="A6" s="80"/>
      <c r="B6" s="80" t="s">
        <v>29</v>
      </c>
      <c r="C6" s="404" t="s">
        <v>33</v>
      </c>
      <c r="D6" s="80"/>
      <c r="E6" s="430"/>
      <c r="F6" s="405" t="s">
        <v>28</v>
      </c>
      <c r="N6" s="80"/>
    </row>
    <row r="7" spans="1:14" ht="13.5" customHeight="1">
      <c r="A7" s="80"/>
      <c r="B7" s="80"/>
      <c r="C7" s="80"/>
      <c r="D7" s="80"/>
      <c r="E7" s="430"/>
      <c r="F7" s="566" t="s">
        <v>836</v>
      </c>
      <c r="N7" s="80"/>
    </row>
    <row r="8" spans="1:15" ht="13.5" customHeight="1">
      <c r="A8" s="80"/>
      <c r="B8" s="80"/>
      <c r="C8" s="80"/>
      <c r="D8" s="80"/>
      <c r="E8" s="430"/>
      <c r="F8" s="13"/>
      <c r="M8" s="8" t="s">
        <v>37</v>
      </c>
      <c r="N8" s="80"/>
      <c r="O8" s="406"/>
    </row>
    <row r="9" spans="1:14" ht="13.5" customHeight="1">
      <c r="A9" s="80"/>
      <c r="F9" s="13"/>
      <c r="K9" s="9" t="s">
        <v>114</v>
      </c>
      <c r="L9" s="45" t="str">
        <f>IF('基本情報入力（使い方）'!$C$10="","",'基本情報入力（使い方）'!$C$10)</f>
        <v>Ｂ金属株式会社</v>
      </c>
      <c r="N9" s="80"/>
    </row>
    <row r="10" spans="1:14" ht="13.5" customHeight="1" thickBot="1">
      <c r="A10" s="80"/>
      <c r="F10" s="13"/>
      <c r="N10" s="80"/>
    </row>
    <row r="11" spans="1:17" ht="27" customHeight="1">
      <c r="A11" s="973" t="s">
        <v>13</v>
      </c>
      <c r="B11" s="960" t="s">
        <v>14</v>
      </c>
      <c r="C11" s="960"/>
      <c r="D11" s="961"/>
      <c r="E11" s="431" t="s">
        <v>15</v>
      </c>
      <c r="F11" s="10" t="s">
        <v>16</v>
      </c>
      <c r="G11" s="10" t="s">
        <v>17</v>
      </c>
      <c r="H11" s="399" t="s">
        <v>18</v>
      </c>
      <c r="I11" s="10" t="s">
        <v>7</v>
      </c>
      <c r="J11" s="10" t="s">
        <v>7</v>
      </c>
      <c r="K11" s="960" t="s">
        <v>19</v>
      </c>
      <c r="L11" s="961"/>
      <c r="M11" s="399" t="s">
        <v>20</v>
      </c>
      <c r="N11" s="962" t="s">
        <v>13</v>
      </c>
      <c r="O11" s="964" t="s">
        <v>132</v>
      </c>
      <c r="Q11" s="475" t="s">
        <v>796</v>
      </c>
    </row>
    <row r="12" spans="1:17" ht="42" customHeight="1" thickBot="1">
      <c r="A12" s="974"/>
      <c r="B12" s="409" t="s">
        <v>21</v>
      </c>
      <c r="C12" s="409" t="s">
        <v>22</v>
      </c>
      <c r="D12" s="410" t="s">
        <v>23</v>
      </c>
      <c r="E12" s="432"/>
      <c r="F12" s="412"/>
      <c r="G12" s="397"/>
      <c r="H12" s="11"/>
      <c r="I12" s="397" t="s">
        <v>24</v>
      </c>
      <c r="J12" s="397" t="s">
        <v>41</v>
      </c>
      <c r="K12" s="166" t="s">
        <v>25</v>
      </c>
      <c r="L12" s="11" t="s">
        <v>39</v>
      </c>
      <c r="M12" s="11" t="s">
        <v>26</v>
      </c>
      <c r="N12" s="963"/>
      <c r="O12" s="965"/>
      <c r="Q12" s="476" t="s">
        <v>794</v>
      </c>
    </row>
    <row r="13" spans="1:18" ht="30.75" customHeight="1">
      <c r="A13" s="831">
        <v>2</v>
      </c>
      <c r="B13" s="966">
        <v>42292</v>
      </c>
      <c r="C13" s="967"/>
      <c r="D13" s="967"/>
      <c r="E13" s="378" t="s">
        <v>912</v>
      </c>
      <c r="F13" s="378" t="s">
        <v>913</v>
      </c>
      <c r="G13" s="694">
        <v>1</v>
      </c>
      <c r="H13" s="686" t="s">
        <v>911</v>
      </c>
      <c r="I13" s="670">
        <f aca="true" t="shared" si="0" ref="I13:I32">IF(J13="","",ROUNDDOWN(J13*(1+O13/100),0))</f>
        <v>432000</v>
      </c>
      <c r="J13" s="671">
        <v>400000</v>
      </c>
      <c r="K13" s="670">
        <f>IF(L13="","",ROUNDDOWN(L13*(1+O13/100),0))</f>
        <v>432000</v>
      </c>
      <c r="L13" s="670">
        <f>IF(OR(J13="",G13=""),"",ROUNDDOWN(J13*G13,0))</f>
        <v>400000</v>
      </c>
      <c r="M13" s="670">
        <f>L13</f>
        <v>400000</v>
      </c>
      <c r="N13" s="830">
        <f>IF(A13="","",A13)</f>
        <v>2</v>
      </c>
      <c r="O13" s="615">
        <v>8</v>
      </c>
      <c r="P13" s="8"/>
      <c r="Q13" s="477">
        <f>IF(M13="","",ROUNDDOWN(M13*2/3,0))</f>
        <v>266666</v>
      </c>
      <c r="R13" s="8"/>
    </row>
    <row r="14" spans="1:18" ht="30.75" customHeight="1">
      <c r="A14" s="832">
        <v>3</v>
      </c>
      <c r="B14" s="966">
        <v>42324</v>
      </c>
      <c r="C14" s="967"/>
      <c r="D14" s="967"/>
      <c r="E14" s="380" t="s">
        <v>914</v>
      </c>
      <c r="F14" s="380" t="s">
        <v>915</v>
      </c>
      <c r="G14" s="691">
        <v>1</v>
      </c>
      <c r="H14" s="687" t="s">
        <v>911</v>
      </c>
      <c r="I14" s="663">
        <f t="shared" si="0"/>
        <v>432000</v>
      </c>
      <c r="J14" s="678">
        <v>400000</v>
      </c>
      <c r="K14" s="663">
        <f aca="true" t="shared" si="1" ref="K14:K32">IF(L14="","",ROUNDDOWN(L14*(1+O14/100),0))</f>
        <v>432000</v>
      </c>
      <c r="L14" s="663">
        <f aca="true" t="shared" si="2" ref="L14:L32">IF(OR(J14="",G14=""),"",ROUNDDOWN(J14*G14,0))</f>
        <v>400000</v>
      </c>
      <c r="M14" s="663">
        <f aca="true" t="shared" si="3" ref="M14:M32">L14</f>
        <v>400000</v>
      </c>
      <c r="N14" s="829">
        <f>IF(A14="","",A14)</f>
        <v>3</v>
      </c>
      <c r="O14" s="616">
        <v>8</v>
      </c>
      <c r="Q14" s="477">
        <f>IF(M14="","",ROUNDDOWN(M14*2/3,0))</f>
        <v>266666</v>
      </c>
      <c r="R14" s="43"/>
    </row>
    <row r="15" spans="1:18" ht="30.75" customHeight="1">
      <c r="A15" s="831">
        <v>4</v>
      </c>
      <c r="B15" s="966">
        <v>42353</v>
      </c>
      <c r="C15" s="967"/>
      <c r="D15" s="967"/>
      <c r="E15" s="380" t="s">
        <v>914</v>
      </c>
      <c r="F15" s="380" t="s">
        <v>916</v>
      </c>
      <c r="G15" s="691">
        <v>1</v>
      </c>
      <c r="H15" s="687" t="s">
        <v>911</v>
      </c>
      <c r="I15" s="663">
        <f t="shared" si="0"/>
        <v>432000</v>
      </c>
      <c r="J15" s="678">
        <v>400000</v>
      </c>
      <c r="K15" s="663">
        <f t="shared" si="1"/>
        <v>432000</v>
      </c>
      <c r="L15" s="663">
        <f t="shared" si="2"/>
        <v>400000</v>
      </c>
      <c r="M15" s="663">
        <f t="shared" si="3"/>
        <v>400000</v>
      </c>
      <c r="N15" s="829">
        <f aca="true" t="shared" si="4" ref="N15:N32">IF(A15="","",A15)</f>
        <v>4</v>
      </c>
      <c r="O15" s="616">
        <v>8</v>
      </c>
      <c r="P15" s="403"/>
      <c r="Q15" s="477">
        <f aca="true" t="shared" si="5" ref="Q15:Q32">IF(M15="","",ROUNDDOWN(M15*2/3,0))</f>
        <v>266666</v>
      </c>
      <c r="R15" s="43"/>
    </row>
    <row r="16" spans="1:18" s="77" customFormat="1" ht="30.75" customHeight="1">
      <c r="A16" s="832"/>
      <c r="B16" s="966"/>
      <c r="C16" s="967"/>
      <c r="D16" s="967"/>
      <c r="E16" s="380"/>
      <c r="F16" s="380"/>
      <c r="G16" s="691"/>
      <c r="H16" s="687"/>
      <c r="I16" s="663">
        <f t="shared" si="0"/>
      </c>
      <c r="J16" s="678"/>
      <c r="K16" s="663">
        <f t="shared" si="1"/>
      </c>
      <c r="L16" s="663">
        <f t="shared" si="2"/>
      </c>
      <c r="M16" s="663">
        <f t="shared" si="3"/>
      </c>
      <c r="N16" s="829">
        <f t="shared" si="4"/>
      </c>
      <c r="O16" s="616">
        <v>8</v>
      </c>
      <c r="P16" s="403"/>
      <c r="Q16" s="477">
        <f t="shared" si="5"/>
      </c>
      <c r="R16" s="43"/>
    </row>
    <row r="17" spans="1:18" ht="30.75" customHeight="1">
      <c r="A17" s="831"/>
      <c r="B17" s="966"/>
      <c r="C17" s="967"/>
      <c r="D17" s="967"/>
      <c r="E17" s="380"/>
      <c r="F17" s="380"/>
      <c r="G17" s="691"/>
      <c r="H17" s="687"/>
      <c r="I17" s="663">
        <f t="shared" si="0"/>
      </c>
      <c r="J17" s="678"/>
      <c r="K17" s="663">
        <f t="shared" si="1"/>
      </c>
      <c r="L17" s="663">
        <f t="shared" si="2"/>
      </c>
      <c r="M17" s="663">
        <f t="shared" si="3"/>
      </c>
      <c r="N17" s="829">
        <f t="shared" si="4"/>
      </c>
      <c r="O17" s="616">
        <v>8</v>
      </c>
      <c r="P17" s="403"/>
      <c r="Q17" s="477">
        <f t="shared" si="5"/>
      </c>
      <c r="R17" s="43"/>
    </row>
    <row r="18" spans="1:17" ht="30.75" customHeight="1">
      <c r="A18" s="832"/>
      <c r="B18" s="966"/>
      <c r="C18" s="967"/>
      <c r="D18" s="967"/>
      <c r="E18" s="380"/>
      <c r="F18" s="380"/>
      <c r="G18" s="691"/>
      <c r="H18" s="687"/>
      <c r="I18" s="663">
        <f t="shared" si="0"/>
      </c>
      <c r="J18" s="678"/>
      <c r="K18" s="663">
        <f t="shared" si="1"/>
      </c>
      <c r="L18" s="663">
        <f t="shared" si="2"/>
      </c>
      <c r="M18" s="663">
        <f t="shared" si="3"/>
      </c>
      <c r="N18" s="829">
        <f t="shared" si="4"/>
      </c>
      <c r="O18" s="616">
        <v>8</v>
      </c>
      <c r="P18" s="403"/>
      <c r="Q18" s="477">
        <f t="shared" si="5"/>
      </c>
    </row>
    <row r="19" spans="1:17" ht="30.75" customHeight="1">
      <c r="A19" s="831"/>
      <c r="B19" s="966"/>
      <c r="C19" s="967"/>
      <c r="D19" s="967"/>
      <c r="E19" s="380"/>
      <c r="F19" s="380"/>
      <c r="G19" s="691"/>
      <c r="H19" s="687"/>
      <c r="I19" s="663">
        <f t="shared" si="0"/>
      </c>
      <c r="J19" s="678"/>
      <c r="K19" s="663">
        <f t="shared" si="1"/>
      </c>
      <c r="L19" s="663">
        <f t="shared" si="2"/>
      </c>
      <c r="M19" s="663">
        <f t="shared" si="3"/>
      </c>
      <c r="N19" s="829">
        <f t="shared" si="4"/>
      </c>
      <c r="O19" s="616">
        <v>8</v>
      </c>
      <c r="P19" s="403"/>
      <c r="Q19" s="477">
        <f t="shared" si="5"/>
      </c>
    </row>
    <row r="20" spans="1:18" s="77" customFormat="1" ht="30.75" customHeight="1">
      <c r="A20" s="832"/>
      <c r="B20" s="966"/>
      <c r="C20" s="967"/>
      <c r="D20" s="967"/>
      <c r="E20" s="380"/>
      <c r="F20" s="380"/>
      <c r="G20" s="691"/>
      <c r="H20" s="687"/>
      <c r="I20" s="663">
        <f t="shared" si="0"/>
      </c>
      <c r="J20" s="678"/>
      <c r="K20" s="663">
        <f t="shared" si="1"/>
      </c>
      <c r="L20" s="663">
        <f t="shared" si="2"/>
      </c>
      <c r="M20" s="663">
        <f t="shared" si="3"/>
      </c>
      <c r="N20" s="829">
        <f t="shared" si="4"/>
      </c>
      <c r="O20" s="616">
        <v>8</v>
      </c>
      <c r="P20" s="442"/>
      <c r="Q20" s="477">
        <f t="shared" si="5"/>
      </c>
      <c r="R20" s="443"/>
    </row>
    <row r="21" spans="1:17" ht="30.75" customHeight="1">
      <c r="A21" s="831"/>
      <c r="B21" s="966"/>
      <c r="C21" s="967"/>
      <c r="D21" s="967"/>
      <c r="E21" s="380"/>
      <c r="F21" s="380"/>
      <c r="G21" s="691"/>
      <c r="H21" s="687"/>
      <c r="I21" s="663">
        <f t="shared" si="0"/>
      </c>
      <c r="J21" s="678"/>
      <c r="K21" s="663">
        <f t="shared" si="1"/>
      </c>
      <c r="L21" s="663">
        <f t="shared" si="2"/>
      </c>
      <c r="M21" s="663">
        <f t="shared" si="3"/>
      </c>
      <c r="N21" s="829">
        <f t="shared" si="4"/>
      </c>
      <c r="O21" s="616">
        <v>8</v>
      </c>
      <c r="Q21" s="477">
        <f t="shared" si="5"/>
      </c>
    </row>
    <row r="22" spans="1:17" ht="30.75" customHeight="1">
      <c r="A22" s="832"/>
      <c r="B22" s="966"/>
      <c r="C22" s="967"/>
      <c r="D22" s="967"/>
      <c r="E22" s="380"/>
      <c r="F22" s="380"/>
      <c r="G22" s="690"/>
      <c r="H22" s="680"/>
      <c r="I22" s="662">
        <f t="shared" si="0"/>
      </c>
      <c r="J22" s="664"/>
      <c r="K22" s="662">
        <f t="shared" si="1"/>
      </c>
      <c r="L22" s="662">
        <f t="shared" si="2"/>
      </c>
      <c r="M22" s="663">
        <f t="shared" si="3"/>
      </c>
      <c r="N22" s="829">
        <f t="shared" si="4"/>
      </c>
      <c r="O22" s="433">
        <v>8</v>
      </c>
      <c r="Q22" s="477">
        <f t="shared" si="5"/>
      </c>
    </row>
    <row r="23" spans="1:17" ht="30.75" customHeight="1">
      <c r="A23" s="831"/>
      <c r="B23" s="966"/>
      <c r="C23" s="967"/>
      <c r="D23" s="967"/>
      <c r="E23" s="380"/>
      <c r="F23" s="380"/>
      <c r="G23" s="690"/>
      <c r="H23" s="680"/>
      <c r="I23" s="662">
        <f t="shared" si="0"/>
      </c>
      <c r="J23" s="664"/>
      <c r="K23" s="662">
        <f t="shared" si="1"/>
      </c>
      <c r="L23" s="662">
        <f t="shared" si="2"/>
      </c>
      <c r="M23" s="663">
        <f t="shared" si="3"/>
      </c>
      <c r="N23" s="829">
        <f t="shared" si="4"/>
      </c>
      <c r="O23" s="433">
        <v>8</v>
      </c>
      <c r="Q23" s="477">
        <f t="shared" si="5"/>
      </c>
    </row>
    <row r="24" spans="1:17" ht="30.75" customHeight="1">
      <c r="A24" s="832"/>
      <c r="B24" s="966"/>
      <c r="C24" s="967"/>
      <c r="D24" s="967"/>
      <c r="E24" s="380"/>
      <c r="F24" s="380"/>
      <c r="G24" s="690"/>
      <c r="H24" s="680"/>
      <c r="I24" s="662">
        <f t="shared" si="0"/>
      </c>
      <c r="J24" s="664"/>
      <c r="K24" s="662">
        <f t="shared" si="1"/>
      </c>
      <c r="L24" s="662">
        <f t="shared" si="2"/>
      </c>
      <c r="M24" s="663">
        <f t="shared" si="3"/>
      </c>
      <c r="N24" s="829">
        <f t="shared" si="4"/>
      </c>
      <c r="O24" s="433">
        <v>8</v>
      </c>
      <c r="Q24" s="477">
        <f t="shared" si="5"/>
      </c>
    </row>
    <row r="25" spans="1:17" ht="30.75" customHeight="1">
      <c r="A25" s="831"/>
      <c r="B25" s="966"/>
      <c r="C25" s="967"/>
      <c r="D25" s="967"/>
      <c r="E25" s="380"/>
      <c r="F25" s="380"/>
      <c r="G25" s="690"/>
      <c r="H25" s="680"/>
      <c r="I25" s="662">
        <f t="shared" si="0"/>
      </c>
      <c r="J25" s="664"/>
      <c r="K25" s="662">
        <f t="shared" si="1"/>
      </c>
      <c r="L25" s="662">
        <f t="shared" si="2"/>
      </c>
      <c r="M25" s="663">
        <f t="shared" si="3"/>
      </c>
      <c r="N25" s="829">
        <f t="shared" si="4"/>
      </c>
      <c r="O25" s="433">
        <v>8</v>
      </c>
      <c r="Q25" s="477">
        <f t="shared" si="5"/>
      </c>
    </row>
    <row r="26" spans="1:17" ht="30.75" customHeight="1">
      <c r="A26" s="832"/>
      <c r="B26" s="966"/>
      <c r="C26" s="967"/>
      <c r="D26" s="967"/>
      <c r="E26" s="381"/>
      <c r="F26" s="380"/>
      <c r="G26" s="690"/>
      <c r="H26" s="680"/>
      <c r="I26" s="662">
        <f t="shared" si="0"/>
      </c>
      <c r="J26" s="664"/>
      <c r="K26" s="662">
        <f t="shared" si="1"/>
      </c>
      <c r="L26" s="662">
        <f t="shared" si="2"/>
      </c>
      <c r="M26" s="663">
        <f t="shared" si="3"/>
      </c>
      <c r="N26" s="829">
        <f t="shared" si="4"/>
      </c>
      <c r="O26" s="433">
        <v>8</v>
      </c>
      <c r="Q26" s="477">
        <f t="shared" si="5"/>
      </c>
    </row>
    <row r="27" spans="1:17" ht="30.75" customHeight="1">
      <c r="A27" s="831"/>
      <c r="B27" s="966"/>
      <c r="C27" s="967"/>
      <c r="D27" s="967"/>
      <c r="E27" s="381"/>
      <c r="F27" s="380"/>
      <c r="G27" s="690"/>
      <c r="H27" s="680"/>
      <c r="I27" s="662">
        <f t="shared" si="0"/>
      </c>
      <c r="J27" s="664"/>
      <c r="K27" s="662">
        <f t="shared" si="1"/>
      </c>
      <c r="L27" s="662">
        <f t="shared" si="2"/>
      </c>
      <c r="M27" s="663">
        <f t="shared" si="3"/>
      </c>
      <c r="N27" s="829">
        <f t="shared" si="4"/>
      </c>
      <c r="O27" s="433">
        <v>8</v>
      </c>
      <c r="Q27" s="477">
        <f t="shared" si="5"/>
      </c>
    </row>
    <row r="28" spans="1:17" ht="30.75" customHeight="1">
      <c r="A28" s="832"/>
      <c r="B28" s="966"/>
      <c r="C28" s="967"/>
      <c r="D28" s="967"/>
      <c r="E28" s="380"/>
      <c r="F28" s="380"/>
      <c r="G28" s="690"/>
      <c r="H28" s="680"/>
      <c r="I28" s="662">
        <f t="shared" si="0"/>
      </c>
      <c r="J28" s="664"/>
      <c r="K28" s="662">
        <f t="shared" si="1"/>
      </c>
      <c r="L28" s="662">
        <f t="shared" si="2"/>
      </c>
      <c r="M28" s="663">
        <f t="shared" si="3"/>
      </c>
      <c r="N28" s="829">
        <f t="shared" si="4"/>
      </c>
      <c r="O28" s="433">
        <v>8</v>
      </c>
      <c r="Q28" s="477">
        <f t="shared" si="5"/>
      </c>
    </row>
    <row r="29" spans="1:17" ht="30.75" customHeight="1">
      <c r="A29" s="831"/>
      <c r="B29" s="966"/>
      <c r="C29" s="967"/>
      <c r="D29" s="967"/>
      <c r="E29" s="380"/>
      <c r="F29" s="380"/>
      <c r="G29" s="690"/>
      <c r="H29" s="680"/>
      <c r="I29" s="662">
        <f t="shared" si="0"/>
      </c>
      <c r="J29" s="664"/>
      <c r="K29" s="662">
        <f t="shared" si="1"/>
      </c>
      <c r="L29" s="662">
        <f t="shared" si="2"/>
      </c>
      <c r="M29" s="663">
        <f t="shared" si="3"/>
      </c>
      <c r="N29" s="829">
        <f t="shared" si="4"/>
      </c>
      <c r="O29" s="433">
        <v>8</v>
      </c>
      <c r="Q29" s="477">
        <f t="shared" si="5"/>
      </c>
    </row>
    <row r="30" spans="1:17" ht="30.75" customHeight="1">
      <c r="A30" s="832"/>
      <c r="B30" s="966"/>
      <c r="C30" s="967"/>
      <c r="D30" s="967"/>
      <c r="E30" s="380"/>
      <c r="F30" s="380"/>
      <c r="G30" s="690"/>
      <c r="H30" s="680"/>
      <c r="I30" s="662">
        <f t="shared" si="0"/>
      </c>
      <c r="J30" s="664"/>
      <c r="K30" s="662">
        <f t="shared" si="1"/>
      </c>
      <c r="L30" s="662">
        <f t="shared" si="2"/>
      </c>
      <c r="M30" s="663">
        <f t="shared" si="3"/>
      </c>
      <c r="N30" s="829">
        <f t="shared" si="4"/>
      </c>
      <c r="O30" s="433">
        <v>8</v>
      </c>
      <c r="Q30" s="477">
        <f t="shared" si="5"/>
      </c>
    </row>
    <row r="31" spans="1:17" ht="30.75" customHeight="1">
      <c r="A31" s="831"/>
      <c r="B31" s="966"/>
      <c r="C31" s="967"/>
      <c r="D31" s="967"/>
      <c r="E31" s="381"/>
      <c r="F31" s="380"/>
      <c r="G31" s="690"/>
      <c r="H31" s="680"/>
      <c r="I31" s="662">
        <f t="shared" si="0"/>
      </c>
      <c r="J31" s="664"/>
      <c r="K31" s="662">
        <f t="shared" si="1"/>
      </c>
      <c r="L31" s="662">
        <f t="shared" si="2"/>
      </c>
      <c r="M31" s="663">
        <f t="shared" si="3"/>
      </c>
      <c r="N31" s="829">
        <f t="shared" si="4"/>
      </c>
      <c r="O31" s="433">
        <v>8</v>
      </c>
      <c r="Q31" s="477">
        <f t="shared" si="5"/>
      </c>
    </row>
    <row r="32" spans="1:17" ht="30.75" customHeight="1" thickBot="1">
      <c r="A32" s="833"/>
      <c r="B32" s="975"/>
      <c r="C32" s="976"/>
      <c r="D32" s="976"/>
      <c r="E32" s="384"/>
      <c r="F32" s="384"/>
      <c r="G32" s="692"/>
      <c r="H32" s="681"/>
      <c r="I32" s="667">
        <f t="shared" si="0"/>
      </c>
      <c r="J32" s="679"/>
      <c r="K32" s="665">
        <f t="shared" si="1"/>
      </c>
      <c r="L32" s="665">
        <f t="shared" si="2"/>
      </c>
      <c r="M32" s="667">
        <f t="shared" si="3"/>
      </c>
      <c r="N32" s="828">
        <f t="shared" si="4"/>
      </c>
      <c r="O32" s="434">
        <v>8</v>
      </c>
      <c r="Q32" s="478">
        <f t="shared" si="5"/>
      </c>
    </row>
    <row r="33" spans="1:18" ht="21" customHeight="1" thickBot="1">
      <c r="A33" s="968" t="s">
        <v>27</v>
      </c>
      <c r="B33" s="969"/>
      <c r="C33" s="969"/>
      <c r="D33" s="969"/>
      <c r="E33" s="969"/>
      <c r="F33" s="969"/>
      <c r="G33" s="969"/>
      <c r="H33" s="969"/>
      <c r="I33" s="969"/>
      <c r="J33" s="398"/>
      <c r="K33" s="674">
        <f>SUM(K13:K32)</f>
        <v>1296000</v>
      </c>
      <c r="L33" s="674">
        <f>SUM(L13:L32)</f>
        <v>1200000</v>
      </c>
      <c r="M33" s="675">
        <f>SUM(M13:M32)</f>
        <v>1200000</v>
      </c>
      <c r="N33" s="83"/>
      <c r="Q33" s="803">
        <f>SUM(Q13:Q32)</f>
        <v>799998</v>
      </c>
      <c r="R33" s="807" t="s">
        <v>907</v>
      </c>
    </row>
    <row r="34" spans="1:18" ht="13.5" customHeight="1">
      <c r="A34" s="80"/>
      <c r="N34" s="80"/>
      <c r="R34" s="550"/>
    </row>
    <row r="35" spans="2:18" ht="13.5" customHeight="1">
      <c r="B35" s="8" t="s">
        <v>34</v>
      </c>
      <c r="D35" s="407"/>
      <c r="E35" s="396" t="s">
        <v>115</v>
      </c>
      <c r="H35" s="8"/>
      <c r="M35" s="418"/>
      <c r="N35" s="80"/>
      <c r="Q35" s="418"/>
      <c r="R35" s="550"/>
    </row>
    <row r="36" spans="1:24" s="396" customFormat="1" ht="13.5" customHeight="1">
      <c r="A36" s="13"/>
      <c r="B36" s="8"/>
      <c r="C36" s="8"/>
      <c r="D36" s="8"/>
      <c r="E36" s="396" t="s">
        <v>116</v>
      </c>
      <c r="G36" s="8"/>
      <c r="H36" s="8"/>
      <c r="I36" s="8"/>
      <c r="J36" s="8"/>
      <c r="K36" s="8"/>
      <c r="L36" s="8"/>
      <c r="N36" s="84"/>
      <c r="O36" s="13"/>
      <c r="P36" s="13"/>
      <c r="Q36" s="401"/>
      <c r="R36" s="550"/>
      <c r="S36" s="401"/>
      <c r="T36" s="401"/>
      <c r="U36" s="401"/>
      <c r="V36" s="401"/>
      <c r="W36" s="401"/>
      <c r="X36" s="401"/>
    </row>
    <row r="37" spans="1:24" s="396" customFormat="1" ht="13.5" customHeight="1">
      <c r="A37" s="13"/>
      <c r="B37" s="8" t="s">
        <v>35</v>
      </c>
      <c r="C37" s="8"/>
      <c r="D37" s="8"/>
      <c r="E37" s="396" t="s">
        <v>117</v>
      </c>
      <c r="G37" s="8"/>
      <c r="H37" s="8"/>
      <c r="I37" s="8"/>
      <c r="J37" s="8"/>
      <c r="K37" s="8"/>
      <c r="L37" s="8"/>
      <c r="M37" s="418"/>
      <c r="N37" s="13"/>
      <c r="O37" s="13"/>
      <c r="P37" s="13"/>
      <c r="Q37" s="418"/>
      <c r="R37" s="321"/>
      <c r="S37" s="401"/>
      <c r="T37" s="401"/>
      <c r="U37" s="401"/>
      <c r="V37" s="401"/>
      <c r="W37" s="401"/>
      <c r="X37" s="401"/>
    </row>
    <row r="38" spans="1:24" s="396" customFormat="1" ht="13.5" customHeight="1">
      <c r="A38" s="13"/>
      <c r="B38" s="8" t="s">
        <v>36</v>
      </c>
      <c r="C38" s="8"/>
      <c r="D38" s="8"/>
      <c r="E38" s="396" t="s">
        <v>118</v>
      </c>
      <c r="G38" s="8"/>
      <c r="H38" s="8"/>
      <c r="I38" s="8"/>
      <c r="J38" s="8"/>
      <c r="K38" s="8"/>
      <c r="L38" s="8"/>
      <c r="M38" s="418"/>
      <c r="N38" s="13"/>
      <c r="O38" s="13"/>
      <c r="P38" s="13"/>
      <c r="Q38" s="418"/>
      <c r="R38" s="321"/>
      <c r="S38" s="401"/>
      <c r="T38" s="401"/>
      <c r="U38" s="401"/>
      <c r="V38" s="401"/>
      <c r="W38" s="401"/>
      <c r="X38" s="401"/>
    </row>
    <row r="39" spans="13:17" ht="13.5">
      <c r="M39" s="75"/>
      <c r="Q39" s="75"/>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E13" sqref="E13"/>
      <selection pane="bottomLeft" activeCell="A1" sqref="A1"/>
    </sheetView>
  </sheetViews>
  <sheetFormatPr defaultColWidth="9.140625" defaultRowHeight="15"/>
  <cols>
    <col min="1" max="1" width="3.7109375" style="13" customWidth="1"/>
    <col min="2" max="4" width="3.7109375" style="8" customWidth="1"/>
    <col min="5" max="5" width="16.421875" style="402"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3"/>
      <c r="R1" s="403"/>
    </row>
    <row r="2" spans="2:18" ht="13.5">
      <c r="B2" s="802" t="s">
        <v>899</v>
      </c>
      <c r="H2" s="13"/>
      <c r="P2" s="13"/>
      <c r="Q2" s="403"/>
      <c r="R2" s="403"/>
    </row>
    <row r="3" spans="8:18" ht="13.5">
      <c r="H3" s="13"/>
      <c r="P3" s="13"/>
      <c r="Q3" s="403"/>
      <c r="R3" s="403"/>
    </row>
    <row r="4" spans="1:6" ht="13.5" customHeight="1">
      <c r="A4" s="972" t="s">
        <v>974</v>
      </c>
      <c r="B4" s="972"/>
      <c r="C4" s="972"/>
      <c r="D4" s="972"/>
      <c r="E4" s="972"/>
      <c r="F4" s="13"/>
    </row>
    <row r="5" spans="1:14" ht="13.5" customHeight="1">
      <c r="A5" s="80"/>
      <c r="B5" s="80"/>
      <c r="C5" s="80"/>
      <c r="D5" s="80"/>
      <c r="E5" s="430"/>
      <c r="F5" s="13"/>
      <c r="N5" s="80"/>
    </row>
    <row r="6" spans="1:14" ht="13.5" customHeight="1">
      <c r="A6" s="80"/>
      <c r="B6" s="80" t="s">
        <v>133</v>
      </c>
      <c r="C6" s="404" t="s">
        <v>33</v>
      </c>
      <c r="D6" s="80"/>
      <c r="E6" s="430"/>
      <c r="F6" s="405" t="s">
        <v>28</v>
      </c>
      <c r="N6" s="80"/>
    </row>
    <row r="7" spans="1:14" ht="13.5" customHeight="1">
      <c r="A7" s="80"/>
      <c r="B7" s="80"/>
      <c r="C7" s="80"/>
      <c r="D7" s="80"/>
      <c r="E7" s="430"/>
      <c r="F7" s="566" t="s">
        <v>40</v>
      </c>
      <c r="N7" s="80"/>
    </row>
    <row r="8" spans="1:15" ht="13.5" customHeight="1">
      <c r="A8" s="80"/>
      <c r="B8" s="80"/>
      <c r="C8" s="80"/>
      <c r="D8" s="80"/>
      <c r="E8" s="430"/>
      <c r="F8" s="13"/>
      <c r="M8" s="8" t="s">
        <v>37</v>
      </c>
      <c r="N8" s="80"/>
      <c r="O8" s="406"/>
    </row>
    <row r="9" spans="1:14" ht="13.5" customHeight="1">
      <c r="A9" s="80"/>
      <c r="F9" s="13"/>
      <c r="K9" s="9" t="s">
        <v>114</v>
      </c>
      <c r="L9" s="45" t="str">
        <f>IF('基本情報入力（使い方）'!$C$10="","",'基本情報入力（使い方）'!$C$10)</f>
        <v>Ｂ金属株式会社</v>
      </c>
      <c r="M9" s="9"/>
      <c r="N9" s="80"/>
    </row>
    <row r="10" spans="1:14" ht="13.5" customHeight="1" thickBot="1">
      <c r="A10" s="80"/>
      <c r="F10" s="13"/>
      <c r="N10" s="80"/>
    </row>
    <row r="11" spans="1:15" ht="27" customHeight="1">
      <c r="A11" s="973" t="s">
        <v>13</v>
      </c>
      <c r="B11" s="960" t="s">
        <v>14</v>
      </c>
      <c r="C11" s="960"/>
      <c r="D11" s="961"/>
      <c r="E11" s="431" t="s">
        <v>15</v>
      </c>
      <c r="F11" s="10" t="s">
        <v>16</v>
      </c>
      <c r="G11" s="10" t="s">
        <v>17</v>
      </c>
      <c r="H11" s="10" t="s">
        <v>18</v>
      </c>
      <c r="I11" s="10" t="s">
        <v>7</v>
      </c>
      <c r="J11" s="10" t="s">
        <v>7</v>
      </c>
      <c r="K11" s="977" t="s">
        <v>19</v>
      </c>
      <c r="L11" s="961"/>
      <c r="M11" s="399" t="s">
        <v>20</v>
      </c>
      <c r="N11" s="962" t="s">
        <v>13</v>
      </c>
      <c r="O11" s="964" t="s">
        <v>132</v>
      </c>
    </row>
    <row r="12" spans="1:15" ht="42" customHeight="1" thickBot="1">
      <c r="A12" s="974"/>
      <c r="B12" s="409" t="s">
        <v>21</v>
      </c>
      <c r="C12" s="409" t="s">
        <v>22</v>
      </c>
      <c r="D12" s="410" t="s">
        <v>23</v>
      </c>
      <c r="E12" s="432"/>
      <c r="F12" s="412"/>
      <c r="G12" s="397"/>
      <c r="H12" s="397"/>
      <c r="I12" s="397" t="s">
        <v>24</v>
      </c>
      <c r="J12" s="397" t="s">
        <v>41</v>
      </c>
      <c r="K12" s="397" t="s">
        <v>25</v>
      </c>
      <c r="L12" s="11" t="s">
        <v>39</v>
      </c>
      <c r="M12" s="11" t="s">
        <v>26</v>
      </c>
      <c r="N12" s="963"/>
      <c r="O12" s="965"/>
    </row>
    <row r="13" spans="1:15" ht="30.75" customHeight="1">
      <c r="A13" s="85">
        <v>1</v>
      </c>
      <c r="B13" s="966"/>
      <c r="C13" s="967"/>
      <c r="D13" s="967"/>
      <c r="E13" s="378" t="s">
        <v>917</v>
      </c>
      <c r="F13" s="379" t="s">
        <v>918</v>
      </c>
      <c r="G13" s="690">
        <v>20</v>
      </c>
      <c r="H13" s="680" t="s">
        <v>919</v>
      </c>
      <c r="I13" s="662">
        <f>IF(J13="","",ROUNDDOWN(J13*(1+O13/100),0))</f>
        <v>5140</v>
      </c>
      <c r="J13" s="664">
        <v>4760</v>
      </c>
      <c r="K13" s="662">
        <f>IF(L13="","",ROUNDDOWN(L13*(1+O13/100),0))</f>
        <v>102816</v>
      </c>
      <c r="L13" s="662">
        <f>IF(OR(J13="",G13=""),"",ROUNDDOWN(J13*G13,0))</f>
        <v>95200</v>
      </c>
      <c r="M13" s="662">
        <f aca="true" t="shared" si="0" ref="M13:M32">L13</f>
        <v>95200</v>
      </c>
      <c r="N13" s="81">
        <v>1</v>
      </c>
      <c r="O13" s="433">
        <v>8</v>
      </c>
    </row>
    <row r="14" spans="1:16" ht="30.75" customHeight="1">
      <c r="A14" s="86">
        <v>2</v>
      </c>
      <c r="B14" s="966"/>
      <c r="C14" s="967"/>
      <c r="D14" s="967"/>
      <c r="E14" s="379" t="s">
        <v>917</v>
      </c>
      <c r="F14" s="379" t="s">
        <v>920</v>
      </c>
      <c r="G14" s="691">
        <v>10</v>
      </c>
      <c r="H14" s="680" t="s">
        <v>921</v>
      </c>
      <c r="I14" s="662">
        <f aca="true" t="shared" si="1" ref="I14:I32">IF(J14="","",ROUNDDOWN(J14*(1+O14/100),0))</f>
        <v>3807</v>
      </c>
      <c r="J14" s="678">
        <v>3525</v>
      </c>
      <c r="K14" s="662">
        <f aca="true" t="shared" si="2" ref="K14:K32">IF(L14="","",ROUNDDOWN(L14*(1+O14/100),0))</f>
        <v>38070</v>
      </c>
      <c r="L14" s="663">
        <f aca="true" t="shared" si="3" ref="L14:L32">IF(OR(J14="",G14=""),"",ROUNDDOWN(J14*G14,0))</f>
        <v>35250</v>
      </c>
      <c r="M14" s="663">
        <f t="shared" si="0"/>
        <v>35250</v>
      </c>
      <c r="N14" s="82">
        <v>2</v>
      </c>
      <c r="O14" s="433">
        <v>8</v>
      </c>
      <c r="P14" s="406"/>
    </row>
    <row r="15" spans="1:16" ht="30.75" customHeight="1">
      <c r="A15" s="85">
        <v>3</v>
      </c>
      <c r="B15" s="966"/>
      <c r="C15" s="967"/>
      <c r="D15" s="967"/>
      <c r="E15" s="380" t="s">
        <v>917</v>
      </c>
      <c r="F15" s="380" t="s">
        <v>922</v>
      </c>
      <c r="G15" s="691">
        <v>10</v>
      </c>
      <c r="H15" s="680" t="s">
        <v>923</v>
      </c>
      <c r="I15" s="662">
        <f t="shared" si="1"/>
        <v>16200</v>
      </c>
      <c r="J15" s="678">
        <v>15000</v>
      </c>
      <c r="K15" s="662">
        <f t="shared" si="2"/>
        <v>162000</v>
      </c>
      <c r="L15" s="663">
        <f t="shared" si="3"/>
        <v>150000</v>
      </c>
      <c r="M15" s="663">
        <f t="shared" si="0"/>
        <v>150000</v>
      </c>
      <c r="N15" s="81">
        <v>3</v>
      </c>
      <c r="O15" s="433">
        <v>8</v>
      </c>
      <c r="P15" s="406"/>
    </row>
    <row r="16" spans="1:18" s="77" customFormat="1" ht="30.75" customHeight="1">
      <c r="A16" s="86">
        <v>4</v>
      </c>
      <c r="B16" s="966"/>
      <c r="C16" s="967"/>
      <c r="D16" s="967"/>
      <c r="E16" s="380"/>
      <c r="F16" s="380"/>
      <c r="G16" s="690"/>
      <c r="H16" s="680"/>
      <c r="I16" s="662">
        <f t="shared" si="1"/>
      </c>
      <c r="J16" s="678"/>
      <c r="K16" s="662">
        <f t="shared" si="2"/>
      </c>
      <c r="L16" s="663">
        <f t="shared" si="3"/>
      </c>
      <c r="M16" s="663">
        <f t="shared" si="0"/>
      </c>
      <c r="N16" s="82">
        <v>4</v>
      </c>
      <c r="O16" s="433">
        <v>8</v>
      </c>
      <c r="P16" s="406"/>
      <c r="Q16" s="8"/>
      <c r="R16" s="8"/>
    </row>
    <row r="17" spans="1:18" s="77" customFormat="1" ht="30.75" customHeight="1">
      <c r="A17" s="85">
        <v>5</v>
      </c>
      <c r="B17" s="966"/>
      <c r="C17" s="967"/>
      <c r="D17" s="967"/>
      <c r="E17" s="380"/>
      <c r="F17" s="380"/>
      <c r="G17" s="691"/>
      <c r="H17" s="680"/>
      <c r="I17" s="662">
        <f t="shared" si="1"/>
      </c>
      <c r="J17" s="678"/>
      <c r="K17" s="662">
        <f t="shared" si="2"/>
      </c>
      <c r="L17" s="663">
        <f t="shared" si="3"/>
      </c>
      <c r="M17" s="663">
        <f t="shared" si="0"/>
      </c>
      <c r="N17" s="81">
        <v>5</v>
      </c>
      <c r="O17" s="433">
        <v>8</v>
      </c>
      <c r="P17" s="8"/>
      <c r="Q17" s="8"/>
      <c r="R17" s="8"/>
    </row>
    <row r="18" spans="1:15" ht="30.75" customHeight="1">
      <c r="A18" s="86">
        <v>6</v>
      </c>
      <c r="B18" s="966"/>
      <c r="C18" s="967"/>
      <c r="D18" s="967"/>
      <c r="E18" s="381"/>
      <c r="F18" s="380"/>
      <c r="G18" s="691"/>
      <c r="H18" s="680"/>
      <c r="I18" s="662">
        <f t="shared" si="1"/>
      </c>
      <c r="J18" s="678"/>
      <c r="K18" s="662">
        <f t="shared" si="2"/>
      </c>
      <c r="L18" s="663">
        <f t="shared" si="3"/>
      </c>
      <c r="M18" s="663">
        <f t="shared" si="0"/>
      </c>
      <c r="N18" s="82">
        <v>6</v>
      </c>
      <c r="O18" s="433">
        <v>8</v>
      </c>
    </row>
    <row r="19" spans="1:15" ht="30.75" customHeight="1">
      <c r="A19" s="85">
        <v>7</v>
      </c>
      <c r="B19" s="966"/>
      <c r="C19" s="967"/>
      <c r="D19" s="967"/>
      <c r="E19" s="381"/>
      <c r="F19" s="380"/>
      <c r="G19" s="690"/>
      <c r="H19" s="687"/>
      <c r="I19" s="662">
        <f t="shared" si="1"/>
      </c>
      <c r="J19" s="678"/>
      <c r="K19" s="662">
        <f t="shared" si="2"/>
      </c>
      <c r="L19" s="663">
        <f t="shared" si="3"/>
      </c>
      <c r="M19" s="663">
        <f t="shared" si="0"/>
      </c>
      <c r="N19" s="81">
        <v>7</v>
      </c>
      <c r="O19" s="433">
        <v>8</v>
      </c>
    </row>
    <row r="20" spans="1:15" ht="30.75" customHeight="1">
      <c r="A20" s="86">
        <v>8</v>
      </c>
      <c r="B20" s="966"/>
      <c r="C20" s="967"/>
      <c r="D20" s="967"/>
      <c r="E20" s="381"/>
      <c r="F20" s="380"/>
      <c r="G20" s="691"/>
      <c r="H20" s="687"/>
      <c r="I20" s="662">
        <f t="shared" si="1"/>
      </c>
      <c r="J20" s="678"/>
      <c r="K20" s="662">
        <f t="shared" si="2"/>
      </c>
      <c r="L20" s="663">
        <f t="shared" si="3"/>
      </c>
      <c r="M20" s="663">
        <f t="shared" si="0"/>
      </c>
      <c r="N20" s="82">
        <v>8</v>
      </c>
      <c r="O20" s="433">
        <v>8</v>
      </c>
    </row>
    <row r="21" spans="1:15" ht="30.75" customHeight="1">
      <c r="A21" s="85">
        <v>9</v>
      </c>
      <c r="B21" s="966"/>
      <c r="C21" s="967"/>
      <c r="D21" s="967"/>
      <c r="E21" s="381"/>
      <c r="F21" s="380"/>
      <c r="G21" s="691"/>
      <c r="H21" s="687"/>
      <c r="I21" s="662">
        <f t="shared" si="1"/>
      </c>
      <c r="J21" s="678"/>
      <c r="K21" s="662">
        <f t="shared" si="2"/>
      </c>
      <c r="L21" s="663">
        <f t="shared" si="3"/>
      </c>
      <c r="M21" s="663">
        <f t="shared" si="0"/>
      </c>
      <c r="N21" s="81">
        <v>9</v>
      </c>
      <c r="O21" s="433">
        <v>8</v>
      </c>
    </row>
    <row r="22" spans="1:15" ht="30.75" customHeight="1">
      <c r="A22" s="86">
        <v>10</v>
      </c>
      <c r="B22" s="966"/>
      <c r="C22" s="967"/>
      <c r="D22" s="967"/>
      <c r="E22" s="381"/>
      <c r="F22" s="380"/>
      <c r="G22" s="690"/>
      <c r="H22" s="687"/>
      <c r="I22" s="662">
        <f t="shared" si="1"/>
      </c>
      <c r="J22" s="678"/>
      <c r="K22" s="662">
        <f t="shared" si="2"/>
      </c>
      <c r="L22" s="663">
        <f t="shared" si="3"/>
      </c>
      <c r="M22" s="663">
        <f t="shared" si="0"/>
      </c>
      <c r="N22" s="82">
        <v>10</v>
      </c>
      <c r="O22" s="433">
        <v>8</v>
      </c>
    </row>
    <row r="23" spans="1:15" ht="30.75" customHeight="1">
      <c r="A23" s="85">
        <v>11</v>
      </c>
      <c r="B23" s="966"/>
      <c r="C23" s="967"/>
      <c r="D23" s="967"/>
      <c r="E23" s="381"/>
      <c r="F23" s="380"/>
      <c r="G23" s="691"/>
      <c r="H23" s="687"/>
      <c r="I23" s="662">
        <f t="shared" si="1"/>
      </c>
      <c r="J23" s="678"/>
      <c r="K23" s="662">
        <f t="shared" si="2"/>
      </c>
      <c r="L23" s="663">
        <f t="shared" si="3"/>
      </c>
      <c r="M23" s="663">
        <f t="shared" si="0"/>
      </c>
      <c r="N23" s="81">
        <v>11</v>
      </c>
      <c r="O23" s="433">
        <v>8</v>
      </c>
    </row>
    <row r="24" spans="1:15" ht="30.75" customHeight="1">
      <c r="A24" s="86">
        <v>12</v>
      </c>
      <c r="B24" s="966"/>
      <c r="C24" s="967"/>
      <c r="D24" s="967"/>
      <c r="E24" s="381"/>
      <c r="F24" s="380"/>
      <c r="G24" s="691"/>
      <c r="H24" s="687"/>
      <c r="I24" s="662">
        <f t="shared" si="1"/>
      </c>
      <c r="J24" s="678"/>
      <c r="K24" s="662">
        <f t="shared" si="2"/>
      </c>
      <c r="L24" s="663">
        <f t="shared" si="3"/>
      </c>
      <c r="M24" s="663">
        <f t="shared" si="0"/>
      </c>
      <c r="N24" s="82">
        <v>12</v>
      </c>
      <c r="O24" s="433">
        <v>8</v>
      </c>
    </row>
    <row r="25" spans="1:15" ht="30.75" customHeight="1">
      <c r="A25" s="85">
        <v>13</v>
      </c>
      <c r="B25" s="966"/>
      <c r="C25" s="967"/>
      <c r="D25" s="967"/>
      <c r="E25" s="381"/>
      <c r="F25" s="380"/>
      <c r="G25" s="690"/>
      <c r="H25" s="687"/>
      <c r="I25" s="662">
        <f t="shared" si="1"/>
      </c>
      <c r="J25" s="678"/>
      <c r="K25" s="662">
        <f t="shared" si="2"/>
      </c>
      <c r="L25" s="663">
        <f t="shared" si="3"/>
      </c>
      <c r="M25" s="663">
        <f t="shared" si="0"/>
      </c>
      <c r="N25" s="81">
        <v>13</v>
      </c>
      <c r="O25" s="433">
        <v>8</v>
      </c>
    </row>
    <row r="26" spans="1:15" ht="30.75" customHeight="1">
      <c r="A26" s="86">
        <v>14</v>
      </c>
      <c r="B26" s="966"/>
      <c r="C26" s="967"/>
      <c r="D26" s="967"/>
      <c r="E26" s="381"/>
      <c r="F26" s="380"/>
      <c r="G26" s="691"/>
      <c r="H26" s="687"/>
      <c r="I26" s="662">
        <f t="shared" si="1"/>
      </c>
      <c r="J26" s="678"/>
      <c r="K26" s="662">
        <f t="shared" si="2"/>
      </c>
      <c r="L26" s="663">
        <f t="shared" si="3"/>
      </c>
      <c r="M26" s="663">
        <f t="shared" si="0"/>
      </c>
      <c r="N26" s="82">
        <v>14</v>
      </c>
      <c r="O26" s="433">
        <v>8</v>
      </c>
    </row>
    <row r="27" spans="1:15" ht="30.75" customHeight="1">
      <c r="A27" s="85">
        <v>15</v>
      </c>
      <c r="B27" s="966"/>
      <c r="C27" s="967"/>
      <c r="D27" s="967"/>
      <c r="E27" s="381"/>
      <c r="F27" s="380"/>
      <c r="G27" s="690"/>
      <c r="H27" s="687"/>
      <c r="I27" s="662">
        <f t="shared" si="1"/>
      </c>
      <c r="J27" s="678"/>
      <c r="K27" s="662">
        <f t="shared" si="2"/>
      </c>
      <c r="L27" s="663">
        <f t="shared" si="3"/>
      </c>
      <c r="M27" s="663">
        <f t="shared" si="0"/>
      </c>
      <c r="N27" s="81">
        <v>15</v>
      </c>
      <c r="O27" s="433">
        <v>8</v>
      </c>
    </row>
    <row r="28" spans="1:15" ht="30.75" customHeight="1">
      <c r="A28" s="86">
        <v>16</v>
      </c>
      <c r="B28" s="966"/>
      <c r="C28" s="967"/>
      <c r="D28" s="967"/>
      <c r="E28" s="381"/>
      <c r="F28" s="380"/>
      <c r="G28" s="691"/>
      <c r="H28" s="687"/>
      <c r="I28" s="662">
        <f t="shared" si="1"/>
      </c>
      <c r="J28" s="678"/>
      <c r="K28" s="662">
        <f t="shared" si="2"/>
      </c>
      <c r="L28" s="663">
        <f t="shared" si="3"/>
      </c>
      <c r="M28" s="663">
        <f t="shared" si="0"/>
      </c>
      <c r="N28" s="82">
        <v>16</v>
      </c>
      <c r="O28" s="433">
        <v>8</v>
      </c>
    </row>
    <row r="29" spans="1:15" ht="30.75" customHeight="1">
      <c r="A29" s="85">
        <v>17</v>
      </c>
      <c r="B29" s="966"/>
      <c r="C29" s="967"/>
      <c r="D29" s="967"/>
      <c r="E29" s="381"/>
      <c r="F29" s="380"/>
      <c r="G29" s="690"/>
      <c r="H29" s="687"/>
      <c r="I29" s="662">
        <f t="shared" si="1"/>
      </c>
      <c r="J29" s="678"/>
      <c r="K29" s="662">
        <f t="shared" si="2"/>
      </c>
      <c r="L29" s="663">
        <f t="shared" si="3"/>
      </c>
      <c r="M29" s="663">
        <f t="shared" si="0"/>
      </c>
      <c r="N29" s="81">
        <v>17</v>
      </c>
      <c r="O29" s="433">
        <v>8</v>
      </c>
    </row>
    <row r="30" spans="1:15" ht="30.75" customHeight="1">
      <c r="A30" s="86">
        <v>18</v>
      </c>
      <c r="B30" s="966"/>
      <c r="C30" s="967"/>
      <c r="D30" s="967"/>
      <c r="E30" s="382"/>
      <c r="F30" s="382"/>
      <c r="G30" s="695"/>
      <c r="H30" s="688"/>
      <c r="I30" s="662">
        <f t="shared" si="1"/>
      </c>
      <c r="J30" s="678"/>
      <c r="K30" s="662">
        <f t="shared" si="2"/>
      </c>
      <c r="L30" s="663">
        <f t="shared" si="3"/>
      </c>
      <c r="M30" s="663">
        <f t="shared" si="0"/>
      </c>
      <c r="N30" s="82">
        <v>18</v>
      </c>
      <c r="O30" s="433">
        <v>8</v>
      </c>
    </row>
    <row r="31" spans="1:15" ht="30.75" customHeight="1">
      <c r="A31" s="85">
        <v>19</v>
      </c>
      <c r="B31" s="966"/>
      <c r="C31" s="967"/>
      <c r="D31" s="967"/>
      <c r="E31" s="382"/>
      <c r="F31" s="382"/>
      <c r="G31" s="695"/>
      <c r="H31" s="688"/>
      <c r="I31" s="662">
        <f t="shared" si="1"/>
      </c>
      <c r="J31" s="678"/>
      <c r="K31" s="662">
        <f t="shared" si="2"/>
      </c>
      <c r="L31" s="663">
        <f t="shared" si="3"/>
      </c>
      <c r="M31" s="663">
        <f t="shared" si="0"/>
      </c>
      <c r="N31" s="81">
        <v>19</v>
      </c>
      <c r="O31" s="433">
        <v>8</v>
      </c>
    </row>
    <row r="32" spans="1:15" ht="30.75" customHeight="1" thickBot="1">
      <c r="A32" s="149">
        <v>20</v>
      </c>
      <c r="B32" s="975"/>
      <c r="C32" s="976"/>
      <c r="D32" s="976"/>
      <c r="E32" s="383"/>
      <c r="F32" s="383"/>
      <c r="G32" s="696"/>
      <c r="H32" s="689"/>
      <c r="I32" s="665">
        <f t="shared" si="1"/>
      </c>
      <c r="J32" s="679"/>
      <c r="K32" s="665">
        <f t="shared" si="2"/>
      </c>
      <c r="L32" s="667">
        <f t="shared" si="3"/>
      </c>
      <c r="M32" s="667">
        <f t="shared" si="0"/>
      </c>
      <c r="N32" s="150">
        <v>20</v>
      </c>
      <c r="O32" s="434">
        <v>8</v>
      </c>
    </row>
    <row r="33" spans="1:14" ht="21" customHeight="1" thickBot="1">
      <c r="A33" s="968" t="s">
        <v>27</v>
      </c>
      <c r="B33" s="969"/>
      <c r="C33" s="969"/>
      <c r="D33" s="969"/>
      <c r="E33" s="969"/>
      <c r="F33" s="969"/>
      <c r="G33" s="969"/>
      <c r="H33" s="969"/>
      <c r="I33" s="969"/>
      <c r="J33" s="398"/>
      <c r="K33" s="674">
        <f>SUM(K13:K32)</f>
        <v>302886</v>
      </c>
      <c r="L33" s="676">
        <f>SUM(L13:L32)</f>
        <v>280450</v>
      </c>
      <c r="M33" s="677">
        <f>SUM(M13:M32)</f>
        <v>280450</v>
      </c>
      <c r="N33" s="83"/>
    </row>
    <row r="34" spans="1:14" ht="13.5" customHeight="1">
      <c r="A34" s="80"/>
      <c r="N34" s="80"/>
    </row>
    <row r="35" spans="2:14" ht="13.5" customHeight="1">
      <c r="B35" s="8" t="s">
        <v>34</v>
      </c>
      <c r="D35" s="407"/>
      <c r="E35" s="396" t="s">
        <v>115</v>
      </c>
      <c r="N35" s="80"/>
    </row>
    <row r="36" spans="5:16" ht="13.5" customHeight="1">
      <c r="E36" s="396" t="s">
        <v>116</v>
      </c>
      <c r="N36" s="84"/>
      <c r="P36" s="396"/>
    </row>
    <row r="37" spans="2:16" ht="13.5" customHeight="1">
      <c r="B37" s="8" t="s">
        <v>35</v>
      </c>
      <c r="E37" s="396" t="s">
        <v>117</v>
      </c>
      <c r="P37" s="396"/>
    </row>
    <row r="38" spans="2:16" ht="13.5" customHeight="1">
      <c r="B38" s="8" t="s">
        <v>36</v>
      </c>
      <c r="E38" s="396" t="s">
        <v>118</v>
      </c>
      <c r="P38" s="396"/>
    </row>
    <row r="39" spans="1:16" s="396" customFormat="1" ht="13.5">
      <c r="A39" s="13"/>
      <c r="B39" s="8"/>
      <c r="C39" s="8"/>
      <c r="D39" s="8"/>
      <c r="E39" s="402"/>
      <c r="G39" s="8"/>
      <c r="H39" s="8"/>
      <c r="I39" s="8"/>
      <c r="J39" s="8"/>
      <c r="K39" s="8"/>
      <c r="L39" s="8"/>
      <c r="M39" s="8"/>
      <c r="N39" s="13"/>
      <c r="O39" s="13"/>
      <c r="P39" s="8"/>
    </row>
    <row r="40" spans="1:16" s="396" customFormat="1" ht="13.5">
      <c r="A40" s="13"/>
      <c r="B40" s="8"/>
      <c r="C40" s="8"/>
      <c r="D40" s="8"/>
      <c r="E40" s="402"/>
      <c r="G40" s="8"/>
      <c r="H40" s="8"/>
      <c r="I40" s="8"/>
      <c r="J40" s="8"/>
      <c r="K40" s="8"/>
      <c r="L40" s="8"/>
      <c r="M40" s="8"/>
      <c r="N40" s="13"/>
      <c r="O40" s="13"/>
      <c r="P40" s="8"/>
    </row>
    <row r="41" spans="1:16" s="396" customFormat="1" ht="13.5">
      <c r="A41" s="13"/>
      <c r="B41" s="8"/>
      <c r="C41" s="8"/>
      <c r="D41" s="8"/>
      <c r="E41" s="402"/>
      <c r="G41" s="8"/>
      <c r="H41" s="8"/>
      <c r="I41" s="8"/>
      <c r="J41" s="8"/>
      <c r="K41" s="8"/>
      <c r="L41" s="8"/>
      <c r="M41" s="8"/>
      <c r="N41" s="13"/>
      <c r="O41" s="13"/>
      <c r="P41" s="8"/>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2" customWidth="1"/>
    <col min="6" max="6" width="16.140625" style="396"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3"/>
      <c r="R1" s="403"/>
    </row>
    <row r="2" spans="1:18" ht="13.5">
      <c r="A2" s="13"/>
      <c r="B2" s="802" t="s">
        <v>899</v>
      </c>
      <c r="H2" s="13"/>
      <c r="Q2" s="403"/>
      <c r="R2" s="403"/>
    </row>
    <row r="3" spans="1:18" ht="13.5">
      <c r="A3" s="13"/>
      <c r="H3" s="13"/>
      <c r="Q3" s="403"/>
      <c r="R3" s="403"/>
    </row>
    <row r="4" spans="1:6" ht="13.5" customHeight="1">
      <c r="A4" s="972" t="s">
        <v>975</v>
      </c>
      <c r="B4" s="972"/>
      <c r="C4" s="972"/>
      <c r="D4" s="972"/>
      <c r="E4" s="972"/>
      <c r="F4" s="13"/>
    </row>
    <row r="5" spans="1:16" ht="13.5" customHeight="1">
      <c r="A5" s="80"/>
      <c r="B5" s="80"/>
      <c r="C5" s="80"/>
      <c r="D5" s="80"/>
      <c r="E5" s="430"/>
      <c r="F5" s="13"/>
      <c r="N5" s="80"/>
      <c r="P5" s="80"/>
    </row>
    <row r="6" spans="1:16" ht="13.5" customHeight="1">
      <c r="A6" s="80"/>
      <c r="B6" s="80" t="s">
        <v>29</v>
      </c>
      <c r="C6" s="404" t="s">
        <v>33</v>
      </c>
      <c r="D6" s="80"/>
      <c r="E6" s="430"/>
      <c r="F6" s="405" t="s">
        <v>28</v>
      </c>
      <c r="N6" s="80"/>
      <c r="P6" s="80"/>
    </row>
    <row r="7" spans="1:16" ht="13.5" customHeight="1">
      <c r="A7" s="80"/>
      <c r="B7" s="80"/>
      <c r="C7" s="80"/>
      <c r="D7" s="80"/>
      <c r="E7" s="430"/>
      <c r="F7" s="566" t="s">
        <v>59</v>
      </c>
      <c r="N7" s="80"/>
      <c r="P7" s="80"/>
    </row>
    <row r="8" spans="1:16" ht="13.5" customHeight="1">
      <c r="A8" s="80"/>
      <c r="B8" s="80"/>
      <c r="C8" s="80"/>
      <c r="D8" s="80"/>
      <c r="E8" s="430"/>
      <c r="F8" s="13"/>
      <c r="M8" s="8" t="s">
        <v>37</v>
      </c>
      <c r="N8" s="80"/>
      <c r="O8" s="406"/>
      <c r="P8" s="80"/>
    </row>
    <row r="9" spans="1:16" ht="13.5" customHeight="1">
      <c r="A9" s="407"/>
      <c r="F9" s="13"/>
      <c r="K9" s="9" t="s">
        <v>114</v>
      </c>
      <c r="L9" s="45" t="str">
        <f>IF('基本情報入力（使い方）'!$C$10="","",'基本情報入力（使い方）'!$C$10)</f>
        <v>Ｂ金属株式会社</v>
      </c>
      <c r="N9" s="80"/>
      <c r="P9" s="80"/>
    </row>
    <row r="10" spans="1:16" ht="13.5" customHeight="1" thickBot="1">
      <c r="A10" s="407"/>
      <c r="F10" s="13"/>
      <c r="N10" s="80"/>
      <c r="P10" s="80"/>
    </row>
    <row r="11" spans="1:16" ht="27" customHeight="1">
      <c r="A11" s="973" t="s">
        <v>13</v>
      </c>
      <c r="B11" s="960" t="s">
        <v>14</v>
      </c>
      <c r="C11" s="960"/>
      <c r="D11" s="961"/>
      <c r="E11" s="431" t="s">
        <v>15</v>
      </c>
      <c r="F11" s="10" t="s">
        <v>16</v>
      </c>
      <c r="G11" s="10" t="s">
        <v>17</v>
      </c>
      <c r="H11" s="10" t="s">
        <v>18</v>
      </c>
      <c r="I11" s="10" t="s">
        <v>7</v>
      </c>
      <c r="J11" s="10" t="s">
        <v>7</v>
      </c>
      <c r="K11" s="977" t="s">
        <v>19</v>
      </c>
      <c r="L11" s="961"/>
      <c r="M11" s="399" t="s">
        <v>20</v>
      </c>
      <c r="N11" s="962" t="s">
        <v>13</v>
      </c>
      <c r="O11" s="964" t="s">
        <v>132</v>
      </c>
      <c r="P11" s="422"/>
    </row>
    <row r="12" spans="1:16" ht="42" customHeight="1" thickBot="1">
      <c r="A12" s="974"/>
      <c r="B12" s="409" t="s">
        <v>21</v>
      </c>
      <c r="C12" s="409" t="s">
        <v>22</v>
      </c>
      <c r="D12" s="410" t="s">
        <v>23</v>
      </c>
      <c r="E12" s="432"/>
      <c r="F12" s="412"/>
      <c r="G12" s="397"/>
      <c r="H12" s="397"/>
      <c r="I12" s="397" t="s">
        <v>24</v>
      </c>
      <c r="J12" s="397" t="s">
        <v>41</v>
      </c>
      <c r="K12" s="397" t="s">
        <v>25</v>
      </c>
      <c r="L12" s="11" t="s">
        <v>39</v>
      </c>
      <c r="M12" s="11" t="s">
        <v>26</v>
      </c>
      <c r="N12" s="963"/>
      <c r="O12" s="965"/>
      <c r="P12" s="422"/>
    </row>
    <row r="13" spans="1:16" ht="30.75" customHeight="1">
      <c r="A13" s="85">
        <v>1</v>
      </c>
      <c r="B13" s="970"/>
      <c r="C13" s="971"/>
      <c r="D13" s="971"/>
      <c r="E13" s="378" t="s">
        <v>924</v>
      </c>
      <c r="F13" s="379" t="s">
        <v>925</v>
      </c>
      <c r="G13" s="690">
        <v>40</v>
      </c>
      <c r="H13" s="680" t="s">
        <v>841</v>
      </c>
      <c r="I13" s="662">
        <f>IF(J13="","",ROUNDDOWN(J13*(1+O13/100),0))</f>
        <v>58320</v>
      </c>
      <c r="J13" s="664">
        <v>54000</v>
      </c>
      <c r="K13" s="662">
        <f>IF(L13="","",ROUNDDOWN(L13*(1+O13/100),0))</f>
        <v>2332800</v>
      </c>
      <c r="L13" s="662">
        <f>IF(OR(J13="",G13=""),"",ROUNDDOWN(J13*G13,0))</f>
        <v>2160000</v>
      </c>
      <c r="M13" s="672">
        <f aca="true" t="shared" si="0" ref="M13:M32">L13</f>
        <v>2160000</v>
      </c>
      <c r="N13" s="425">
        <v>1</v>
      </c>
      <c r="O13" s="426">
        <v>8</v>
      </c>
      <c r="P13" s="8"/>
    </row>
    <row r="14" spans="1:16" ht="30.75" customHeight="1">
      <c r="A14" s="86">
        <v>2</v>
      </c>
      <c r="B14" s="966"/>
      <c r="C14" s="967"/>
      <c r="D14" s="967"/>
      <c r="E14" s="414"/>
      <c r="F14" s="380"/>
      <c r="G14" s="690"/>
      <c r="H14" s="680"/>
      <c r="I14" s="662">
        <f aca="true" t="shared" si="1" ref="I14:I32">IF(J14="","",ROUNDDOWN(J14*(1+O14/100),0))</f>
      </c>
      <c r="J14" s="664"/>
      <c r="K14" s="662">
        <f aca="true" t="shared" si="2" ref="K14:K32">IF(L14="","",ROUNDDOWN(L14*(1+O14/100),0))</f>
      </c>
      <c r="L14" s="662">
        <f aca="true" t="shared" si="3" ref="L14:L32">IF(OR(J14="",G14=""),"",ROUNDDOWN(J14*G14,0))</f>
      </c>
      <c r="M14" s="672">
        <f t="shared" si="0"/>
      </c>
      <c r="N14" s="427">
        <v>2</v>
      </c>
      <c r="O14" s="426">
        <v>8</v>
      </c>
      <c r="P14" s="422"/>
    </row>
    <row r="15" spans="1:16" ht="30.75" customHeight="1">
      <c r="A15" s="85">
        <v>3</v>
      </c>
      <c r="B15" s="966"/>
      <c r="C15" s="967"/>
      <c r="D15" s="967"/>
      <c r="E15" s="414"/>
      <c r="F15" s="380"/>
      <c r="G15" s="690"/>
      <c r="H15" s="680"/>
      <c r="I15" s="662">
        <f t="shared" si="1"/>
      </c>
      <c r="J15" s="664"/>
      <c r="K15" s="662">
        <f t="shared" si="2"/>
      </c>
      <c r="L15" s="662">
        <f t="shared" si="3"/>
      </c>
      <c r="M15" s="672">
        <f t="shared" si="0"/>
      </c>
      <c r="N15" s="425">
        <v>3</v>
      </c>
      <c r="O15" s="426">
        <v>8</v>
      </c>
      <c r="P15" s="422"/>
    </row>
    <row r="16" spans="1:16" s="77" customFormat="1" ht="30.75" customHeight="1">
      <c r="A16" s="440">
        <v>4</v>
      </c>
      <c r="B16" s="966"/>
      <c r="C16" s="967"/>
      <c r="D16" s="967"/>
      <c r="E16" s="414"/>
      <c r="F16" s="380"/>
      <c r="G16" s="690"/>
      <c r="H16" s="680"/>
      <c r="I16" s="662">
        <f t="shared" si="1"/>
      </c>
      <c r="J16" s="664"/>
      <c r="K16" s="662">
        <f t="shared" si="2"/>
      </c>
      <c r="L16" s="662">
        <f t="shared" si="3"/>
      </c>
      <c r="M16" s="672">
        <f t="shared" si="0"/>
      </c>
      <c r="N16" s="435">
        <v>4</v>
      </c>
      <c r="O16" s="426">
        <v>8</v>
      </c>
      <c r="P16" s="436"/>
    </row>
    <row r="17" spans="1:16" s="77" customFormat="1" ht="30.75" customHeight="1">
      <c r="A17" s="445">
        <v>5</v>
      </c>
      <c r="B17" s="966"/>
      <c r="C17" s="967"/>
      <c r="D17" s="967"/>
      <c r="E17" s="414"/>
      <c r="F17" s="380"/>
      <c r="G17" s="690"/>
      <c r="H17" s="680"/>
      <c r="I17" s="662">
        <f t="shared" si="1"/>
      </c>
      <c r="J17" s="664"/>
      <c r="K17" s="662">
        <f t="shared" si="2"/>
      </c>
      <c r="L17" s="662">
        <f t="shared" si="3"/>
      </c>
      <c r="M17" s="672">
        <f t="shared" si="0"/>
      </c>
      <c r="N17" s="437">
        <v>5</v>
      </c>
      <c r="O17" s="426">
        <v>8</v>
      </c>
      <c r="P17" s="436"/>
    </row>
    <row r="18" spans="1:16" ht="30.75" customHeight="1">
      <c r="A18" s="86">
        <v>6</v>
      </c>
      <c r="B18" s="966"/>
      <c r="C18" s="967"/>
      <c r="D18" s="967"/>
      <c r="E18" s="414"/>
      <c r="F18" s="380"/>
      <c r="G18" s="690"/>
      <c r="H18" s="680"/>
      <c r="I18" s="662">
        <f t="shared" si="1"/>
      </c>
      <c r="J18" s="664"/>
      <c r="K18" s="662">
        <f t="shared" si="2"/>
      </c>
      <c r="L18" s="662">
        <f t="shared" si="3"/>
      </c>
      <c r="M18" s="672">
        <f t="shared" si="0"/>
      </c>
      <c r="N18" s="427">
        <v>6</v>
      </c>
      <c r="O18" s="426">
        <v>8</v>
      </c>
      <c r="P18" s="422"/>
    </row>
    <row r="19" spans="1:16" ht="30.75" customHeight="1">
      <c r="A19" s="85">
        <v>7</v>
      </c>
      <c r="B19" s="966"/>
      <c r="C19" s="967"/>
      <c r="D19" s="967"/>
      <c r="E19" s="414"/>
      <c r="F19" s="415"/>
      <c r="G19" s="690"/>
      <c r="H19" s="680"/>
      <c r="I19" s="662">
        <f t="shared" si="1"/>
      </c>
      <c r="J19" s="664"/>
      <c r="K19" s="662">
        <f t="shared" si="2"/>
      </c>
      <c r="L19" s="662">
        <f t="shared" si="3"/>
      </c>
      <c r="M19" s="672">
        <f t="shared" si="0"/>
      </c>
      <c r="N19" s="425">
        <v>7</v>
      </c>
      <c r="O19" s="426">
        <v>8</v>
      </c>
      <c r="P19" s="422"/>
    </row>
    <row r="20" spans="1:16" ht="30.75" customHeight="1">
      <c r="A20" s="86">
        <v>8</v>
      </c>
      <c r="B20" s="966"/>
      <c r="C20" s="967"/>
      <c r="D20" s="967"/>
      <c r="E20" s="414"/>
      <c r="F20" s="380"/>
      <c r="G20" s="690"/>
      <c r="H20" s="680"/>
      <c r="I20" s="662">
        <f t="shared" si="1"/>
      </c>
      <c r="J20" s="664"/>
      <c r="K20" s="662">
        <f t="shared" si="2"/>
      </c>
      <c r="L20" s="662">
        <f t="shared" si="3"/>
      </c>
      <c r="M20" s="672">
        <f t="shared" si="0"/>
      </c>
      <c r="N20" s="427">
        <v>8</v>
      </c>
      <c r="O20" s="426">
        <v>8</v>
      </c>
      <c r="P20" s="422"/>
    </row>
    <row r="21" spans="1:16" ht="30.75" customHeight="1">
      <c r="A21" s="85">
        <v>9</v>
      </c>
      <c r="B21" s="966"/>
      <c r="C21" s="967"/>
      <c r="D21" s="967"/>
      <c r="E21" s="414"/>
      <c r="F21" s="380"/>
      <c r="G21" s="690"/>
      <c r="H21" s="680"/>
      <c r="I21" s="662">
        <f t="shared" si="1"/>
      </c>
      <c r="J21" s="664"/>
      <c r="K21" s="662">
        <f t="shared" si="2"/>
      </c>
      <c r="L21" s="662">
        <f t="shared" si="3"/>
      </c>
      <c r="M21" s="672">
        <f t="shared" si="0"/>
      </c>
      <c r="N21" s="425">
        <v>9</v>
      </c>
      <c r="O21" s="426">
        <v>8</v>
      </c>
      <c r="P21" s="422"/>
    </row>
    <row r="22" spans="1:16" ht="30.75" customHeight="1">
      <c r="A22" s="86">
        <v>10</v>
      </c>
      <c r="B22" s="966"/>
      <c r="C22" s="967"/>
      <c r="D22" s="967"/>
      <c r="E22" s="414"/>
      <c r="F22" s="380"/>
      <c r="G22" s="690"/>
      <c r="H22" s="680"/>
      <c r="I22" s="662">
        <f t="shared" si="1"/>
      </c>
      <c r="J22" s="664"/>
      <c r="K22" s="662">
        <f t="shared" si="2"/>
      </c>
      <c r="L22" s="662">
        <f t="shared" si="3"/>
      </c>
      <c r="M22" s="672">
        <f t="shared" si="0"/>
      </c>
      <c r="N22" s="427">
        <v>10</v>
      </c>
      <c r="O22" s="426">
        <v>8</v>
      </c>
      <c r="P22" s="422"/>
    </row>
    <row r="23" spans="1:16" ht="30.75" customHeight="1">
      <c r="A23" s="85">
        <v>11</v>
      </c>
      <c r="B23" s="966"/>
      <c r="C23" s="967"/>
      <c r="D23" s="967"/>
      <c r="E23" s="414"/>
      <c r="F23" s="380"/>
      <c r="G23" s="690"/>
      <c r="H23" s="680"/>
      <c r="I23" s="662">
        <f t="shared" si="1"/>
      </c>
      <c r="J23" s="664"/>
      <c r="K23" s="662">
        <f t="shared" si="2"/>
      </c>
      <c r="L23" s="662">
        <f t="shared" si="3"/>
      </c>
      <c r="M23" s="672">
        <f t="shared" si="0"/>
      </c>
      <c r="N23" s="425">
        <v>11</v>
      </c>
      <c r="O23" s="426">
        <v>8</v>
      </c>
      <c r="P23" s="422"/>
    </row>
    <row r="24" spans="1:16" ht="30.75" customHeight="1">
      <c r="A24" s="86">
        <v>12</v>
      </c>
      <c r="B24" s="966"/>
      <c r="C24" s="967"/>
      <c r="D24" s="967"/>
      <c r="E24" s="414"/>
      <c r="F24" s="380"/>
      <c r="G24" s="690"/>
      <c r="H24" s="680"/>
      <c r="I24" s="662">
        <f t="shared" si="1"/>
      </c>
      <c r="J24" s="664"/>
      <c r="K24" s="662">
        <f t="shared" si="2"/>
      </c>
      <c r="L24" s="662">
        <f t="shared" si="3"/>
      </c>
      <c r="M24" s="672">
        <f t="shared" si="0"/>
      </c>
      <c r="N24" s="427">
        <v>12</v>
      </c>
      <c r="O24" s="426">
        <v>8</v>
      </c>
      <c r="P24" s="422"/>
    </row>
    <row r="25" spans="1:16" ht="30.75" customHeight="1">
      <c r="A25" s="85">
        <v>13</v>
      </c>
      <c r="B25" s="966"/>
      <c r="C25" s="967"/>
      <c r="D25" s="967"/>
      <c r="E25" s="414"/>
      <c r="F25" s="380"/>
      <c r="G25" s="690"/>
      <c r="H25" s="680"/>
      <c r="I25" s="662">
        <f t="shared" si="1"/>
      </c>
      <c r="J25" s="664"/>
      <c r="K25" s="662">
        <f t="shared" si="2"/>
      </c>
      <c r="L25" s="662">
        <f t="shared" si="3"/>
      </c>
      <c r="M25" s="672">
        <f t="shared" si="0"/>
      </c>
      <c r="N25" s="425">
        <v>13</v>
      </c>
      <c r="O25" s="426">
        <v>8</v>
      </c>
      <c r="P25" s="422"/>
    </row>
    <row r="26" spans="1:16" ht="30.75" customHeight="1">
      <c r="A26" s="86">
        <v>14</v>
      </c>
      <c r="B26" s="966"/>
      <c r="C26" s="967"/>
      <c r="D26" s="967"/>
      <c r="E26" s="438"/>
      <c r="F26" s="380"/>
      <c r="G26" s="690"/>
      <c r="H26" s="680"/>
      <c r="I26" s="662">
        <f t="shared" si="1"/>
      </c>
      <c r="J26" s="664"/>
      <c r="K26" s="662">
        <f t="shared" si="2"/>
      </c>
      <c r="L26" s="662">
        <f t="shared" si="3"/>
      </c>
      <c r="M26" s="672">
        <f t="shared" si="0"/>
      </c>
      <c r="N26" s="427">
        <v>14</v>
      </c>
      <c r="O26" s="426">
        <v>8</v>
      </c>
      <c r="P26" s="422"/>
    </row>
    <row r="27" spans="1:16" ht="30.75" customHeight="1">
      <c r="A27" s="85">
        <v>15</v>
      </c>
      <c r="B27" s="966"/>
      <c r="C27" s="967"/>
      <c r="D27" s="967"/>
      <c r="E27" s="438"/>
      <c r="F27" s="380"/>
      <c r="G27" s="690"/>
      <c r="H27" s="680"/>
      <c r="I27" s="662">
        <f t="shared" si="1"/>
      </c>
      <c r="J27" s="664"/>
      <c r="K27" s="662">
        <f t="shared" si="2"/>
      </c>
      <c r="L27" s="662">
        <f t="shared" si="3"/>
      </c>
      <c r="M27" s="672">
        <f t="shared" si="0"/>
      </c>
      <c r="N27" s="425">
        <v>15</v>
      </c>
      <c r="O27" s="426">
        <v>8</v>
      </c>
      <c r="P27" s="422"/>
    </row>
    <row r="28" spans="1:16" ht="30.75" customHeight="1">
      <c r="A28" s="86">
        <v>16</v>
      </c>
      <c r="B28" s="966"/>
      <c r="C28" s="967"/>
      <c r="D28" s="967"/>
      <c r="E28" s="414"/>
      <c r="F28" s="380"/>
      <c r="G28" s="690"/>
      <c r="H28" s="680"/>
      <c r="I28" s="662">
        <f t="shared" si="1"/>
      </c>
      <c r="J28" s="664"/>
      <c r="K28" s="662">
        <f t="shared" si="2"/>
      </c>
      <c r="L28" s="662">
        <f t="shared" si="3"/>
      </c>
      <c r="M28" s="672">
        <f t="shared" si="0"/>
      </c>
      <c r="N28" s="427">
        <v>16</v>
      </c>
      <c r="O28" s="426">
        <v>8</v>
      </c>
      <c r="P28" s="422"/>
    </row>
    <row r="29" spans="1:16" ht="30.75" customHeight="1">
      <c r="A29" s="85">
        <v>17</v>
      </c>
      <c r="B29" s="966"/>
      <c r="C29" s="967"/>
      <c r="D29" s="967"/>
      <c r="E29" s="414"/>
      <c r="F29" s="380"/>
      <c r="G29" s="690"/>
      <c r="H29" s="680"/>
      <c r="I29" s="662">
        <f t="shared" si="1"/>
      </c>
      <c r="J29" s="664"/>
      <c r="K29" s="662">
        <f t="shared" si="2"/>
      </c>
      <c r="L29" s="662">
        <f t="shared" si="3"/>
      </c>
      <c r="M29" s="672">
        <f t="shared" si="0"/>
      </c>
      <c r="N29" s="425">
        <v>17</v>
      </c>
      <c r="O29" s="426">
        <v>8</v>
      </c>
      <c r="P29" s="422"/>
    </row>
    <row r="30" spans="1:16" ht="30.75" customHeight="1">
      <c r="A30" s="86">
        <v>18</v>
      </c>
      <c r="B30" s="966"/>
      <c r="C30" s="967"/>
      <c r="D30" s="967"/>
      <c r="E30" s="414"/>
      <c r="F30" s="380"/>
      <c r="G30" s="690"/>
      <c r="H30" s="680"/>
      <c r="I30" s="662">
        <f t="shared" si="1"/>
      </c>
      <c r="J30" s="664"/>
      <c r="K30" s="662">
        <f t="shared" si="2"/>
      </c>
      <c r="L30" s="662">
        <f t="shared" si="3"/>
      </c>
      <c r="M30" s="672">
        <f t="shared" si="0"/>
      </c>
      <c r="N30" s="427">
        <v>18</v>
      </c>
      <c r="O30" s="426">
        <v>8</v>
      </c>
      <c r="P30" s="422"/>
    </row>
    <row r="31" spans="1:16" ht="30.75" customHeight="1">
      <c r="A31" s="85">
        <v>19</v>
      </c>
      <c r="B31" s="966"/>
      <c r="C31" s="967"/>
      <c r="D31" s="967"/>
      <c r="E31" s="438"/>
      <c r="F31" s="380"/>
      <c r="G31" s="690"/>
      <c r="H31" s="680"/>
      <c r="I31" s="662">
        <f t="shared" si="1"/>
      </c>
      <c r="J31" s="664"/>
      <c r="K31" s="662">
        <f t="shared" si="2"/>
      </c>
      <c r="L31" s="662">
        <f t="shared" si="3"/>
      </c>
      <c r="M31" s="672">
        <f t="shared" si="0"/>
      </c>
      <c r="N31" s="425">
        <v>19</v>
      </c>
      <c r="O31" s="426">
        <v>8</v>
      </c>
      <c r="P31" s="422"/>
    </row>
    <row r="32" spans="1:16" ht="30.75" customHeight="1" thickBot="1">
      <c r="A32" s="149">
        <v>20</v>
      </c>
      <c r="B32" s="975"/>
      <c r="C32" s="976"/>
      <c r="D32" s="976"/>
      <c r="E32" s="417"/>
      <c r="F32" s="384"/>
      <c r="G32" s="693"/>
      <c r="H32" s="682"/>
      <c r="I32" s="665">
        <f t="shared" si="1"/>
      </c>
      <c r="J32" s="666"/>
      <c r="K32" s="665">
        <f t="shared" si="2"/>
      </c>
      <c r="L32" s="665">
        <f t="shared" si="3"/>
      </c>
      <c r="M32" s="673">
        <f t="shared" si="0"/>
      </c>
      <c r="N32" s="428">
        <v>20</v>
      </c>
      <c r="O32" s="429">
        <v>8</v>
      </c>
      <c r="P32" s="422"/>
    </row>
    <row r="33" spans="1:16" ht="21" customHeight="1" thickBot="1">
      <c r="A33" s="968" t="s">
        <v>27</v>
      </c>
      <c r="B33" s="969"/>
      <c r="C33" s="969"/>
      <c r="D33" s="969"/>
      <c r="E33" s="969"/>
      <c r="F33" s="969"/>
      <c r="G33" s="969"/>
      <c r="H33" s="969"/>
      <c r="I33" s="969"/>
      <c r="J33" s="398"/>
      <c r="K33" s="661">
        <f>SUM(K13:K32)</f>
        <v>2332800</v>
      </c>
      <c r="L33" s="674">
        <f>SUM(L13:L32)</f>
        <v>2160000</v>
      </c>
      <c r="M33" s="675">
        <f>SUM(M13:M32)</f>
        <v>2160000</v>
      </c>
      <c r="N33" s="83"/>
      <c r="P33" s="83"/>
    </row>
    <row r="34" spans="1:16" ht="13.5" customHeight="1">
      <c r="A34" s="407"/>
      <c r="N34" s="80"/>
      <c r="P34" s="80"/>
    </row>
    <row r="35" spans="2:16" ht="13.5" customHeight="1">
      <c r="B35" s="8" t="s">
        <v>34</v>
      </c>
      <c r="D35" s="407"/>
      <c r="E35" s="396" t="s">
        <v>115</v>
      </c>
      <c r="N35" s="80"/>
      <c r="P35" s="80"/>
    </row>
    <row r="36" spans="1:16" s="396" customFormat="1" ht="13.5" customHeight="1">
      <c r="A36" s="8"/>
      <c r="B36" s="8"/>
      <c r="C36" s="8"/>
      <c r="D36" s="8"/>
      <c r="E36" s="396" t="s">
        <v>116</v>
      </c>
      <c r="G36" s="8"/>
      <c r="H36" s="8"/>
      <c r="I36" s="8"/>
      <c r="J36" s="8"/>
      <c r="K36" s="8"/>
      <c r="L36" s="8"/>
      <c r="M36" s="8"/>
      <c r="N36" s="84"/>
      <c r="O36" s="13"/>
      <c r="P36" s="84"/>
    </row>
    <row r="37" spans="1:16" s="396" customFormat="1" ht="13.5" customHeight="1">
      <c r="A37" s="8"/>
      <c r="B37" s="8" t="s">
        <v>35</v>
      </c>
      <c r="C37" s="8"/>
      <c r="D37" s="8"/>
      <c r="E37" s="396" t="s">
        <v>117</v>
      </c>
      <c r="G37" s="8"/>
      <c r="H37" s="8"/>
      <c r="I37" s="8"/>
      <c r="J37" s="8"/>
      <c r="K37" s="8"/>
      <c r="L37" s="8"/>
      <c r="M37" s="8"/>
      <c r="N37" s="13"/>
      <c r="O37" s="13"/>
      <c r="P37" s="13"/>
    </row>
    <row r="38" spans="1:16" s="396" customFormat="1" ht="13.5" customHeight="1">
      <c r="A38" s="8"/>
      <c r="B38" s="8" t="s">
        <v>36</v>
      </c>
      <c r="C38" s="8"/>
      <c r="D38" s="8"/>
      <c r="E38" s="396" t="s">
        <v>118</v>
      </c>
      <c r="G38" s="8"/>
      <c r="H38" s="8"/>
      <c r="I38" s="8"/>
      <c r="J38" s="8"/>
      <c r="K38" s="8"/>
      <c r="L38" s="8"/>
      <c r="M38" s="8"/>
      <c r="N38" s="13"/>
      <c r="O38" s="13"/>
      <c r="P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2015-11-24T04:53:13Z</cp:lastPrinted>
  <dcterms:created xsi:type="dcterms:W3CDTF">2013-05-03T10:01:41Z</dcterms:created>
  <dcterms:modified xsi:type="dcterms:W3CDTF">2015-12-16T00:26:17Z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