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00" tabRatio="943" firstSheet="1" activeTab="2"/>
  </bookViews>
  <sheets>
    <sheet name="(４)経費明細表チェックリスト" sheetId="1" state="hidden" r:id="rId1"/>
    <sheet name="使い方" sheetId="2" r:id="rId2"/>
    <sheet name="様式第５の別紙　経費支出明細表" sheetId="3" r:id="rId3"/>
    <sheet name="原材料費" sheetId="4" r:id="rId4"/>
    <sheet name="機械装置費" sheetId="5" r:id="rId5"/>
    <sheet name="技術導入費" sheetId="6" r:id="rId6"/>
    <sheet name="外注加工費" sheetId="7" r:id="rId7"/>
    <sheet name="委託費" sheetId="8" r:id="rId8"/>
    <sheet name="知的財産権等関連経費" sheetId="9" r:id="rId9"/>
    <sheet name="運搬費" sheetId="10" r:id="rId10"/>
    <sheet name="専門家謝金" sheetId="11" r:id="rId11"/>
    <sheet name="専門家旅費" sheetId="12" r:id="rId12"/>
    <sheet name="雑役務費" sheetId="13" r:id="rId13"/>
    <sheet name="対象者一覧表" sheetId="14" state="hidden" r:id="rId14"/>
    <sheet name="総労働時間算定表(1)" sheetId="15" state="hidden" r:id="rId15"/>
    <sheet name="総労働時間算定表(2)" sheetId="16" state="hidden" r:id="rId16"/>
    <sheet name="様式第６の別紙２　直接人件費支出明細書(1)" sheetId="17" r:id="rId17"/>
    <sheet name="様式第６の別紙２　直接人件費支出明細書(2)" sheetId="18" r:id="rId18"/>
    <sheet name="賃金台帳(1)" sheetId="19" state="hidden" r:id="rId19"/>
    <sheet name="賃金台帳(2)" sheetId="20" state="hidden" r:id="rId20"/>
    <sheet name="賃金台帳(3)" sheetId="21" state="hidden" r:id="rId21"/>
    <sheet name="賃金台帳(4)" sheetId="22" state="hidden" r:id="rId22"/>
    <sheet name="賃金台帳(5)" sheetId="23" state="hidden" r:id="rId23"/>
    <sheet name="賃金台帳(6)" sheetId="24" state="hidden" r:id="rId24"/>
    <sheet name="賃金台帳(7)" sheetId="25" state="hidden" r:id="rId25"/>
    <sheet name="賃金台帳(8)" sheetId="26" state="hidden" r:id="rId26"/>
    <sheet name="賃金台帳(9)" sheetId="27" state="hidden" r:id="rId27"/>
    <sheet name="賃金台帳(10)" sheetId="28" state="hidden" r:id="rId28"/>
    <sheet name="賃金台帳(11)" sheetId="29" state="hidden" r:id="rId29"/>
    <sheet name="賃金台帳(12)" sheetId="30" state="hidden" r:id="rId30"/>
    <sheet name="2309" sheetId="31" state="hidden" r:id="rId31"/>
    <sheet name="2409" sheetId="32" state="hidden" r:id="rId32"/>
    <sheet name="2509" sheetId="33" state="hidden" r:id="rId33"/>
  </sheets>
  <externalReferences>
    <externalReference r:id="rId36"/>
  </externalReferences>
  <definedNames>
    <definedName name="_xlfn.IFERROR" hidden="1">#NAME?</definedName>
    <definedName name="_xlfn.SUMIFS" hidden="1">#NAME?</definedName>
    <definedName name="_xlnm.Print_Area" localSheetId="0">'(４)経費明細表チェックリスト'!$B$1:$N$31</definedName>
    <definedName name="_xlnm.Print_Area" localSheetId="30">'2309'!$A$1:$Z$86</definedName>
    <definedName name="_xlnm.Print_Area" localSheetId="31">'2409'!$A$1:$N$86</definedName>
    <definedName name="_xlnm.Print_Area" localSheetId="32">'2509'!$A$1:$Z$86</definedName>
    <definedName name="_xlnm.Print_Area" localSheetId="7">'委託費'!$A$1:$O$35</definedName>
    <definedName name="_xlnm.Print_Area" localSheetId="9">'運搬費'!$A$1:$O$35</definedName>
    <definedName name="_xlnm.Print_Area" localSheetId="6">'外注加工費'!$A$1:$O$35</definedName>
    <definedName name="_xlnm.Print_Area" localSheetId="4">'機械装置費'!$A$1:$O$35</definedName>
    <definedName name="_xlnm.Print_Area" localSheetId="5">'技術導入費'!$A$1:$O$35</definedName>
    <definedName name="_xlnm.Print_Area" localSheetId="3">'原材料費'!$A$1:$O$35</definedName>
    <definedName name="_xlnm.Print_Area" localSheetId="12">'雑役務費'!$A$1:$N$35</definedName>
    <definedName name="_xlnm.Print_Area" localSheetId="1">'使い方'!$A$1:$M$84</definedName>
    <definedName name="_xlnm.Print_Area" localSheetId="10">'専門家謝金'!$A$1:$O$35</definedName>
    <definedName name="_xlnm.Print_Area" localSheetId="11">'専門家旅費'!$A$1:$O$35</definedName>
    <definedName name="_xlnm.Print_Area" localSheetId="13">'対象者一覧表'!$B$1:$H$39</definedName>
    <definedName name="_xlnm.Print_Area" localSheetId="8">'知的財産権等関連経費'!$A$1:$O$35</definedName>
    <definedName name="_xlnm.Print_Area" localSheetId="18">'賃金台帳(1)'!$A$1:$Y$51</definedName>
    <definedName name="_xlnm.Print_Area" localSheetId="27">'賃金台帳(10)'!$A$1:$Y$51</definedName>
    <definedName name="_xlnm.Print_Area" localSheetId="28">'賃金台帳(11)'!$A$1:$Y$51</definedName>
    <definedName name="_xlnm.Print_Area" localSheetId="29">'賃金台帳(12)'!$A$1:$Y$51</definedName>
    <definedName name="_xlnm.Print_Area" localSheetId="19">'賃金台帳(2)'!$A$1:$Y$51</definedName>
    <definedName name="_xlnm.Print_Area" localSheetId="20">'賃金台帳(3)'!$A$1:$Y$51</definedName>
    <definedName name="_xlnm.Print_Area" localSheetId="21">'賃金台帳(4)'!$A$1:$Y$51</definedName>
    <definedName name="_xlnm.Print_Area" localSheetId="22">'賃金台帳(5)'!$A$1:$Y$51</definedName>
    <definedName name="_xlnm.Print_Area" localSheetId="23">'賃金台帳(6)'!$A$1:$Y$51</definedName>
    <definedName name="_xlnm.Print_Area" localSheetId="24">'賃金台帳(7)'!$A$1:$Y$51</definedName>
    <definedName name="_xlnm.Print_Area" localSheetId="25">'賃金台帳(8)'!$A$1:$Y$51</definedName>
    <definedName name="_xlnm.Print_Area" localSheetId="26">'賃金台帳(9)'!$A$1:$Y$51</definedName>
    <definedName name="_xlnm.Print_Area" localSheetId="2">'様式第５の別紙　経費支出明細表'!$A$1:$H$33</definedName>
    <definedName name="_xlnm.Print_Area" localSheetId="16">'様式第６の別紙２　直接人件費支出明細書(1)'!$A$1:$U$46</definedName>
    <definedName name="_xlnm.Print_Area" localSheetId="17">'様式第６の別紙２　直接人件費支出明細書(2)'!$A$1:$T$47</definedName>
    <definedName name="_xlnm.Print_Titles" localSheetId="0">'(４)経費明細表チェックリスト'!$2:$2</definedName>
    <definedName name="移動" localSheetId="31">#REF!,#REF!,#REF!,#REF!,#REF!,#REF!,#REF!,#REF!,#REF!,#REF!,#REF!,#REF!</definedName>
    <definedName name="移動" localSheetId="14">'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5">'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3">#REF!,#REF!,#REF!,#REF!,#REF!,#REF!,#REF!,#REF!,#REF!,#REF!,#REF!,#REF!</definedName>
    <definedName name="移動" localSheetId="18">#REF!,#REF!,#REF!,#REF!,#REF!,#REF!,#REF!,#REF!,#REF!,#REF!,#REF!,#REF!</definedName>
    <definedName name="移動" localSheetId="27">#REF!,#REF!,#REF!,#REF!,#REF!,#REF!,#REF!,#REF!,#REF!,#REF!,#REF!,#REF!</definedName>
    <definedName name="移動" localSheetId="28">#REF!,#REF!,#REF!,#REF!,#REF!,#REF!,#REF!,#REF!,#REF!,#REF!,#REF!,#REF!</definedName>
    <definedName name="移動" localSheetId="29">#REF!,#REF!,#REF!,#REF!,#REF!,#REF!,#REF!,#REF!,#REF!,#REF!,#REF!,#REF!</definedName>
    <definedName name="移動" localSheetId="19">#REF!,#REF!,#REF!,#REF!,#REF!,#REF!,#REF!,#REF!,#REF!,#REF!,#REF!,#REF!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16">#REF!,#REF!,#REF!,#REF!,#REF!,#REF!,#REF!,#REF!,#REF!,#REF!,#REF!,#REF!</definedName>
    <definedName name="移動" localSheetId="17">#REF!,#REF!,#REF!,#REF!,#REF!,#REF!,#REF!,#REF!,#REF!,#REF!,#REF!,#REF!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1.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sharedStrings.xml><?xml version="1.0" encoding="utf-8"?>
<sst xmlns="http://schemas.openxmlformats.org/spreadsheetml/2006/main" count="2811" uniqueCount="511">
  <si>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</si>
  <si>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</si>
  <si>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</si>
  <si>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</si>
  <si>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</si>
  <si>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</si>
  <si>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</si>
  <si>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</si>
  <si>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</si>
  <si>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</si>
  <si>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</si>
  <si>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</si>
  <si>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</si>
  <si>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</si>
  <si>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</si>
  <si>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</si>
  <si>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</si>
  <si>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</si>
  <si>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</si>
  <si>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</si>
  <si>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</si>
  <si>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</si>
  <si>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</si>
  <si>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</si>
  <si>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</si>
  <si>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</si>
  <si>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</si>
  <si>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</si>
  <si>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</si>
  <si>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</si>
  <si>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</si>
  <si>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</si>
  <si>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</si>
  <si>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</si>
  <si>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</si>
  <si>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</si>
  <si>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</si>
  <si>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</si>
  <si>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</si>
  <si>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</si>
  <si>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</si>
  <si>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</si>
  <si>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</si>
  <si>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</si>
  <si>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</si>
  <si>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</si>
  <si>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</si>
  <si>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</si>
  <si>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</si>
  <si>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</si>
  <si>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</si>
  <si>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</si>
  <si>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</si>
  <si>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</si>
  <si>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</si>
  <si>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</si>
  <si>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</si>
  <si>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</si>
  <si>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</si>
  <si>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</si>
  <si>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</si>
  <si>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</si>
  <si>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</si>
  <si>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</si>
  <si>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</si>
  <si>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</si>
  <si>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</si>
  <si>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</si>
  <si>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</si>
  <si>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</si>
  <si>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</si>
  <si>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</si>
  <si>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</si>
  <si>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</si>
  <si>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</si>
  <si>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</si>
  <si>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</si>
  <si>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</si>
  <si>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</si>
  <si>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</si>
  <si>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</si>
  <si>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</si>
  <si>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</si>
  <si>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</si>
  <si>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</si>
  <si>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</si>
  <si>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</si>
  <si>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</si>
  <si>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</si>
  <si>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</si>
  <si>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</si>
  <si>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</si>
  <si>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</si>
  <si>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</si>
  <si>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</si>
  <si>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</si>
  <si>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</si>
  <si>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</si>
  <si>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</si>
  <si>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</si>
  <si>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</si>
  <si>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</si>
  <si>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</si>
  <si>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</si>
  <si>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</si>
  <si>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</si>
  <si>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</si>
  <si>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</si>
  <si>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</si>
  <si>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</si>
  <si>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</si>
  <si>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</si>
  <si>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</si>
  <si>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</si>
  <si>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</si>
  <si>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</si>
  <si>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</si>
  <si>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</si>
  <si>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</si>
  <si>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</si>
  <si>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</si>
  <si>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</si>
  <si>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</si>
  <si>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</si>
  <si>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</si>
  <si>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</si>
  <si>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</si>
  <si>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</si>
  <si>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</si>
  <si>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</si>
  <si>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</si>
  <si>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</si>
  <si>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</si>
  <si>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</si>
  <si>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</si>
  <si>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</si>
  <si>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</si>
  <si>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</si>
  <si>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</si>
  <si>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</si>
  <si>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</si>
  <si>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</si>
  <si>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</si>
  <si>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</si>
  <si>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</si>
  <si>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</si>
  <si>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</si>
  <si>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</si>
  <si>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</si>
  <si>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</si>
  <si>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</si>
  <si>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</si>
  <si>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</si>
  <si>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</si>
  <si>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</si>
  <si>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</si>
  <si>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</si>
  <si>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</si>
  <si>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</si>
  <si>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</si>
  <si>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</si>
  <si>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</si>
  <si>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</si>
  <si>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</si>
  <si>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</si>
  <si>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</si>
  <si>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</si>
  <si>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</si>
  <si>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</si>
  <si>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</si>
  <si>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</si>
  <si>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</si>
  <si>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</si>
  <si>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</si>
  <si>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</si>
  <si>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</si>
  <si>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</si>
  <si>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</si>
  <si>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</si>
  <si>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</si>
  <si>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</si>
  <si>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</si>
  <si>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</si>
  <si>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</si>
  <si>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</si>
  <si>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</si>
  <si>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</si>
  <si>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</si>
  <si>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</si>
  <si>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</si>
  <si>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参考</t>
  </si>
  <si>
    <t>休日</t>
  </si>
  <si>
    <t>年末・年始その他休日</t>
  </si>
  <si>
    <t>年間カレンダーによる</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</si>
  <si>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</si>
  <si>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</si>
  <si>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</si>
  <si>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</si>
  <si>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</si>
  <si>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</si>
  <si>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</si>
  <si>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</si>
  <si>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</si>
  <si>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ＳＴＥＰ　2</t>
  </si>
  <si>
    <t>ＳＴＥＰ　3</t>
  </si>
  <si>
    <t>児童手当拠出金</t>
  </si>
  <si>
    <t xml:space="preserve">  </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</si>
  <si>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</si>
  <si>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</si>
  <si>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</si>
  <si>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</si>
  <si>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</si>
  <si>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</si>
  <si>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</si>
  <si>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</si>
  <si>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</si>
  <si>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</si>
  <si>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</si>
  <si>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</si>
  <si>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健康保険(12年3月から)</t>
  </si>
  <si>
    <t>介護保険(12年3月から)</t>
  </si>
  <si>
    <t>健康保険料</t>
  </si>
  <si>
    <t>厚生年金保険料</t>
  </si>
  <si>
    <t>皆勤手当</t>
  </si>
  <si>
    <t>順位</t>
  </si>
  <si>
    <t>判定</t>
  </si>
  <si>
    <t>加算する金額</t>
  </si>
  <si>
    <t>消費税率(%)</t>
  </si>
  <si>
    <t>①</t>
  </si>
  <si>
    <t>Ｈ</t>
  </si>
  <si>
    <t>ｋｇ</t>
  </si>
  <si>
    <t>日</t>
  </si>
  <si>
    <t>能率手当</t>
  </si>
  <si>
    <t>2月</t>
  </si>
  <si>
    <t>3月</t>
  </si>
  <si>
    <t>4月</t>
  </si>
  <si>
    <t>厚生年金保険(13年8月まで)</t>
  </si>
  <si>
    <t>基本給・賞与</t>
  </si>
  <si>
    <t>基本給・賞与</t>
  </si>
  <si>
    <t>(</t>
  </si>
  <si>
    <t>）</t>
  </si>
  <si>
    <t xml:space="preserve">補助対象経費
</t>
  </si>
  <si>
    <t>（事業者名：</t>
  </si>
  <si>
    <t>(４)経費明細表</t>
  </si>
  <si>
    <t>（消費税込みの額）</t>
  </si>
  <si>
    <t>（消費税抜きの額）</t>
  </si>
  <si>
    <t>「小規模事業者型」で「機械装置費」を計上する場合、補助対象経費で総額５０万円(税抜き)未満に限り対象とします。</t>
  </si>
  <si>
    <t>(（Ｂ)×２／３以内)</t>
  </si>
  <si>
    <t>月</t>
  </si>
  <si>
    <t>○</t>
  </si>
  <si>
    <t>機械装置費を優先した残りの補助金交付申請額</t>
  </si>
  <si>
    <t>(Ａ)</t>
  </si>
  <si>
    <t>(Ｂ)</t>
  </si>
  <si>
    <t>(Ｃ)</t>
  </si>
  <si>
    <t>補助上限額</t>
  </si>
  <si>
    <t>この申請の事業類型は</t>
  </si>
  <si>
    <t>-</t>
  </si>
  <si>
    <t>-</t>
  </si>
  <si>
    <t>成長分野型　</t>
  </si>
  <si>
    <t>一般型</t>
  </si>
  <si>
    <t>小規模事業者型</t>
  </si>
  <si>
    <t>試作開発+設備投資</t>
  </si>
  <si>
    <t>試作開発のみ</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</si>
  <si>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</si>
  <si>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</si>
  <si>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</si>
  <si>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</si>
  <si>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</si>
  <si>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</si>
  <si>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</si>
  <si>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</si>
  <si>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</si>
  <si>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</si>
  <si>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</si>
  <si>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</si>
  <si>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</si>
  <si>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</si>
  <si>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</si>
  <si>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</si>
  <si>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</si>
  <si>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</si>
  <si>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</si>
  <si>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</si>
  <si>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</si>
  <si>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</si>
  <si>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</si>
  <si>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</si>
  <si>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</si>
  <si>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</si>
  <si>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</si>
  <si>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</si>
  <si>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</si>
  <si>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</si>
  <si>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</si>
  <si>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</si>
  <si>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</si>
  <si>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</si>
  <si>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</si>
  <si>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t>
  </si>
  <si>
    <t>消費税は8％で計算してください。</t>
  </si>
  <si>
    <t>積算基礎　</t>
  </si>
  <si>
    <t>注．事業に要する経費(税込み)</t>
  </si>
  <si>
    <t>仮計算　補助金交付申請額</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</si>
  <si>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</si>
  <si>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</si>
  <si>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</si>
  <si>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</si>
  <si>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</si>
  <si>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</si>
  <si>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</si>
  <si>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</si>
  <si>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</si>
  <si>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件</t>
  </si>
  <si>
    <t>台</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</si>
  <si>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</si>
  <si>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</si>
  <si>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</si>
  <si>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</si>
  <si>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</si>
  <si>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</si>
  <si>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（注3）月毎の従事時間は給与〆日にあわせてください。</t>
  </si>
  <si>
    <t>人件費の円未満は切り捨てしてください。</t>
  </si>
  <si>
    <t>（注5）本様式は、日本工業規格Ａ４判としてください。</t>
  </si>
  <si>
    <t>（注2）月毎の従事時間は給与〆日にあわせてください。例、２０日締めの２５日払いの場合、原則７月２５日に支払ったものは７月に記載してください。</t>
  </si>
  <si>
    <t>＜経費明細総括表＞</t>
  </si>
  <si>
    <t>申請者名</t>
  </si>
  <si>
    <t>A</t>
  </si>
  <si>
    <t>B</t>
  </si>
  <si>
    <t>補助対象
経費</t>
  </si>
  <si>
    <t>（税込み）</t>
  </si>
  <si>
    <t>＜代表者＞</t>
  </si>
  <si>
    <t>&lt;経費明細表&gt;</t>
  </si>
  <si>
    <t>月</t>
  </si>
  <si>
    <t>4月</t>
  </si>
  <si>
    <t>7月</t>
  </si>
  <si>
    <t>8月</t>
  </si>
  <si>
    <t>9月</t>
  </si>
  <si>
    <t>4月</t>
  </si>
  <si>
    <t>5月</t>
  </si>
  <si>
    <t>年齢は左端の月末時点</t>
  </si>
  <si>
    <t>人件費小計</t>
  </si>
  <si>
    <t>人件費累計</t>
  </si>
  <si>
    <t>Ｂ×２／３以内</t>
  </si>
  <si>
    <t>Ｂ</t>
  </si>
  <si>
    <t>Ａ</t>
  </si>
  <si>
    <t>原材料費(注９)</t>
  </si>
  <si>
    <t>直接人件費(注９)</t>
  </si>
  <si>
    <t>外注加工費(注９)</t>
  </si>
  <si>
    <t>委託費(注９)</t>
  </si>
  <si>
    <t>知的財産権等関連経費(注９)</t>
  </si>
  <si>
    <t>雑役務費(注９)</t>
  </si>
  <si>
    <t>②</t>
  </si>
  <si>
    <t>従事者氏名</t>
  </si>
  <si>
    <t>（税抜き）</t>
  </si>
  <si>
    <t>積算基礎　(Ａ.税込み)</t>
  </si>
  <si>
    <t>要対応は　　× 並びに色の変わったセル(総額違反)</t>
  </si>
  <si>
    <t>この補助金では人件費の時間単価の計算については年間理論総労働時間に対応する超過勤務を含まない人件費と</t>
  </si>
  <si>
    <t>差額（単位：円）</t>
  </si>
  <si>
    <t>(B×2/3以内)（税抜き）</t>
  </si>
  <si>
    <t>別紙　費目別経費支出明細書のとおり</t>
  </si>
  <si>
    <t>時間</t>
  </si>
  <si>
    <t>円</t>
  </si>
  <si>
    <t>)</t>
  </si>
  <si>
    <t>小規模事業者型</t>
  </si>
  <si>
    <t>知的財産権等関連経費</t>
  </si>
  <si>
    <t>事業者名</t>
  </si>
  <si>
    <t>賞与</t>
  </si>
  <si>
    <t>次に、補助金の上限を設定するため下記のいずれかのうち、プルダウンで○を選択して下さい。(事業類型の選択、必須)</t>
  </si>
  <si>
    <t>※　連携体での申請の場合は事業者ごとに作成して下さい。</t>
  </si>
  <si>
    <t>5月</t>
  </si>
  <si>
    <t>5月</t>
  </si>
  <si>
    <t>6月</t>
  </si>
  <si>
    <t>6月</t>
  </si>
  <si>
    <t>7月</t>
  </si>
  <si>
    <t>7月</t>
  </si>
  <si>
    <t>8月</t>
  </si>
  <si>
    <t>9月</t>
  </si>
  <si>
    <t>10月</t>
  </si>
  <si>
    <t>１1月</t>
  </si>
  <si>
    <t>１1月</t>
  </si>
  <si>
    <t>12月</t>
  </si>
  <si>
    <t>12月</t>
  </si>
  <si>
    <t>5,000円超の場合は</t>
  </si>
  <si>
    <t>右記の通り</t>
  </si>
  <si>
    <t>平成26</t>
  </si>
  <si>
    <t>㊞</t>
  </si>
  <si>
    <t>　に給与および賞与等の文字・データを入力して下さい。</t>
  </si>
  <si>
    <t>賞与</t>
  </si>
  <si>
    <t>7月</t>
  </si>
  <si>
    <t>8月</t>
  </si>
  <si>
    <t>8月</t>
  </si>
  <si>
    <t>6月</t>
  </si>
  <si>
    <t>7月</t>
  </si>
  <si>
    <t>8月</t>
  </si>
  <si>
    <t>7月</t>
  </si>
  <si>
    <t>8月</t>
  </si>
  <si>
    <t>6月</t>
  </si>
  <si>
    <t>厚生年金基金(賞与)</t>
  </si>
  <si>
    <t>厚生年金基金</t>
  </si>
  <si>
    <t>毎月の
給与総支給額</t>
  </si>
  <si>
    <r>
      <t xml:space="preserve">人件費
</t>
    </r>
    <r>
      <rPr>
        <sz val="8"/>
        <color indexed="8"/>
        <rFont val="ＭＳ ゴシック"/>
        <family val="3"/>
      </rPr>
      <t>（毎月の給与総支給額
上限適用後）</t>
    </r>
  </si>
  <si>
    <t>（注4）人件費対象者に支払われる人件費の上限は、１時間5,000円以内かつ１日40,000円以内であり、毎月の給与総支給額となります。</t>
  </si>
  <si>
    <t>(注2)　人件費時間単価は5,000円が上限です。また、１日40,000円、及び毎月の給与総支給額が上限です。</t>
  </si>
  <si>
    <t xml:space="preserve">        =</t>
  </si>
  <si>
    <t>※（　）内：小数点以下第３位未満切捨</t>
  </si>
  <si>
    <t xml:space="preserve">×    </t>
  </si>
  <si>
    <t>×   (</t>
  </si>
  <si>
    <t>※月の欄は賃金台帳作成期間にあわせて</t>
  </si>
  <si>
    <t>　修正してください（例．6月～翌年5月）</t>
  </si>
  <si>
    <t>60進法→10進法</t>
  </si>
  <si>
    <t>分  )   =</t>
  </si>
  <si>
    <t>中小企業・小規模事業者ものづくり・商業・サービス革新事業補助金に係わる標記の研究開発従事者の給与実績は上記の通りであることを証明します。</t>
  </si>
  <si>
    <t>労災保険率は各事業所の労災保険料率を記載すること。厚生年金保険料率も同様(毎年9月に料率変更)</t>
  </si>
  <si>
    <t>介護保険は40歳以上65歳未満が対象。協会けんぽの場合、2014年2月まで：7.75/1000、2014年3月から：8.6/1000　（※健康保険組合の場合はそれぞれ料率が異なるので確認の上、入力願います。）</t>
  </si>
  <si>
    <t>厚生年金保険(13年9月から)</t>
  </si>
  <si>
    <t>【青字】はシート名</t>
  </si>
  <si>
    <t>【対象者一覧表】</t>
  </si>
  <si>
    <t>【総労働時間算定表(1)】</t>
  </si>
  <si>
    <t>【総労働時間算定表(2)】は予備</t>
  </si>
  <si>
    <t>【賃金台帳】</t>
  </si>
  <si>
    <t>総労働時間を毎月の労働日数と１日の就業時間や休憩時間を入力して計算します。</t>
  </si>
  <si>
    <t>月をSTEP3の賃金台帳の期間にあわせて修正し、黒枠に入力します。</t>
  </si>
  <si>
    <t>合計は自動計算します。</t>
  </si>
  <si>
    <t>※このファイルでは、一般的な料率として、健康保険：協会けんぽ（愛知県）、厚生年金基金：加入なしの場合の料率を設定。</t>
  </si>
  <si>
    <t>（注：健康保険は協会けんぽでも県ごとに保険料率がちがいます。）</t>
  </si>
  <si>
    <t>人件費の計算の準備</t>
  </si>
  <si>
    <t>各人の賃金台帳を作成します。</t>
  </si>
  <si>
    <t>これで人件費の計算は確定します。</t>
  </si>
  <si>
    <t>ＳＴＥＰ　3の補足</t>
  </si>
  <si>
    <t>【賃金台帳】年間法定福利費の保険料率部分を抜粋</t>
  </si>
  <si>
    <t>自動計算で保護をかけてあります。パスワードはかけていません。</t>
  </si>
  <si>
    <t>←</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</si>
  <si>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</si>
  <si>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</si>
  <si>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</si>
  <si>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</si>
  <si>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</si>
  <si>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</si>
  <si>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年齢で自動計算されないため、調整（手入力等）が必要な場合があります。ご注意ください。</t>
  </si>
  <si>
    <t>介護保険については４０歳以上６５歳未満の方が対象です。</t>
  </si>
  <si>
    <t>この【使い方】シート上の保険料率を変更しても賃金台帳には反映しません。各【賃金台帳】シート上で修正願います。</t>
  </si>
  <si>
    <t>賃金台帳の項目を入力し、それぞれの毎月の金額を入力します。残業代は入力しないでください。</t>
  </si>
  <si>
    <r>
      <t>保険料率は一般的な料率を入れてありますので、</t>
    </r>
    <r>
      <rPr>
        <b/>
        <u val="single"/>
        <sz val="11"/>
        <color indexed="10"/>
        <rFont val="ＭＳ Ｐゴシック"/>
        <family val="3"/>
      </rPr>
      <t>各事業者の料率に応じて変更して下さい。</t>
    </r>
  </si>
  <si>
    <t>10月</t>
  </si>
  <si>
    <t>11月</t>
  </si>
  <si>
    <t>12月</t>
  </si>
  <si>
    <t>1月</t>
  </si>
  <si>
    <t>2月</t>
  </si>
  <si>
    <t>3月</t>
  </si>
  <si>
    <t>以上の入力が終われば時間単価が計算されます。時間単価の上限は5,000円です。</t>
  </si>
  <si>
    <t>厚生年金基金への加入の有無によらず、厚生年金保険部分は毎年9月に料率変更します。</t>
  </si>
  <si>
    <t>４月１日の時点で６４歳以上の方はその年度の雇用保険の事業主負担はありません。（４月から０になります。）</t>
  </si>
  <si>
    <r>
      <t>年間法定
福利費</t>
    </r>
    <r>
      <rPr>
        <sz val="11"/>
        <rFont val="ＭＳ Ｐゴシック"/>
        <family val="3"/>
      </rPr>
      <t xml:space="preserve">
</t>
    </r>
    <r>
      <rPr>
        <sz val="10"/>
        <rFont val="ＭＳ Ｐゴシック"/>
        <family val="3"/>
      </rPr>
      <t>（事業者負担分）</t>
    </r>
  </si>
  <si>
    <t>年　　　月　　　日</t>
  </si>
  <si>
    <t>（注1）直接人件費の補助対象者は、交付申請書または計画変更承認申請書にて対象と認められた方のみとなります。それ以外は補助対象とはなりません。</t>
  </si>
  <si>
    <t>様式第５の別紙　　経費支出明細表</t>
  </si>
  <si>
    <t>経費支出明細表</t>
  </si>
  <si>
    <t>原材料</t>
  </si>
  <si>
    <t>補助金の額</t>
  </si>
  <si>
    <t>補助金交付決定額</t>
  </si>
  <si>
    <t>※連携体の場合、補助事業者ごとに作成してください。</t>
  </si>
  <si>
    <t>（単位：円）</t>
  </si>
  <si>
    <t>補助事業に要した経費</t>
  </si>
  <si>
    <t>成長分野の場合は　１５００万円以内で補助金交付決定額が上限です。</t>
  </si>
  <si>
    <t>一般型の場合は　１０００万円以内で補助金交付決定額が上限です。</t>
  </si>
  <si>
    <t>小規模型の場合は　７００万円以内で補助金交付決定額が上限です。</t>
  </si>
  <si>
    <t>補助金の額は</t>
  </si>
  <si>
    <t>注) 補助金の額(Ｂ×２／３以内)は補助対象経費の金額に単純に２／３をかけた数字を算出しています。</t>
  </si>
  <si>
    <t>事業類型</t>
  </si>
  <si>
    <t>成長分野型</t>
  </si>
  <si>
    <t>一般型</t>
  </si>
  <si>
    <t>【様式第６の別紙２　直接人件費支出明細書】</t>
  </si>
  <si>
    <t>各人の本事業従事時間(B)と毎月の給与総支給額を直接人件費支出明細書にそれぞれ入力します。</t>
  </si>
  <si>
    <t>ＳＴＥＰ　4</t>
  </si>
  <si>
    <t>対象者一覧表に氏名等を入力して下さい。</t>
  </si>
  <si>
    <t>ＳＴＥＰ　1</t>
  </si>
  <si>
    <t>それに対応する法定福利費をもとに簡易に自動計算して算出する仕組みとなっています。</t>
  </si>
  <si>
    <t>次に、直接人件費を補助対象とする場合の作業について説明します。</t>
  </si>
  <si>
    <t>費目別支出明細では原則円未満切り捨てで計算しています。微調整は保護を解除して行って下さい。</t>
  </si>
  <si>
    <t>消費税は切り捨てにしてありますので微調整は必要です。</t>
  </si>
  <si>
    <t>税抜き見積書をもとに各経費のそれぞれの単価・数量・内容を入力すれば、(4)経費明細のドラフトは完成する形になっています。</t>
  </si>
  <si>
    <t>保護を解除する場合は校閲のタブをクリックしてシート保護の解除をして下さい。パスワードはかけていません。</t>
  </si>
  <si>
    <t>なお、このＥＸＣＥＬのフォーマットは計算式に保護をかけています。</t>
  </si>
  <si>
    <t>原材料から雑役務費まで使用する費目を別経費支出明細書に見積書をもとに入力して下さい。</t>
  </si>
  <si>
    <t>これで準備は終了しました。</t>
  </si>
  <si>
    <t>(c)</t>
  </si>
  <si>
    <t>○　or　　-</t>
  </si>
  <si>
    <t>(b)</t>
  </si>
  <si>
    <t>対象者一覧表</t>
  </si>
  <si>
    <t>(a)</t>
  </si>
  <si>
    <t>知的財産関連経費</t>
  </si>
  <si>
    <t>事業類型を選択して下さい。必須</t>
  </si>
  <si>
    <t>チェックが複数の事業類型にわたる場合一番上側の類型とみなしています。チェックがないものは小規模事業者型とみなします。</t>
  </si>
  <si>
    <t>Ｂ金属株式会社</t>
  </si>
  <si>
    <t>→</t>
  </si>
  <si>
    <t>まずは右に企業名を入力して下さい。</t>
  </si>
  <si>
    <t>使い方</t>
  </si>
  <si>
    <t>経費支出明細と関連書類をもれなく作成するために用意したものです。</t>
  </si>
  <si>
    <t>ＥＸＣＥＬファイルのタブの構成</t>
  </si>
  <si>
    <t>-</t>
  </si>
  <si>
    <t>○</t>
  </si>
  <si>
    <t>■　はじめに</t>
  </si>
  <si>
    <t>本ワークシートの使い方について</t>
  </si>
  <si>
    <t>様式第５の別紙　経費支出明細表</t>
  </si>
  <si>
    <t>このエクセルは事務処理の手引き８１頁の経費支出明細表</t>
  </si>
  <si>
    <t>賃金台帳(1)～賃金台帳(6)</t>
  </si>
  <si>
    <t>総労働時間算定表(1)</t>
  </si>
  <si>
    <t>様式第６の別紙２　直接人件費支出明細書(1)</t>
  </si>
  <si>
    <t>ここの数字並びに合計額は個別に修正してください。</t>
  </si>
  <si>
    <t>ver.2</t>
  </si>
  <si>
    <t>ver2　事業者名のリンクを改善</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</si>
</sst>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s>
  <fonts count="167">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sz val="8"/>
      <color indexed="8"/>
      <name val="ＭＳ ゴシック"/>
      <family val="3"/>
    </font>
    <font>
      <b/>
      <sz val="9"/>
      <name val="ＭＳ 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Ｐゴシック"/>
      <family val="3"/>
    </font>
    <font>
      <sz val="9"/>
      <color indexed="8"/>
      <name val="ＭＳ 明朝"/>
      <family val="1"/>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14"/>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b/>
      <sz val="10"/>
      <color indexed="8"/>
      <name val="ＭＳ Ｐゴシック"/>
      <family val="3"/>
    </font>
    <font>
      <sz val="12"/>
      <color indexed="8"/>
      <name val="ＭＳ Ｐゴシック"/>
      <family val="3"/>
    </font>
    <font>
      <sz val="10"/>
      <color indexed="8"/>
      <name val="ＭＳ 明朝"/>
      <family val="1"/>
    </font>
    <font>
      <sz val="12"/>
      <name val="ＭＳ Ｐゴシック"/>
      <family val="3"/>
    </font>
    <font>
      <b/>
      <sz val="11"/>
      <color indexed="8"/>
      <name val="ＭＳ ゴシック"/>
      <family val="3"/>
    </font>
    <font>
      <sz val="11"/>
      <color indexed="53"/>
      <name val="ＭＳ Ｐゴシック"/>
      <family val="3"/>
    </font>
    <font>
      <b/>
      <sz val="18"/>
      <name val="ＭＳ Ｐゴシック"/>
      <family val="3"/>
    </font>
    <font>
      <b/>
      <sz val="14"/>
      <name val="ＭＳ Ｐ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sz val="14"/>
      <color indexed="8"/>
      <name val="ＭＳ 明朝"/>
      <family val="1"/>
    </font>
    <font>
      <sz val="16"/>
      <color indexed="8"/>
      <name val="ＭＳ Ｐゴシック"/>
      <family val="3"/>
    </font>
    <font>
      <b/>
      <sz val="16"/>
      <name val="ＭＳ Ｐゴシック"/>
      <family val="3"/>
    </font>
    <font>
      <b/>
      <u val="single"/>
      <sz val="14"/>
      <color indexed="8"/>
      <name val="ＭＳ Ｐゴシック"/>
      <family val="3"/>
    </font>
    <font>
      <b/>
      <sz val="8"/>
      <color indexed="30"/>
      <name val="ＭＳ ゴシック"/>
      <family val="3"/>
    </font>
    <font>
      <sz val="11"/>
      <color indexed="10"/>
      <name val="ＭＳ ゴシック"/>
      <family val="3"/>
    </font>
    <font>
      <u val="single"/>
      <sz val="11"/>
      <color indexed="8"/>
      <name val="ＭＳ ゴシック"/>
      <family val="3"/>
    </font>
    <font>
      <sz val="18"/>
      <color indexed="8"/>
      <name val="ＭＳ Ｐゴシック"/>
      <family val="3"/>
    </font>
    <font>
      <b/>
      <sz val="9"/>
      <color indexed="8"/>
      <name val="ＭＳ ゴシック"/>
      <family val="3"/>
    </font>
    <font>
      <b/>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color theme="1"/>
      <name val="ＭＳ ゴシック"/>
      <family val="3"/>
    </font>
    <font>
      <sz val="10"/>
      <color theme="1"/>
      <name val="Calibri"/>
      <family val="3"/>
    </font>
    <font>
      <sz val="9"/>
      <color theme="1"/>
      <name val="Calibri"/>
      <family val="3"/>
    </font>
    <font>
      <sz val="9"/>
      <color theme="1"/>
      <name val="ＭＳ 明朝"/>
      <family val="1"/>
    </font>
    <font>
      <sz val="11"/>
      <color theme="1"/>
      <name val="ＭＳ ゴシック"/>
      <family val="3"/>
    </font>
    <font>
      <sz val="11"/>
      <color theme="1"/>
      <name val="ＭＳ 明朝"/>
      <family val="1"/>
    </font>
    <font>
      <sz val="10"/>
      <color theme="1"/>
      <name val="ＭＳ ゴシック"/>
      <family val="3"/>
    </font>
    <font>
      <sz val="10"/>
      <name val="Calibri"/>
      <family val="3"/>
    </font>
    <font>
      <b/>
      <sz val="12"/>
      <color theme="1"/>
      <name val="Calibri"/>
      <family val="3"/>
    </font>
    <font>
      <b/>
      <sz val="14"/>
      <color theme="1"/>
      <name val="Calibri"/>
      <family val="3"/>
    </font>
    <font>
      <sz val="14"/>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2"/>
      <color theme="1"/>
      <name val="ＭＳ Ｐゴシック"/>
      <family val="3"/>
    </font>
    <font>
      <sz val="10"/>
      <color theme="1"/>
      <name val="ＭＳ 明朝"/>
      <family val="1"/>
    </font>
    <font>
      <sz val="12"/>
      <name val="Calibri"/>
      <family val="3"/>
    </font>
    <font>
      <b/>
      <sz val="11"/>
      <color theme="1"/>
      <name val="ＭＳ ゴシック"/>
      <family val="3"/>
    </font>
    <font>
      <sz val="11"/>
      <color theme="9" tint="-0.24997000396251678"/>
      <name val="Calibri"/>
      <family val="3"/>
    </font>
    <font>
      <b/>
      <sz val="18"/>
      <name val="Calibri"/>
      <family val="3"/>
    </font>
    <font>
      <sz val="9"/>
      <name val="Calibri"/>
      <family val="3"/>
    </font>
    <font>
      <b/>
      <sz val="14"/>
      <name val="Calibri"/>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sz val="8"/>
      <color theme="1"/>
      <name val="Calibri"/>
      <family val="3"/>
    </font>
    <font>
      <sz val="14"/>
      <color theme="1"/>
      <name val="ＭＳ 明朝"/>
      <family val="1"/>
    </font>
    <font>
      <sz val="16"/>
      <color theme="1"/>
      <name val="Calibri"/>
      <family val="3"/>
    </font>
    <font>
      <sz val="12"/>
      <color theme="1"/>
      <name val="Calibri"/>
      <family val="3"/>
    </font>
    <font>
      <b/>
      <sz val="16"/>
      <name val="Calibri"/>
      <family val="3"/>
    </font>
    <font>
      <sz val="16"/>
      <name val="Calibri"/>
      <family val="3"/>
    </font>
    <font>
      <sz val="11"/>
      <color indexed="8"/>
      <name val="Calibri"/>
      <family val="3"/>
    </font>
    <font>
      <b/>
      <u val="single"/>
      <sz val="14"/>
      <color theme="1"/>
      <name val="Calibri"/>
      <family val="3"/>
    </font>
    <font>
      <b/>
      <sz val="8"/>
      <color rgb="FF0070C0"/>
      <name val="ＭＳ ゴシック"/>
      <family val="3"/>
    </font>
    <font>
      <sz val="11"/>
      <color rgb="FFFF0000"/>
      <name val="ＭＳ ゴシック"/>
      <family val="3"/>
    </font>
    <font>
      <u val="single"/>
      <sz val="11"/>
      <color theme="1"/>
      <name val="ＭＳ ゴシック"/>
      <family val="3"/>
    </font>
    <font>
      <sz val="18"/>
      <color theme="1"/>
      <name val="Calibri"/>
      <family val="3"/>
    </font>
    <font>
      <b/>
      <sz val="9"/>
      <color theme="1"/>
      <name val="ＭＳ ゴシック"/>
      <family val="3"/>
    </font>
    <font>
      <b/>
      <sz val="10"/>
      <color theme="1"/>
      <name val="ＭＳ 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theme="1" tint="0.15000000596046448"/>
        <bgColor indexed="64"/>
      </patternFill>
    </fill>
    <fill>
      <patternFill patternType="solid">
        <fgColor theme="2" tint="-0.4999699890613556"/>
        <bgColor indexed="64"/>
      </patternFill>
    </fill>
    <fill>
      <patternFill patternType="solid">
        <fgColor rgb="FF6036D8"/>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C000"/>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right/>
      <top/>
      <bottom style="medium"/>
    </border>
    <border>
      <left/>
      <right style="thin"/>
      <top/>
      <bottom style="medium"/>
    </border>
    <border>
      <left style="thin"/>
      <right style="thin"/>
      <top/>
      <bottom style="medium"/>
    </border>
    <border>
      <left style="thin"/>
      <right/>
      <top/>
      <bottom style="medium"/>
    </border>
    <border>
      <left style="medium"/>
      <right style="thin"/>
      <top>
        <color indexed="63"/>
      </top>
      <bottom style="thin"/>
    </border>
    <border>
      <left style="thin"/>
      <right style="thin"/>
      <top/>
      <bottom style="thin"/>
    </border>
    <border>
      <left style="medium"/>
      <right style="thin"/>
      <top style="thin"/>
      <bottom style="thin"/>
    </border>
    <border>
      <left style="thin"/>
      <right style="thin"/>
      <top style="thin"/>
      <bottom style="thin"/>
    </border>
    <border>
      <left/>
      <right/>
      <top/>
      <bottom style="thin"/>
    </border>
    <border>
      <left/>
      <right/>
      <top style="thin"/>
      <bottom style="thin"/>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top style="hair"/>
      <bottom style="hair"/>
    </border>
    <border>
      <left/>
      <right>
        <color indexed="63"/>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style="thin">
        <color indexed="8"/>
      </left>
      <right/>
      <top/>
      <bottom style="hair">
        <color indexed="8"/>
      </bottom>
    </border>
    <border>
      <left style="thin"/>
      <right/>
      <top/>
      <bottom style="hair">
        <color indexed="8"/>
      </bottom>
    </border>
    <border>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thin"/>
      <right style="thin"/>
      <top style="medium"/>
      <bottom style="thin"/>
    </border>
    <border>
      <left/>
      <right style="thin"/>
      <top/>
      <bottom style="thin"/>
    </border>
    <border>
      <left style="medium"/>
      <right/>
      <top style="medium"/>
      <bottom style="medium"/>
    </border>
    <border>
      <left>
        <color indexed="63"/>
      </left>
      <right style="medium"/>
      <top style="medium"/>
      <bottom style="medium"/>
    </border>
    <border>
      <left/>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thin"/>
      <right/>
      <top style="medium"/>
      <bottom/>
    </border>
    <border>
      <left style="thin"/>
      <right/>
      <top style="thin"/>
      <bottom style="medium"/>
    </border>
    <border>
      <left>
        <color indexed="63"/>
      </left>
      <right style="thin"/>
      <top style="medium"/>
      <bottom style="medium"/>
    </border>
    <border>
      <left/>
      <right style="thin"/>
      <top style="medium"/>
      <bottom style="thin"/>
    </border>
    <border>
      <left>
        <color indexed="63"/>
      </left>
      <right style="thin"/>
      <top style="thin"/>
      <bottom style="medium"/>
    </border>
    <border>
      <left/>
      <right/>
      <top style="medium"/>
      <botto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top style="medium"/>
      <bottom style="medium"/>
    </border>
    <border>
      <left/>
      <right style="medium"/>
      <top style="medium"/>
      <bottom style="thin"/>
    </border>
    <border>
      <left>
        <color indexed="63"/>
      </left>
      <right style="medium"/>
      <top style="thin"/>
      <bottom style="thin"/>
    </border>
    <border>
      <left style="medium"/>
      <right/>
      <top style="medium">
        <color rgb="FF000000"/>
      </top>
      <bottom style="thin"/>
    </border>
    <border>
      <left style="medium"/>
      <right/>
      <top>
        <color indexed="63"/>
      </top>
      <bottom style="thin"/>
    </border>
    <border>
      <left/>
      <right/>
      <top style="thin"/>
      <bottom style="medium"/>
    </border>
    <border>
      <left style="medium"/>
      <right/>
      <top/>
      <bottom style="medium"/>
    </border>
    <border>
      <left style="medium">
        <color rgb="FF000000"/>
      </left>
      <right/>
      <top/>
      <bottom style="medium">
        <color rgb="FF000000"/>
      </bottom>
    </border>
    <border>
      <left/>
      <right/>
      <top/>
      <bottom style="medium">
        <color rgb="FF000000"/>
      </bottom>
    </border>
    <border>
      <left style="medium"/>
      <right/>
      <top/>
      <bottom/>
    </border>
    <border>
      <left style="thin"/>
      <right style="thin"/>
      <top style="medium"/>
      <bottom style="medium"/>
    </border>
    <border>
      <left style="thin"/>
      <right>
        <color indexed="63"/>
      </right>
      <top style="medium"/>
      <bottom style="medium"/>
    </border>
    <border>
      <left style="medium"/>
      <right style="thin"/>
      <top/>
      <bottom style="medium"/>
    </border>
    <border>
      <left style="medium"/>
      <right style="thin"/>
      <top style="medium"/>
      <bottom style="medium"/>
    </border>
    <border>
      <left/>
      <right>
        <color indexed="63"/>
      </right>
      <top style="medium"/>
      <bottom style="thin"/>
    </border>
    <border>
      <left>
        <color indexed="63"/>
      </left>
      <right style="medium"/>
      <top style="thin"/>
      <bottom style="medium"/>
    </border>
    <border>
      <left style="medium"/>
      <right style="medium"/>
      <top style="thin"/>
      <bottom style="medium"/>
    </border>
    <border>
      <left style="thin"/>
      <right style="thin"/>
      <top/>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border>
    <border>
      <left/>
      <right style="medium"/>
      <top style="thin"/>
      <bottom/>
    </border>
    <border>
      <left>
        <color indexed="63"/>
      </left>
      <right style="medium"/>
      <top/>
      <bottom style="thin"/>
    </border>
    <border>
      <left>
        <color indexed="63"/>
      </left>
      <right style="medium"/>
      <top style="medium"/>
      <bottom>
        <color indexed="63"/>
      </bottom>
    </border>
    <border>
      <left style="hair"/>
      <right style="double"/>
      <top style="hair"/>
      <bottom style="hair"/>
    </border>
    <border>
      <left style="hair"/>
      <right style="double"/>
      <top style="hair"/>
      <bottom style="double"/>
    </border>
    <border>
      <left style="thin"/>
      <right style="medium"/>
      <top/>
      <bottom style="thin"/>
    </border>
    <border>
      <left style="thin"/>
      <right style="medium"/>
      <top/>
      <bottom style="medium"/>
    </border>
    <border>
      <left style="thin">
        <color rgb="FF000000"/>
      </left>
      <right>
        <color indexed="63"/>
      </right>
      <top/>
      <bottom style="medium"/>
    </border>
    <border>
      <left style="thin">
        <color rgb="FF000000"/>
      </left>
      <right>
        <color indexed="63"/>
      </right>
      <top style="medium">
        <color rgb="FF000000"/>
      </top>
      <bottom/>
    </border>
    <border>
      <left style="thin">
        <color rgb="FF000000"/>
      </left>
      <right/>
      <top/>
      <bottom/>
    </border>
    <border>
      <left>
        <color indexed="63"/>
      </left>
      <right style="thin">
        <color rgb="FF000000"/>
      </right>
      <top style="medium">
        <color rgb="FF000000"/>
      </top>
      <bottom/>
    </border>
    <border>
      <left/>
      <right style="thin">
        <color rgb="FF000000"/>
      </right>
      <top/>
      <bottom/>
    </border>
    <border diagonalUp="1">
      <left>
        <color indexed="63"/>
      </left>
      <right style="thin">
        <color rgb="FF000000"/>
      </right>
      <top>
        <color indexed="63"/>
      </top>
      <bottom style="medium"/>
      <diagonal style="thin">
        <color rgb="FF000000"/>
      </diagonal>
    </border>
    <border>
      <left style="medium">
        <color rgb="FF000000"/>
      </left>
      <right style="medium">
        <color rgb="FF000000"/>
      </right>
      <top/>
      <bottom style="medium"/>
    </border>
    <border>
      <left style="thin">
        <color rgb="FF000000"/>
      </left>
      <right>
        <color indexed="63"/>
      </right>
      <top style="medium"/>
      <bottom/>
    </border>
    <border>
      <left>
        <color indexed="63"/>
      </left>
      <right style="thin">
        <color rgb="FF000000"/>
      </right>
      <top style="medium"/>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color indexed="63"/>
      </bottom>
    </border>
    <border>
      <left style="medium">
        <color rgb="FF000000"/>
      </left>
      <right style="medium"/>
      <top style="medium"/>
      <bottom style="thin">
        <color rgb="FF000000"/>
      </bottom>
    </border>
    <border>
      <left style="medium">
        <color rgb="FF000000"/>
      </left>
      <right style="medium"/>
      <top style="thin">
        <color rgb="FF000000"/>
      </top>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color indexed="63"/>
      </bottom>
    </border>
    <border>
      <left style="medium"/>
      <right style="medium"/>
      <top style="thin"/>
      <bottom>
        <color indexed="63"/>
      </bottom>
    </border>
    <border>
      <left style="thin"/>
      <right style="medium"/>
      <top style="medium"/>
      <bottom/>
    </border>
    <border>
      <left style="thin"/>
      <right style="medium"/>
      <top style="medium"/>
      <bottom style="medium"/>
    </border>
    <border>
      <left>
        <color indexed="63"/>
      </left>
      <right style="medium"/>
      <top>
        <color indexed="63"/>
      </top>
      <bottom style="medium"/>
    </border>
    <border>
      <left style="medium"/>
      <right style="medium">
        <color rgb="FF000000"/>
      </right>
      <top style="medium"/>
      <bottom style="medium"/>
    </border>
    <border>
      <left style="medium"/>
      <right/>
      <top style="hair"/>
      <bottom style="hair"/>
    </border>
    <border>
      <left style="medium"/>
      <right/>
      <top style="hair"/>
      <bottom>
        <color indexed="63"/>
      </bottom>
    </border>
    <border>
      <left style="hair"/>
      <right style="thin"/>
      <top style="thin"/>
      <bottom/>
    </border>
    <border>
      <left style="hair"/>
      <right style="thin"/>
      <top>
        <color indexed="63"/>
      </top>
      <bottom>
        <color indexed="63"/>
      </bottom>
    </border>
    <border>
      <left style="hair"/>
      <right style="thin"/>
      <top style="hair"/>
      <bottom style="hair"/>
    </border>
    <border>
      <left style="hair"/>
      <right style="thin"/>
      <top/>
      <bottom style="hair">
        <color indexed="8"/>
      </bottom>
    </border>
    <border>
      <left style="hair"/>
      <right style="thin"/>
      <top style="hair"/>
      <bottom style="double"/>
    </border>
    <border>
      <left style="hair"/>
      <right style="double"/>
      <top style="thin"/>
      <bottom/>
    </border>
    <border>
      <left style="hair"/>
      <right style="double"/>
      <top/>
      <bottom/>
    </border>
    <border>
      <left style="double"/>
      <right style="hair"/>
      <top/>
      <bottom/>
    </border>
    <border>
      <left style="double"/>
      <right style="hair"/>
      <top/>
      <bottom style="hair"/>
    </border>
    <border>
      <left style="double"/>
      <right style="hair"/>
      <top style="hair"/>
      <bottom style="hair"/>
    </border>
    <border>
      <left style="double"/>
      <right style="hair"/>
      <top style="hair"/>
      <bottom style="double"/>
    </border>
    <border>
      <left style="thin"/>
      <right style="hair"/>
      <top>
        <color indexed="63"/>
      </top>
      <bottom>
        <color indexed="63"/>
      </bottom>
    </border>
    <border>
      <left style="thin"/>
      <right style="hair"/>
      <top/>
      <bottom style="hair"/>
    </border>
    <border>
      <left style="thin"/>
      <right style="hair"/>
      <top style="hair"/>
      <bottom style="hair"/>
    </border>
    <border>
      <left style="thin"/>
      <right style="hair"/>
      <top style="hair"/>
      <bottom style="double"/>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thin"/>
      <top style="medium"/>
      <bottom/>
    </border>
    <border>
      <left style="medium"/>
      <right style="thin"/>
      <top style="medium"/>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right style="medium"/>
      <top style="medium"/>
      <bottom style="medium">
        <color rgb="FF000000"/>
      </bottom>
    </border>
    <border>
      <left/>
      <right style="medium">
        <color rgb="FF000000"/>
      </right>
      <top style="medium"/>
      <bottom>
        <color indexed="63"/>
      </bottom>
    </border>
    <border>
      <left style="medium">
        <color rgb="FF000000"/>
      </left>
      <right/>
      <top style="medium"/>
      <bottom>
        <color indexed="63"/>
      </bottom>
    </border>
    <border>
      <left/>
      <right style="medium"/>
      <top style="hair"/>
      <bottom style="hair"/>
    </border>
    <border>
      <left/>
      <right style="medium"/>
      <top/>
      <bottom style="hair"/>
    </border>
    <border>
      <left style="medium"/>
      <right/>
      <top style="hair"/>
      <bottom style="medium"/>
    </border>
    <border>
      <left/>
      <right style="medium"/>
      <top style="hair"/>
      <bottom style="medium"/>
    </border>
    <border>
      <left/>
      <right/>
      <top style="double"/>
      <bottom/>
    </border>
    <border>
      <left/>
      <right style="hair"/>
      <top/>
      <bottom style="thin"/>
    </border>
    <border>
      <left style="hair"/>
      <right/>
      <top/>
      <bottom style="thin"/>
    </border>
    <border>
      <left/>
      <right style="double"/>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right/>
      <top/>
      <bottom style="double"/>
    </border>
    <border>
      <left style="double"/>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right style="thin">
        <color indexed="8"/>
      </right>
      <top/>
      <bottom style="thin"/>
    </border>
    <border>
      <left style="double"/>
      <right/>
      <top style="thin"/>
      <bottom/>
    </border>
    <border>
      <left style="double"/>
      <right/>
      <top/>
      <bottom style="thin"/>
    </border>
    <border>
      <left style="hair"/>
      <right style="double"/>
      <top/>
      <bottom style="thin"/>
    </border>
    <border>
      <left style="double"/>
      <right style="hair"/>
      <top style="thin"/>
      <bottom/>
    </border>
    <border>
      <left style="double"/>
      <right style="hair"/>
      <top/>
      <bottom style="thin"/>
    </border>
    <border>
      <left style="thin"/>
      <right style="hair"/>
      <top style="thin"/>
      <bottom/>
    </border>
    <border>
      <left style="thin"/>
      <right style="hair"/>
      <top/>
      <bottom style="thin"/>
    </border>
    <border>
      <left style="hair"/>
      <right style="thin"/>
      <top/>
      <bottom style="thin"/>
    </border>
    <border>
      <left style="thin"/>
      <right/>
      <top style="double"/>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98"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0" fillId="0" borderId="0" applyNumberFormat="0" applyFill="0" applyBorder="0" applyAlignment="0" applyProtection="0"/>
    <xf numFmtId="0" fontId="111" fillId="32" borderId="0" applyNumberFormat="0" applyBorder="0" applyAlignment="0" applyProtection="0"/>
  </cellStyleXfs>
  <cellXfs count="1585">
    <xf numFmtId="0" fontId="0" fillId="0" borderId="0" xfId="0" applyFont="1" applyAlignment="1">
      <alignment vertical="center"/>
    </xf>
    <xf numFmtId="0" fontId="112"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13" fillId="0" borderId="0" xfId="0" applyFont="1" applyAlignment="1" applyProtection="1">
      <alignment horizontal="center" vertical="center"/>
      <protection locked="0"/>
    </xf>
    <xf numFmtId="0" fontId="113" fillId="0" borderId="0" xfId="0" applyFont="1" applyAlignment="1" applyProtection="1">
      <alignment horizontal="left" vertical="center" shrinkToFit="1"/>
      <protection locked="0"/>
    </xf>
    <xf numFmtId="0" fontId="113"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14" fillId="0" borderId="0" xfId="0" applyFont="1" applyAlignment="1" applyProtection="1">
      <alignment horizontal="right" vertical="center"/>
      <protection locked="0"/>
    </xf>
    <xf numFmtId="0" fontId="114" fillId="0" borderId="0" xfId="0" applyFont="1" applyAlignment="1" applyProtection="1">
      <alignment horizontal="left" vertical="center"/>
      <protection locked="0"/>
    </xf>
    <xf numFmtId="0" fontId="114" fillId="0" borderId="0" xfId="0" applyFont="1" applyAlignment="1" applyProtection="1">
      <alignment vertical="center"/>
      <protection locked="0"/>
    </xf>
    <xf numFmtId="0" fontId="113" fillId="0" borderId="10" xfId="0" applyFont="1" applyBorder="1" applyAlignment="1" applyProtection="1">
      <alignment horizontal="center" vertical="top" shrinkToFit="1"/>
      <protection locked="0"/>
    </xf>
    <xf numFmtId="0" fontId="113" fillId="0" borderId="10" xfId="0" applyFont="1" applyBorder="1" applyAlignment="1" applyProtection="1">
      <alignment horizontal="center" vertical="top" wrapText="1"/>
      <protection locked="0"/>
    </xf>
    <xf numFmtId="0" fontId="115" fillId="0" borderId="11" xfId="0" applyFont="1" applyBorder="1" applyAlignment="1" applyProtection="1">
      <alignment horizontal="center" vertical="top" wrapText="1"/>
      <protection locked="0"/>
    </xf>
    <xf numFmtId="0" fontId="115" fillId="0" borderId="12" xfId="0" applyFont="1" applyBorder="1" applyAlignment="1" applyProtection="1">
      <alignment horizontal="center" vertical="top" wrapText="1"/>
      <protection locked="0"/>
    </xf>
    <xf numFmtId="0" fontId="113" fillId="0" borderId="13" xfId="0" applyFont="1" applyBorder="1" applyAlignment="1" applyProtection="1">
      <alignment horizontal="left" vertical="center" shrinkToFit="1"/>
      <protection locked="0"/>
    </xf>
    <xf numFmtId="0" fontId="0" fillId="0" borderId="13" xfId="0" applyBorder="1" applyAlignment="1" applyProtection="1">
      <alignment horizontal="center" vertical="top" wrapText="1"/>
      <protection locked="0"/>
    </xf>
    <xf numFmtId="0" fontId="113" fillId="0" borderId="13" xfId="0" applyFont="1" applyBorder="1" applyAlignment="1" applyProtection="1">
      <alignment horizontal="center" vertical="center" wrapText="1"/>
      <protection locked="0"/>
    </xf>
    <xf numFmtId="0" fontId="113" fillId="0" borderId="14" xfId="0" applyFont="1" applyBorder="1" applyAlignment="1" applyProtection="1">
      <alignment horizontal="center" vertical="center" wrapText="1"/>
      <protection locked="0"/>
    </xf>
    <xf numFmtId="0" fontId="113" fillId="0" borderId="15" xfId="0" applyFont="1" applyBorder="1" applyAlignment="1" applyProtection="1">
      <alignment horizontal="right" vertical="center" wrapText="1"/>
      <protection locked="0"/>
    </xf>
    <xf numFmtId="0" fontId="116" fillId="0" borderId="16" xfId="0" applyFont="1" applyBorder="1" applyAlignment="1" applyProtection="1">
      <alignment horizontal="left" vertical="center" wrapText="1"/>
      <protection locked="0"/>
    </xf>
    <xf numFmtId="0" fontId="113" fillId="0" borderId="17" xfId="0" applyFont="1" applyBorder="1" applyAlignment="1" applyProtection="1">
      <alignment horizontal="right" vertical="center" wrapText="1"/>
      <protection locked="0"/>
    </xf>
    <xf numFmtId="0" fontId="113" fillId="33" borderId="17" xfId="0" applyFont="1" applyFill="1" applyBorder="1" applyAlignment="1" applyProtection="1">
      <alignment horizontal="right" vertical="center" wrapText="1"/>
      <protection locked="0"/>
    </xf>
    <xf numFmtId="0" fontId="0" fillId="33" borderId="0" xfId="0" applyFill="1" applyAlignment="1" applyProtection="1">
      <alignment vertical="center"/>
      <protection locked="0"/>
    </xf>
    <xf numFmtId="0" fontId="113" fillId="33" borderId="15" xfId="0" applyFont="1" applyFill="1" applyBorder="1" applyAlignment="1" applyProtection="1">
      <alignment horizontal="right" vertical="center" wrapText="1"/>
      <protection locked="0"/>
    </xf>
    <xf numFmtId="0" fontId="116" fillId="0" borderId="18" xfId="0" applyFont="1" applyBorder="1" applyAlignment="1" applyProtection="1">
      <alignment horizontal="left" vertical="center" wrapText="1"/>
      <protection locked="0"/>
    </xf>
    <xf numFmtId="178" fontId="116"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10" fillId="0" borderId="18"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left" vertical="center"/>
      <protection locked="0"/>
    </xf>
    <xf numFmtId="0" fontId="117" fillId="0" borderId="10" xfId="0" applyFont="1" applyBorder="1" applyAlignment="1" applyProtection="1">
      <alignment horizontal="center" vertical="top" wrapText="1"/>
      <protection locked="0"/>
    </xf>
    <xf numFmtId="0" fontId="117" fillId="0" borderId="14" xfId="0" applyFont="1" applyBorder="1" applyAlignment="1" applyProtection="1">
      <alignment horizontal="center" vertical="center" wrapText="1"/>
      <protection locked="0"/>
    </xf>
    <xf numFmtId="176" fontId="118" fillId="0" borderId="16" xfId="0" applyNumberFormat="1" applyFont="1" applyBorder="1" applyAlignment="1" applyProtection="1">
      <alignment horizontal="right" vertical="center" wrapText="1"/>
      <protection/>
    </xf>
    <xf numFmtId="0" fontId="119" fillId="0" borderId="15" xfId="0" applyFont="1" applyBorder="1" applyAlignment="1" applyProtection="1">
      <alignment horizontal="right" vertical="center" wrapText="1"/>
      <protection locked="0"/>
    </xf>
    <xf numFmtId="0" fontId="119" fillId="0" borderId="17" xfId="0" applyFont="1" applyBorder="1" applyAlignment="1" applyProtection="1">
      <alignment horizontal="right" vertical="center" wrapText="1"/>
      <protection locked="0"/>
    </xf>
    <xf numFmtId="178" fontId="116"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0" fontId="106" fillId="0" borderId="19" xfId="0" applyFont="1" applyBorder="1" applyAlignment="1" applyProtection="1">
      <alignment vertical="center"/>
      <protection locked="0"/>
    </xf>
    <xf numFmtId="0" fontId="106" fillId="0" borderId="20" xfId="0" applyFont="1" applyBorder="1" applyAlignment="1" applyProtection="1">
      <alignment vertical="center"/>
      <protection locked="0"/>
    </xf>
    <xf numFmtId="0" fontId="123" fillId="0" borderId="0" xfId="0" applyFont="1" applyAlignment="1" applyProtection="1">
      <alignment vertical="center"/>
      <protection locked="0"/>
    </xf>
    <xf numFmtId="0" fontId="0" fillId="0" borderId="0" xfId="0" applyAlignment="1" applyProtection="1">
      <alignment vertical="center"/>
      <protection locked="0"/>
    </xf>
    <xf numFmtId="0" fontId="106" fillId="0" borderId="20" xfId="0" applyFont="1" applyBorder="1" applyAlignment="1" applyProtection="1">
      <alignment horizontal="left" vertical="center"/>
      <protection locked="0"/>
    </xf>
    <xf numFmtId="0" fontId="115" fillId="0" borderId="21" xfId="0" applyFont="1" applyBorder="1" applyAlignment="1" applyProtection="1">
      <alignment horizontal="center" vertical="center"/>
      <protection locked="0"/>
    </xf>
    <xf numFmtId="0" fontId="114" fillId="0" borderId="0" xfId="0" applyFont="1" applyBorder="1" applyAlignment="1" applyProtection="1">
      <alignment vertical="center"/>
      <protection locked="0"/>
    </xf>
    <xf numFmtId="0" fontId="114" fillId="0" borderId="0" xfId="0" applyFont="1" applyBorder="1" applyAlignment="1" applyProtection="1">
      <alignment horizontal="center" vertical="center"/>
      <protection locked="0"/>
    </xf>
    <xf numFmtId="0" fontId="115" fillId="0" borderId="0" xfId="0" applyFont="1" applyBorder="1" applyAlignment="1" applyProtection="1">
      <alignment horizontal="center" vertical="center"/>
      <protection locked="0"/>
    </xf>
    <xf numFmtId="0" fontId="123" fillId="0" borderId="0" xfId="0" applyFont="1" applyBorder="1" applyAlignment="1" applyProtection="1">
      <alignment vertical="center"/>
      <protection locked="0"/>
    </xf>
    <xf numFmtId="0" fontId="124"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1"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23" fillId="33" borderId="0" xfId="0" applyFont="1" applyFill="1" applyAlignment="1" applyProtection="1">
      <alignment vertical="center"/>
      <protection locked="0"/>
    </xf>
    <xf numFmtId="0" fontId="125" fillId="33" borderId="0" xfId="0" applyFont="1" applyFill="1" applyAlignment="1" applyProtection="1">
      <alignment horizontal="center" vertical="center"/>
      <protection locked="0"/>
    </xf>
    <xf numFmtId="0" fontId="126" fillId="33" borderId="0" xfId="0" applyFont="1" applyFill="1" applyAlignment="1" applyProtection="1">
      <alignment horizontal="left" vertical="center"/>
      <protection locked="0"/>
    </xf>
    <xf numFmtId="0" fontId="126" fillId="33" borderId="0" xfId="0" applyFont="1" applyFill="1" applyAlignment="1" applyProtection="1">
      <alignment horizontal="center" vertical="center"/>
      <protection locked="0"/>
    </xf>
    <xf numFmtId="0" fontId="127" fillId="33" borderId="0" xfId="0" applyFont="1" applyFill="1" applyAlignment="1" applyProtection="1">
      <alignment vertical="center"/>
      <protection locked="0"/>
    </xf>
    <xf numFmtId="0" fontId="128" fillId="33" borderId="0" xfId="0" applyFont="1" applyFill="1" applyAlignment="1" applyProtection="1">
      <alignment horizontal="justify" vertical="center"/>
      <protection locked="0"/>
    </xf>
    <xf numFmtId="0" fontId="114"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13" fillId="33" borderId="22" xfId="0" applyFont="1" applyFill="1" applyBorder="1" applyAlignment="1" applyProtection="1">
      <alignment horizontal="justify" vertical="center" wrapText="1"/>
      <protection locked="0"/>
    </xf>
    <xf numFmtId="0" fontId="113" fillId="33" borderId="23" xfId="0" applyFont="1" applyFill="1" applyBorder="1" applyAlignment="1" applyProtection="1">
      <alignment horizontal="justify" vertical="center" wrapText="1"/>
      <protection locked="0"/>
    </xf>
    <xf numFmtId="0" fontId="113" fillId="33" borderId="24" xfId="0" applyFont="1" applyFill="1" applyBorder="1" applyAlignment="1" applyProtection="1">
      <alignment horizontal="center" vertical="center" wrapText="1"/>
      <protection locked="0"/>
    </xf>
    <xf numFmtId="0" fontId="113" fillId="33" borderId="25" xfId="0" applyFont="1" applyFill="1" applyBorder="1" applyAlignment="1" applyProtection="1">
      <alignment horizontal="center" vertical="center" wrapText="1"/>
      <protection locked="0"/>
    </xf>
    <xf numFmtId="0" fontId="113" fillId="33" borderId="26" xfId="0" applyFont="1" applyFill="1" applyBorder="1" applyAlignment="1" applyProtection="1">
      <alignment horizontal="center" vertical="center" wrapText="1"/>
      <protection locked="0"/>
    </xf>
    <xf numFmtId="0" fontId="113" fillId="33" borderId="27" xfId="0" applyFont="1" applyFill="1" applyBorder="1" applyAlignment="1" applyProtection="1">
      <alignment horizontal="center" vertical="center" wrapText="1"/>
      <protection locked="0"/>
    </xf>
    <xf numFmtId="0" fontId="113" fillId="33" borderId="0" xfId="0" applyFont="1" applyFill="1" applyBorder="1" applyAlignment="1" applyProtection="1">
      <alignment horizontal="justify" vertical="center" wrapText="1"/>
      <protection locked="0"/>
    </xf>
    <xf numFmtId="0" fontId="113" fillId="33" borderId="28" xfId="0" applyFont="1" applyFill="1" applyBorder="1" applyAlignment="1" applyProtection="1">
      <alignment horizontal="justify" vertical="center" wrapText="1"/>
      <protection locked="0"/>
    </xf>
    <xf numFmtId="0" fontId="113" fillId="33" borderId="29" xfId="0" applyFont="1" applyFill="1" applyBorder="1" applyAlignment="1" applyProtection="1">
      <alignment horizontal="center" vertical="center" wrapText="1"/>
      <protection locked="0"/>
    </xf>
    <xf numFmtId="0" fontId="113" fillId="33" borderId="30" xfId="0" applyFont="1" applyFill="1" applyBorder="1" applyAlignment="1" applyProtection="1">
      <alignment horizontal="center" vertical="center" wrapText="1"/>
      <protection locked="0"/>
    </xf>
    <xf numFmtId="0" fontId="113" fillId="33" borderId="31" xfId="0" applyFont="1" applyFill="1" applyBorder="1" applyAlignment="1" applyProtection="1">
      <alignment horizontal="center" vertical="center" wrapText="1"/>
      <protection locked="0"/>
    </xf>
    <xf numFmtId="0" fontId="113" fillId="33" borderId="32" xfId="0" applyFont="1" applyFill="1" applyBorder="1" applyAlignment="1" applyProtection="1">
      <alignment horizontal="center" vertical="center" wrapText="1"/>
      <protection locked="0"/>
    </xf>
    <xf numFmtId="0" fontId="129" fillId="33" borderId="0" xfId="0" applyFont="1" applyFill="1" applyAlignment="1" applyProtection="1">
      <alignment horizontal="justify" vertical="center"/>
      <protection locked="0"/>
    </xf>
    <xf numFmtId="0" fontId="119" fillId="33" borderId="0" xfId="0" applyFont="1" applyFill="1" applyAlignment="1" applyProtection="1">
      <alignment horizontal="justify" vertical="center"/>
      <protection locked="0"/>
    </xf>
    <xf numFmtId="176" fontId="116" fillId="33" borderId="0" xfId="0" applyNumberFormat="1" applyFont="1" applyFill="1" applyBorder="1" applyAlignment="1" applyProtection="1">
      <alignment vertical="center" wrapText="1"/>
      <protection locked="0"/>
    </xf>
    <xf numFmtId="0" fontId="116" fillId="33" borderId="0" xfId="0" applyFont="1" applyFill="1" applyBorder="1" applyAlignment="1" applyProtection="1">
      <alignment vertical="center" wrapText="1"/>
      <protection locked="0"/>
    </xf>
    <xf numFmtId="0" fontId="112"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112" fillId="33" borderId="0" xfId="0" applyFont="1" applyFill="1" applyAlignment="1" applyProtection="1">
      <alignment horizontal="right" vertical="center"/>
      <protection locked="0"/>
    </xf>
    <xf numFmtId="0" fontId="7" fillId="33" borderId="18" xfId="0" applyFont="1" applyFill="1" applyBorder="1" applyAlignment="1" applyProtection="1">
      <alignment horizontal="center" vertical="center"/>
      <protection locked="0"/>
    </xf>
    <xf numFmtId="0" fontId="7" fillId="33" borderId="18" xfId="0" applyFont="1" applyFill="1" applyBorder="1" applyAlignment="1" applyProtection="1">
      <alignment horizontal="left" vertical="center"/>
      <protection locked="0"/>
    </xf>
    <xf numFmtId="58" fontId="7" fillId="33" borderId="18"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2" fillId="0" borderId="18" xfId="0" applyFont="1" applyBorder="1" applyAlignment="1" applyProtection="1">
      <alignment horizontal="center" vertical="center"/>
      <protection locked="0"/>
    </xf>
    <xf numFmtId="0" fontId="112" fillId="0" borderId="18" xfId="0" applyFont="1" applyBorder="1" applyAlignment="1" applyProtection="1" quotePrefix="1">
      <alignment horizontal="center" vertical="center"/>
      <protection locked="0"/>
    </xf>
    <xf numFmtId="0" fontId="7" fillId="33" borderId="16" xfId="0" applyFont="1" applyFill="1" applyBorder="1" applyAlignment="1" applyProtection="1">
      <alignment horizontal="center" vertical="top" wrapText="1"/>
      <protection locked="0"/>
    </xf>
    <xf numFmtId="0" fontId="112" fillId="0" borderId="18" xfId="0" applyFont="1" applyBorder="1" applyAlignment="1" applyProtection="1">
      <alignment horizontal="center" vertical="top" wrapText="1"/>
      <protection locked="0"/>
    </xf>
    <xf numFmtId="0" fontId="120"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13" fillId="0" borderId="0" xfId="0" applyFont="1" applyBorder="1" applyAlignment="1" applyProtection="1">
      <alignment horizontal="center" vertical="top" wrapText="1"/>
      <protection locked="0"/>
    </xf>
    <xf numFmtId="0" fontId="113" fillId="0" borderId="13" xfId="0" applyFont="1" applyBorder="1" applyAlignment="1" applyProtection="1">
      <alignment horizontal="left" vertical="center" wrapText="1"/>
      <protection locked="0"/>
    </xf>
    <xf numFmtId="0" fontId="113" fillId="0" borderId="0" xfId="0" applyFont="1" applyBorder="1" applyAlignment="1" applyProtection="1">
      <alignment horizontal="center" vertical="center" wrapText="1"/>
      <protection locked="0"/>
    </xf>
    <xf numFmtId="176" fontId="116" fillId="0" borderId="0" xfId="0" applyNumberFormat="1" applyFont="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22" fillId="0" borderId="0" xfId="0" applyFont="1" applyAlignment="1" applyProtection="1">
      <alignment vertical="center"/>
      <protection locked="0"/>
    </xf>
    <xf numFmtId="0" fontId="123" fillId="0" borderId="0" xfId="0" applyFont="1" applyAlignment="1" applyProtection="1">
      <alignment vertical="center"/>
      <protection locked="0"/>
    </xf>
    <xf numFmtId="187" fontId="123" fillId="0" borderId="0" xfId="0" applyNumberFormat="1" applyFont="1" applyAlignment="1" applyProtection="1">
      <alignment horizontal="left" vertical="center"/>
      <protection locked="0"/>
    </xf>
    <xf numFmtId="0" fontId="123" fillId="0" borderId="34" xfId="0" applyFont="1" applyBorder="1" applyAlignment="1" applyProtection="1">
      <alignment vertical="center"/>
      <protection locked="0"/>
    </xf>
    <xf numFmtId="0" fontId="123" fillId="0" borderId="35" xfId="0" applyFont="1" applyBorder="1" applyAlignment="1" applyProtection="1">
      <alignment vertical="center"/>
      <protection locked="0"/>
    </xf>
    <xf numFmtId="0" fontId="123" fillId="0" borderId="36" xfId="0" applyFont="1" applyBorder="1" applyAlignment="1" applyProtection="1">
      <alignment vertical="center"/>
      <protection locked="0"/>
    </xf>
    <xf numFmtId="0" fontId="123" fillId="0" borderId="0" xfId="0" applyFont="1" applyBorder="1" applyAlignment="1" applyProtection="1">
      <alignment vertical="center"/>
      <protection locked="0"/>
    </xf>
    <xf numFmtId="0" fontId="123" fillId="0" borderId="16" xfId="0" applyFont="1" applyBorder="1" applyAlignment="1" applyProtection="1">
      <alignment vertical="center"/>
      <protection/>
    </xf>
    <xf numFmtId="0" fontId="123"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0" fillId="0" borderId="0" xfId="0" applyFont="1" applyAlignment="1" applyProtection="1">
      <alignment vertical="center"/>
      <protection locked="0"/>
    </xf>
    <xf numFmtId="20" fontId="130" fillId="0" borderId="37" xfId="0" applyNumberFormat="1" applyFont="1" applyBorder="1" applyAlignment="1" applyProtection="1">
      <alignment vertical="center"/>
      <protection locked="0"/>
    </xf>
    <xf numFmtId="20" fontId="130" fillId="0" borderId="37"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2" fillId="0" borderId="0" xfId="0" applyFont="1" applyAlignment="1" applyProtection="1">
      <alignment horizontal="center" vertical="center"/>
      <protection locked="0"/>
    </xf>
    <xf numFmtId="20" fontId="130" fillId="0" borderId="34" xfId="0" applyNumberFormat="1" applyFont="1" applyBorder="1" applyAlignment="1" applyProtection="1">
      <alignment vertical="center"/>
      <protection locked="0"/>
    </xf>
    <xf numFmtId="20" fontId="112" fillId="0" borderId="0" xfId="0" applyNumberFormat="1" applyFont="1" applyAlignment="1" applyProtection="1">
      <alignment vertical="center"/>
      <protection/>
    </xf>
    <xf numFmtId="20" fontId="130" fillId="0" borderId="35" xfId="0" applyNumberFormat="1" applyFont="1" applyBorder="1" applyAlignment="1" applyProtection="1">
      <alignment vertical="center"/>
      <protection locked="0"/>
    </xf>
    <xf numFmtId="20" fontId="130" fillId="0" borderId="36" xfId="0" applyNumberFormat="1" applyFont="1" applyBorder="1" applyAlignment="1" applyProtection="1">
      <alignment vertical="center"/>
      <protection locked="0"/>
    </xf>
    <xf numFmtId="20" fontId="130" fillId="0" borderId="0" xfId="0" applyNumberFormat="1" applyFont="1" applyAlignment="1" applyProtection="1">
      <alignment vertical="center"/>
      <protection locked="0"/>
    </xf>
    <xf numFmtId="0" fontId="130" fillId="0" borderId="0" xfId="0" applyFont="1" applyBorder="1" applyAlignment="1" applyProtection="1">
      <alignment vertical="center"/>
      <protection locked="0"/>
    </xf>
    <xf numFmtId="0" fontId="123" fillId="0" borderId="37" xfId="0" applyFont="1" applyBorder="1" applyAlignment="1" applyProtection="1">
      <alignment vertical="center"/>
      <protection locked="0"/>
    </xf>
    <xf numFmtId="0" fontId="123" fillId="0" borderId="0" xfId="0" applyFont="1" applyBorder="1" applyAlignment="1" applyProtection="1">
      <alignment vertical="center"/>
      <protection/>
    </xf>
    <xf numFmtId="0" fontId="123" fillId="0" borderId="0" xfId="0" applyFont="1" applyAlignment="1" applyProtection="1">
      <alignment horizontal="center" vertical="center"/>
      <protection/>
    </xf>
    <xf numFmtId="0" fontId="123" fillId="0" borderId="0" xfId="0" applyFont="1" applyAlignment="1" applyProtection="1" quotePrefix="1">
      <alignment horizontal="center" vertical="center"/>
      <protection locked="0"/>
    </xf>
    <xf numFmtId="187" fontId="123" fillId="0" borderId="0" xfId="0" applyNumberFormat="1" applyFont="1" applyAlignment="1" applyProtection="1">
      <alignment horizontal="left" vertical="center"/>
      <protection/>
    </xf>
    <xf numFmtId="0" fontId="131" fillId="0" borderId="0" xfId="0" applyFont="1" applyAlignment="1" applyProtection="1">
      <alignment horizontal="left" vertical="center"/>
      <protection locked="0"/>
    </xf>
    <xf numFmtId="188" fontId="122"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2"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8" xfId="53" applyFont="1" applyFill="1" applyBorder="1" applyAlignment="1" applyProtection="1">
      <alignment horizontal="center" vertical="center"/>
      <protection locked="0"/>
    </xf>
    <xf numFmtId="38" fontId="3" fillId="0" borderId="39" xfId="53" applyFont="1" applyFill="1" applyBorder="1" applyAlignment="1" applyProtection="1">
      <alignment horizontal="right" vertical="center"/>
      <protection locked="0"/>
    </xf>
    <xf numFmtId="38" fontId="3" fillId="0" borderId="40" xfId="53" applyFont="1" applyFill="1" applyBorder="1" applyAlignment="1" applyProtection="1">
      <alignment horizontal="right" vertical="center"/>
      <protection locked="0"/>
    </xf>
    <xf numFmtId="38" fontId="3" fillId="0" borderId="41"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42"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43" xfId="53" applyFont="1" applyFill="1" applyBorder="1" applyAlignment="1" applyProtection="1">
      <alignment horizontal="centerContinuous" vertical="center"/>
      <protection locked="0"/>
    </xf>
    <xf numFmtId="38" fontId="3" fillId="0" borderId="41"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Continuous" vertical="center"/>
      <protection locked="0"/>
    </xf>
    <xf numFmtId="38" fontId="3" fillId="0" borderId="48" xfId="53" applyFont="1" applyFill="1" applyBorder="1" applyAlignment="1" applyProtection="1">
      <alignment horizontal="centerContinuous" vertical="center"/>
      <protection locked="0"/>
    </xf>
    <xf numFmtId="38" fontId="3" fillId="0" borderId="49" xfId="53" applyFont="1" applyFill="1" applyBorder="1" applyAlignment="1" applyProtection="1">
      <alignment horizontal="centerContinuous" vertical="center"/>
      <protection locked="0"/>
    </xf>
    <xf numFmtId="38" fontId="3" fillId="0" borderId="50" xfId="53" applyFont="1" applyFill="1" applyBorder="1" applyAlignment="1" applyProtection="1">
      <alignment horizontal="centerContinuous" vertical="center"/>
      <protection locked="0"/>
    </xf>
    <xf numFmtId="38" fontId="3" fillId="0" borderId="51" xfId="53" applyFont="1" applyFill="1" applyBorder="1" applyAlignment="1" applyProtection="1">
      <alignment horizontal="center" vertical="center" shrinkToFit="1"/>
      <protection locked="0"/>
    </xf>
    <xf numFmtId="38" fontId="3" fillId="0" borderId="52" xfId="53" applyFont="1" applyFill="1" applyBorder="1" applyAlignment="1" applyProtection="1">
      <alignment horizontal="right" vertical="center" shrinkToFit="1"/>
      <protection locked="0"/>
    </xf>
    <xf numFmtId="38" fontId="3" fillId="0" borderId="53" xfId="53" applyFont="1" applyFill="1" applyBorder="1" applyAlignment="1" applyProtection="1">
      <alignment horizontal="right" vertical="center" shrinkToFit="1"/>
      <protection locked="0"/>
    </xf>
    <xf numFmtId="38" fontId="3" fillId="0" borderId="49"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8" xfId="53" applyFont="1" applyFill="1" applyBorder="1" applyAlignment="1" applyProtection="1">
      <alignment vertical="center" shrinkToFit="1"/>
      <protection locked="0"/>
    </xf>
    <xf numFmtId="38" fontId="3" fillId="0" borderId="50" xfId="53" applyFont="1" applyFill="1" applyBorder="1" applyAlignment="1" applyProtection="1">
      <alignment horizontal="center" vertical="center" shrinkToFit="1"/>
      <protection locked="0"/>
    </xf>
    <xf numFmtId="38" fontId="3" fillId="0" borderId="48" xfId="53" applyFont="1" applyFill="1" applyBorder="1" applyAlignment="1" applyProtection="1">
      <alignment horizontal="center" vertical="center" shrinkToFit="1"/>
      <protection locked="0"/>
    </xf>
    <xf numFmtId="38" fontId="3" fillId="0" borderId="49"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4" xfId="53" applyFont="1" applyFill="1" applyBorder="1" applyAlignment="1" applyProtection="1">
      <alignment horizontal="center" vertical="center" shrinkToFit="1"/>
      <protection locked="0"/>
    </xf>
    <xf numFmtId="38" fontId="3" fillId="34" borderId="55" xfId="53" applyFont="1" applyFill="1" applyBorder="1" applyAlignment="1" applyProtection="1">
      <alignment horizontal="right" vertical="center" shrinkToFit="1"/>
      <protection locked="0"/>
    </xf>
    <xf numFmtId="38" fontId="3" fillId="34" borderId="56" xfId="53" applyFont="1" applyFill="1" applyBorder="1" applyAlignment="1" applyProtection="1">
      <alignment vertical="center" shrinkToFit="1"/>
      <protection locked="0"/>
    </xf>
    <xf numFmtId="38" fontId="3" fillId="34" borderId="57"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center" vertical="center" shrinkToFit="1"/>
      <protection locked="0"/>
    </xf>
    <xf numFmtId="38" fontId="3" fillId="0" borderId="55" xfId="53" applyFont="1" applyFill="1" applyBorder="1" applyAlignment="1" applyProtection="1">
      <alignment horizontal="right" vertical="center" shrinkToFit="1"/>
      <protection locked="0"/>
    </xf>
    <xf numFmtId="38" fontId="3" fillId="0" borderId="58" xfId="53" applyFont="1" applyFill="1" applyBorder="1" applyAlignment="1" applyProtection="1">
      <alignment horizontal="right" vertical="center" shrinkToFit="1"/>
      <protection locked="0"/>
    </xf>
    <xf numFmtId="38" fontId="3" fillId="0" borderId="56" xfId="53" applyFont="1" applyFill="1" applyBorder="1" applyAlignment="1" applyProtection="1">
      <alignment vertical="center" shrinkToFit="1"/>
      <protection locked="0"/>
    </xf>
    <xf numFmtId="38" fontId="3" fillId="0" borderId="57" xfId="53" applyFont="1" applyFill="1" applyBorder="1" applyAlignment="1" applyProtection="1">
      <alignment horizontal="right" vertical="center" shrinkToFit="1"/>
      <protection locked="0"/>
    </xf>
    <xf numFmtId="38" fontId="3" fillId="0" borderId="57" xfId="53" applyFont="1" applyFill="1" applyBorder="1" applyAlignment="1" applyProtection="1">
      <alignment horizontal="center" vertical="center" shrinkToFit="1"/>
      <protection locked="0"/>
    </xf>
    <xf numFmtId="38" fontId="3" fillId="0" borderId="59"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center" vertical="center" shrinkToFit="1"/>
      <protection locked="0"/>
    </xf>
    <xf numFmtId="38" fontId="3" fillId="0" borderId="60" xfId="53" applyFont="1" applyFill="1" applyBorder="1" applyAlignment="1" applyProtection="1">
      <alignment horizontal="center" vertical="center" shrinkToFit="1"/>
      <protection locked="0"/>
    </xf>
    <xf numFmtId="38" fontId="3" fillId="0" borderId="61" xfId="53" applyFont="1" applyFill="1" applyBorder="1" applyAlignment="1" applyProtection="1">
      <alignment horizontal="right" vertical="center" shrinkToFit="1"/>
      <protection locked="0"/>
    </xf>
    <xf numFmtId="38" fontId="3" fillId="0" borderId="57" xfId="53" applyFont="1" applyFill="1" applyBorder="1" applyAlignment="1" applyProtection="1">
      <alignment vertical="center" shrinkToFit="1"/>
      <protection locked="0"/>
    </xf>
    <xf numFmtId="38" fontId="3" fillId="0" borderId="59" xfId="53" applyFont="1" applyFill="1" applyBorder="1" applyAlignment="1" applyProtection="1">
      <alignment horizontal="right" vertical="center" shrinkToFit="1"/>
      <protection locked="0"/>
    </xf>
    <xf numFmtId="38" fontId="3" fillId="0" borderId="56" xfId="53" applyFont="1" applyFill="1" applyBorder="1" applyAlignment="1" applyProtection="1">
      <alignment horizontal="right" vertical="center" shrinkToFit="1"/>
      <protection locked="0"/>
    </xf>
    <xf numFmtId="190" fontId="3" fillId="0" borderId="60" xfId="53" applyNumberFormat="1" applyFont="1" applyFill="1" applyBorder="1" applyAlignment="1" applyProtection="1">
      <alignment horizontal="right" vertical="center" shrinkToFit="1"/>
      <protection locked="0"/>
    </xf>
    <xf numFmtId="190" fontId="3" fillId="0" borderId="62" xfId="53" applyNumberFormat="1" applyFont="1" applyFill="1" applyBorder="1" applyAlignment="1" applyProtection="1">
      <alignment horizontal="right" vertical="center" shrinkToFit="1"/>
      <protection locked="0"/>
    </xf>
    <xf numFmtId="190" fontId="3" fillId="0" borderId="63" xfId="53" applyNumberFormat="1" applyFont="1" applyFill="1" applyBorder="1" applyAlignment="1" applyProtection="1">
      <alignment horizontal="right" vertical="center" shrinkToFit="1"/>
      <protection locked="0"/>
    </xf>
    <xf numFmtId="190" fontId="3" fillId="0" borderId="64" xfId="53" applyNumberFormat="1" applyFont="1" applyFill="1" applyBorder="1" applyAlignment="1" applyProtection="1">
      <alignment horizontal="right" vertical="center" shrinkToFit="1"/>
      <protection locked="0"/>
    </xf>
    <xf numFmtId="38" fontId="3" fillId="34" borderId="61" xfId="53" applyFont="1" applyFill="1" applyBorder="1" applyAlignment="1" applyProtection="1">
      <alignment horizontal="right" vertical="center" shrinkToFit="1"/>
      <protection locked="0"/>
    </xf>
    <xf numFmtId="38" fontId="3" fillId="34" borderId="57" xfId="53" applyFont="1" applyFill="1" applyBorder="1" applyAlignment="1" applyProtection="1">
      <alignment vertical="center" shrinkToFit="1"/>
      <protection locked="0"/>
    </xf>
    <xf numFmtId="190" fontId="3" fillId="0" borderId="59" xfId="53" applyNumberFormat="1" applyFont="1" applyFill="1" applyBorder="1" applyAlignment="1" applyProtection="1">
      <alignment horizontal="right" vertical="center" shrinkToFit="1"/>
      <protection locked="0"/>
    </xf>
    <xf numFmtId="190" fontId="3" fillId="0" borderId="56" xfId="53" applyNumberFormat="1" applyFont="1" applyFill="1" applyBorder="1" applyAlignment="1" applyProtection="1">
      <alignment horizontal="right" vertical="center" shrinkToFit="1"/>
      <protection locked="0"/>
    </xf>
    <xf numFmtId="38" fontId="3" fillId="34" borderId="65" xfId="53" applyFont="1" applyFill="1" applyBorder="1" applyAlignment="1" applyProtection="1">
      <alignment horizontal="right" vertical="center" shrinkToFit="1"/>
      <protection locked="0"/>
    </xf>
    <xf numFmtId="38" fontId="3" fillId="34" borderId="66" xfId="53" applyFont="1" applyFill="1" applyBorder="1" applyAlignment="1" applyProtection="1">
      <alignment horizontal="right" vertical="center" shrinkToFit="1"/>
      <protection locked="0"/>
    </xf>
    <xf numFmtId="38" fontId="3" fillId="34" borderId="67" xfId="53" applyFont="1" applyFill="1" applyBorder="1" applyAlignment="1" applyProtection="1">
      <alignment vertical="center" shrinkToFit="1"/>
      <protection locked="0"/>
    </xf>
    <xf numFmtId="38" fontId="3" fillId="0" borderId="65" xfId="53" applyFont="1" applyFill="1" applyBorder="1" applyAlignment="1" applyProtection="1">
      <alignment horizontal="right" vertical="center" shrinkToFit="1"/>
      <protection locked="0"/>
    </xf>
    <xf numFmtId="38" fontId="3" fillId="0" borderId="68"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center" vertical="center" shrinkToFit="1"/>
      <protection locked="0"/>
    </xf>
    <xf numFmtId="38" fontId="3" fillId="0" borderId="70" xfId="53" applyFont="1" applyFill="1" applyBorder="1" applyAlignment="1" applyProtection="1">
      <alignment horizontal="right" vertical="center" shrinkToFit="1"/>
      <protection locked="0"/>
    </xf>
    <xf numFmtId="38" fontId="3" fillId="0" borderId="67" xfId="53" applyFont="1" applyFill="1" applyBorder="1" applyAlignment="1" applyProtection="1">
      <alignment vertical="center" shrinkToFit="1"/>
      <protection locked="0"/>
    </xf>
    <xf numFmtId="38" fontId="3" fillId="0" borderId="71" xfId="53" applyFont="1" applyFill="1" applyBorder="1" applyAlignment="1" applyProtection="1">
      <alignment horizontal="right" vertical="center" shrinkToFit="1"/>
      <protection locked="0"/>
    </xf>
    <xf numFmtId="38" fontId="3" fillId="0" borderId="72" xfId="53" applyFont="1" applyFill="1" applyBorder="1" applyAlignment="1" applyProtection="1">
      <alignment horizontal="right" vertical="center" shrinkToFit="1"/>
      <protection locked="0"/>
    </xf>
    <xf numFmtId="190" fontId="3" fillId="0" borderId="73" xfId="53" applyNumberFormat="1" applyFont="1" applyFill="1" applyBorder="1" applyAlignment="1" applyProtection="1">
      <alignment horizontal="right" vertical="center" shrinkToFit="1"/>
      <protection locked="0"/>
    </xf>
    <xf numFmtId="38" fontId="3" fillId="34" borderId="70" xfId="53" applyFont="1" applyFill="1" applyBorder="1" applyAlignment="1" applyProtection="1">
      <alignment horizontal="right" vertical="center" shrinkToFit="1"/>
      <protection locked="0"/>
    </xf>
    <xf numFmtId="38" fontId="3" fillId="0" borderId="67" xfId="53" applyFont="1" applyFill="1" applyBorder="1" applyAlignment="1" applyProtection="1">
      <alignment horizontal="right" vertical="center" shrinkToFit="1"/>
      <protection locked="0"/>
    </xf>
    <xf numFmtId="38" fontId="3" fillId="0" borderId="74" xfId="53" applyFont="1" applyFill="1" applyBorder="1" applyAlignment="1" applyProtection="1">
      <alignment horizontal="right" vertical="center" shrinkToFit="1"/>
      <protection locked="0"/>
    </xf>
    <xf numFmtId="38" fontId="3" fillId="0" borderId="67" xfId="53" applyFont="1" applyFill="1" applyBorder="1" applyAlignment="1" applyProtection="1">
      <alignment horizontal="center" vertical="center" shrinkToFit="1"/>
      <protection locked="0"/>
    </xf>
    <xf numFmtId="190" fontId="3" fillId="0" borderId="75" xfId="53" applyNumberFormat="1" applyFont="1" applyFill="1" applyBorder="1" applyAlignment="1" applyProtection="1">
      <alignment horizontal="right" vertical="center" shrinkToFit="1"/>
      <protection locked="0"/>
    </xf>
    <xf numFmtId="38" fontId="3" fillId="0" borderId="76" xfId="53" applyFont="1" applyFill="1" applyBorder="1" applyAlignment="1" applyProtection="1">
      <alignment horizontal="center" vertical="center" shrinkToFit="1"/>
      <protection locked="0"/>
    </xf>
    <xf numFmtId="190" fontId="3" fillId="0" borderId="77" xfId="53" applyNumberFormat="1" applyFont="1" applyFill="1" applyBorder="1" applyAlignment="1" applyProtection="1">
      <alignment horizontal="right" vertical="center" shrinkToFit="1"/>
      <protection locked="0"/>
    </xf>
    <xf numFmtId="38" fontId="3" fillId="34" borderId="76" xfId="53" applyFont="1" applyFill="1" applyBorder="1" applyAlignment="1" applyProtection="1">
      <alignment horizontal="center" vertical="center" shrinkToFit="1"/>
      <protection locked="0"/>
    </xf>
    <xf numFmtId="38" fontId="3" fillId="0" borderId="78" xfId="53" applyFont="1" applyFill="1" applyBorder="1" applyAlignment="1" applyProtection="1">
      <alignment horizontal="right" vertical="center" shrinkToFit="1"/>
      <protection locked="0"/>
    </xf>
    <xf numFmtId="38" fontId="3" fillId="0" borderId="79" xfId="53" applyFont="1" applyFill="1" applyBorder="1" applyAlignment="1" applyProtection="1">
      <alignment horizontal="center" vertical="center" shrinkToFit="1"/>
      <protection locked="0"/>
    </xf>
    <xf numFmtId="38" fontId="3" fillId="0" borderId="80"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49" xfId="53" applyFont="1" applyFill="1" applyBorder="1" applyAlignment="1" applyProtection="1">
      <alignment horizontal="right" vertical="center" shrinkToFit="1"/>
      <protection locked="0"/>
    </xf>
    <xf numFmtId="38" fontId="3" fillId="0" borderId="48" xfId="53" applyFont="1" applyFill="1" applyBorder="1" applyAlignment="1" applyProtection="1">
      <alignment horizontal="right" vertical="center" shrinkToFit="1"/>
      <protection locked="0"/>
    </xf>
    <xf numFmtId="190" fontId="3" fillId="0" borderId="81" xfId="53" applyNumberFormat="1" applyFont="1" applyFill="1" applyBorder="1" applyAlignment="1" applyProtection="1">
      <alignment horizontal="right" vertical="center" shrinkToFit="1"/>
      <protection locked="0"/>
    </xf>
    <xf numFmtId="38" fontId="3" fillId="0" borderId="82" xfId="53" applyFont="1" applyFill="1" applyBorder="1" applyAlignment="1" applyProtection="1">
      <alignment horizontal="center" vertical="center" shrinkToFit="1"/>
      <protection locked="0"/>
    </xf>
    <xf numFmtId="190" fontId="3" fillId="0" borderId="83" xfId="53" applyNumberFormat="1" applyFont="1" applyFill="1" applyBorder="1" applyAlignment="1" applyProtection="1">
      <alignment horizontal="right" vertical="center" shrinkToFit="1"/>
      <protection locked="0"/>
    </xf>
    <xf numFmtId="38" fontId="3" fillId="34" borderId="84" xfId="53" applyFont="1" applyFill="1" applyBorder="1" applyAlignment="1" applyProtection="1">
      <alignment horizontal="center" vertical="center" shrinkToFit="1"/>
      <protection locked="0"/>
    </xf>
    <xf numFmtId="38" fontId="3" fillId="0" borderId="84" xfId="53" applyFont="1" applyFill="1" applyBorder="1" applyAlignment="1" applyProtection="1">
      <alignment horizontal="center" vertical="center" shrinkToFit="1"/>
      <protection locked="0"/>
    </xf>
    <xf numFmtId="38" fontId="3" fillId="0" borderId="85" xfId="53" applyFont="1" applyFill="1" applyBorder="1" applyAlignment="1" applyProtection="1">
      <alignment horizontal="center" vertical="center" shrinkToFit="1"/>
      <protection locked="0"/>
    </xf>
    <xf numFmtId="38" fontId="3" fillId="0" borderId="86" xfId="53" applyFont="1" applyFill="1" applyBorder="1" applyAlignment="1" applyProtection="1">
      <alignment horizontal="right" vertical="center" shrinkToFit="1"/>
      <protection locked="0"/>
    </xf>
    <xf numFmtId="38" fontId="3" fillId="0" borderId="87" xfId="53" applyFont="1" applyFill="1" applyBorder="1" applyAlignment="1" applyProtection="1">
      <alignment horizontal="right" vertical="center" shrinkToFit="1"/>
      <protection locked="0"/>
    </xf>
    <xf numFmtId="38" fontId="3" fillId="0" borderId="87" xfId="53" applyFont="1" applyFill="1" applyBorder="1" applyAlignment="1" applyProtection="1">
      <alignment horizontal="center" vertical="center" shrinkToFit="1"/>
      <protection locked="0"/>
    </xf>
    <xf numFmtId="38" fontId="3" fillId="0" borderId="86" xfId="53" applyFont="1" applyFill="1" applyBorder="1" applyAlignment="1" applyProtection="1">
      <alignment horizontal="center" vertical="center" shrinkToFit="1"/>
      <protection locked="0"/>
    </xf>
    <xf numFmtId="38" fontId="3" fillId="0" borderId="87" xfId="53" applyFont="1" applyFill="1" applyBorder="1" applyAlignment="1" applyProtection="1">
      <alignment vertical="center" shrinkToFit="1"/>
      <protection locked="0"/>
    </xf>
    <xf numFmtId="38" fontId="3" fillId="0" borderId="88" xfId="53" applyFont="1" applyFill="1" applyBorder="1" applyAlignment="1" applyProtection="1">
      <alignment horizontal="right" vertical="center" shrinkToFit="1"/>
      <protection locked="0"/>
    </xf>
    <xf numFmtId="190" fontId="3" fillId="0" borderId="89"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90" xfId="53" applyNumberFormat="1" applyFont="1" applyFill="1" applyBorder="1" applyAlignment="1" applyProtection="1">
      <alignment horizontal="right" vertical="center" shrinkToFit="1"/>
      <protection/>
    </xf>
    <xf numFmtId="40" fontId="3" fillId="0" borderId="57" xfId="53" applyNumberFormat="1" applyFont="1" applyFill="1" applyBorder="1" applyAlignment="1" applyProtection="1">
      <alignment horizontal="right" vertical="center" shrinkToFit="1"/>
      <protection/>
    </xf>
    <xf numFmtId="190" fontId="3" fillId="0" borderId="42" xfId="53" applyNumberFormat="1" applyFont="1" applyFill="1" applyBorder="1" applyAlignment="1" applyProtection="1">
      <alignment vertical="center" shrinkToFit="1"/>
      <protection/>
    </xf>
    <xf numFmtId="190" fontId="3" fillId="34" borderId="61" xfId="53" applyNumberFormat="1" applyFont="1" applyFill="1" applyBorder="1" applyAlignment="1" applyProtection="1">
      <alignment vertical="center" shrinkToFit="1"/>
      <protection/>
    </xf>
    <xf numFmtId="190" fontId="3" fillId="0" borderId="61" xfId="53" applyNumberFormat="1" applyFont="1" applyFill="1" applyBorder="1" applyAlignment="1" applyProtection="1">
      <alignment vertical="center" shrinkToFit="1"/>
      <protection/>
    </xf>
    <xf numFmtId="190" fontId="3" fillId="0" borderId="61" xfId="53" applyNumberFormat="1" applyFont="1" applyFill="1" applyBorder="1" applyAlignment="1" applyProtection="1">
      <alignment horizontal="right" vertical="center" shrinkToFit="1"/>
      <protection/>
    </xf>
    <xf numFmtId="190" fontId="3" fillId="34" borderId="61" xfId="53" applyNumberFormat="1" applyFont="1" applyFill="1" applyBorder="1" applyAlignment="1" applyProtection="1">
      <alignment horizontal="right" vertical="center" shrinkToFit="1"/>
      <protection/>
    </xf>
    <xf numFmtId="190" fontId="3" fillId="34" borderId="66" xfId="53" applyNumberFormat="1" applyFont="1" applyFill="1" applyBorder="1" applyAlignment="1" applyProtection="1">
      <alignment horizontal="right" vertical="center" shrinkToFit="1"/>
      <protection/>
    </xf>
    <xf numFmtId="190" fontId="3" fillId="0" borderId="66" xfId="53" applyNumberFormat="1" applyFont="1" applyFill="1" applyBorder="1" applyAlignment="1" applyProtection="1">
      <alignment horizontal="right" vertical="center" shrinkToFit="1"/>
      <protection/>
    </xf>
    <xf numFmtId="190" fontId="3" fillId="0" borderId="42" xfId="53" applyNumberFormat="1" applyFont="1" applyFill="1" applyBorder="1" applyAlignment="1" applyProtection="1">
      <alignment horizontal="right" vertical="center" shrinkToFit="1"/>
      <protection/>
    </xf>
    <xf numFmtId="190" fontId="3" fillId="0" borderId="91"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horizontal="right" vertical="center" shrinkToFit="1"/>
      <protection/>
    </xf>
    <xf numFmtId="190" fontId="3" fillId="0" borderId="67" xfId="53" applyNumberFormat="1" applyFont="1" applyFill="1" applyBorder="1" applyAlignment="1" applyProtection="1">
      <alignment horizontal="right" vertical="center" shrinkToFit="1"/>
      <protection/>
    </xf>
    <xf numFmtId="190" fontId="3" fillId="0" borderId="92" xfId="53" applyNumberFormat="1" applyFont="1" applyFill="1" applyBorder="1" applyAlignment="1" applyProtection="1">
      <alignment horizontal="right" vertical="center" shrinkToFit="1"/>
      <protection/>
    </xf>
    <xf numFmtId="190" fontId="3" fillId="0" borderId="93" xfId="53" applyNumberFormat="1" applyFont="1" applyFill="1" applyBorder="1" applyAlignment="1" applyProtection="1">
      <alignment horizontal="right" vertical="center" shrinkToFit="1"/>
      <protection/>
    </xf>
    <xf numFmtId="190" fontId="3" fillId="0" borderId="86" xfId="53" applyNumberFormat="1" applyFont="1" applyFill="1" applyBorder="1" applyAlignment="1" applyProtection="1">
      <alignment horizontal="right" vertical="center" shrinkToFit="1"/>
      <protection/>
    </xf>
    <xf numFmtId="190" fontId="3" fillId="0" borderId="91" xfId="53" applyNumberFormat="1" applyFont="1" applyFill="1" applyBorder="1" applyAlignment="1" applyProtection="1">
      <alignment vertical="center" shrinkToFit="1"/>
      <protection/>
    </xf>
    <xf numFmtId="190" fontId="3" fillId="0" borderId="94" xfId="53" applyNumberFormat="1" applyFont="1" applyFill="1" applyBorder="1" applyAlignment="1" applyProtection="1">
      <alignment vertical="center" shrinkToFit="1"/>
      <protection/>
    </xf>
    <xf numFmtId="190" fontId="3" fillId="0" borderId="95" xfId="53" applyNumberFormat="1" applyFont="1" applyFill="1" applyBorder="1" applyAlignment="1" applyProtection="1">
      <alignment vertical="center" shrinkToFit="1"/>
      <protection/>
    </xf>
    <xf numFmtId="38" fontId="3" fillId="12" borderId="54" xfId="53" applyFont="1" applyFill="1" applyBorder="1" applyAlignment="1" applyProtection="1">
      <alignment horizontal="center" vertical="center" shrinkToFit="1"/>
      <protection locked="0"/>
    </xf>
    <xf numFmtId="38" fontId="3" fillId="12" borderId="55" xfId="53" applyFont="1" applyFill="1" applyBorder="1" applyAlignment="1" applyProtection="1">
      <alignment horizontal="right" vertical="center" shrinkToFit="1"/>
      <protection locked="0"/>
    </xf>
    <xf numFmtId="38" fontId="3" fillId="12" borderId="58" xfId="53" applyFont="1" applyFill="1" applyBorder="1" applyAlignment="1" applyProtection="1">
      <alignment horizontal="right" vertical="center" shrinkToFit="1"/>
      <protection locked="0"/>
    </xf>
    <xf numFmtId="38" fontId="3" fillId="12" borderId="56" xfId="53" applyFont="1" applyFill="1" applyBorder="1" applyAlignment="1" applyProtection="1">
      <alignment vertical="center" shrinkToFit="1"/>
      <protection locked="0"/>
    </xf>
    <xf numFmtId="38" fontId="3" fillId="12" borderId="57" xfId="53" applyFont="1" applyFill="1" applyBorder="1" applyAlignment="1" applyProtection="1">
      <alignment horizontal="right" vertical="center" shrinkToFit="1"/>
      <protection locked="0"/>
    </xf>
    <xf numFmtId="38" fontId="3" fillId="12" borderId="57" xfId="53" applyFont="1" applyFill="1" applyBorder="1" applyAlignment="1" applyProtection="1">
      <alignment horizontal="center" vertical="center" shrinkToFit="1"/>
      <protection locked="0"/>
    </xf>
    <xf numFmtId="38" fontId="3" fillId="12" borderId="59"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center" vertical="center" shrinkToFit="1"/>
      <protection locked="0"/>
    </xf>
    <xf numFmtId="38" fontId="3" fillId="12" borderId="60" xfId="53" applyFont="1" applyFill="1" applyBorder="1" applyAlignment="1" applyProtection="1">
      <alignment horizontal="center" vertical="center" shrinkToFit="1"/>
      <protection locked="0"/>
    </xf>
    <xf numFmtId="38" fontId="3" fillId="12" borderId="61" xfId="53" applyFont="1" applyFill="1" applyBorder="1" applyAlignment="1" applyProtection="1">
      <alignment horizontal="right" vertical="center" shrinkToFit="1"/>
      <protection locked="0"/>
    </xf>
    <xf numFmtId="38" fontId="3" fillId="12" borderId="57" xfId="53" applyFont="1" applyFill="1" applyBorder="1" applyAlignment="1" applyProtection="1">
      <alignment vertical="center" shrinkToFit="1"/>
      <protection locked="0"/>
    </xf>
    <xf numFmtId="38" fontId="3" fillId="12" borderId="59" xfId="53" applyFont="1" applyFill="1" applyBorder="1" applyAlignment="1" applyProtection="1">
      <alignment horizontal="right" vertical="center" shrinkToFit="1"/>
      <protection locked="0"/>
    </xf>
    <xf numFmtId="38" fontId="3" fillId="12" borderId="56" xfId="53" applyFont="1" applyFill="1" applyBorder="1" applyAlignment="1" applyProtection="1">
      <alignment horizontal="right" vertical="center" shrinkToFit="1"/>
      <protection locked="0"/>
    </xf>
    <xf numFmtId="190" fontId="3" fillId="12" borderId="60" xfId="53" applyNumberFormat="1" applyFont="1" applyFill="1" applyBorder="1" applyAlignment="1" applyProtection="1">
      <alignment horizontal="right" vertical="center" shrinkToFit="1"/>
      <protection locked="0"/>
    </xf>
    <xf numFmtId="190" fontId="3" fillId="12" borderId="59" xfId="53" applyNumberFormat="1" applyFont="1" applyFill="1" applyBorder="1" applyAlignment="1" applyProtection="1">
      <alignment horizontal="right" vertical="center" shrinkToFit="1"/>
      <protection locked="0"/>
    </xf>
    <xf numFmtId="190" fontId="3" fillId="12" borderId="56" xfId="53" applyNumberFormat="1" applyFont="1" applyFill="1" applyBorder="1" applyAlignment="1" applyProtection="1">
      <alignment horizontal="right" vertical="center" shrinkToFit="1"/>
      <protection locked="0"/>
    </xf>
    <xf numFmtId="38" fontId="3" fillId="12" borderId="65" xfId="53" applyFont="1" applyFill="1" applyBorder="1" applyAlignment="1" applyProtection="1">
      <alignment horizontal="right" vertical="center" shrinkToFit="1"/>
      <protection locked="0"/>
    </xf>
    <xf numFmtId="38" fontId="3" fillId="12" borderId="74" xfId="53" applyFont="1" applyFill="1" applyBorder="1" applyAlignment="1" applyProtection="1">
      <alignment horizontal="right" vertical="center" shrinkToFit="1"/>
      <protection locked="0"/>
    </xf>
    <xf numFmtId="38" fontId="3" fillId="12" borderId="67" xfId="53" applyFont="1" applyFill="1" applyBorder="1" applyAlignment="1" applyProtection="1">
      <alignment horizontal="center" vertical="center" shrinkToFit="1"/>
      <protection locked="0"/>
    </xf>
    <xf numFmtId="38" fontId="3" fillId="12" borderId="66" xfId="53" applyFont="1" applyFill="1" applyBorder="1" applyAlignment="1" applyProtection="1">
      <alignment horizontal="right" vertical="center" shrinkToFit="1"/>
      <protection locked="0"/>
    </xf>
    <xf numFmtId="38" fontId="3" fillId="12" borderId="67" xfId="53" applyFont="1" applyFill="1" applyBorder="1" applyAlignment="1" applyProtection="1">
      <alignment vertical="center" shrinkToFit="1"/>
      <protection locked="0"/>
    </xf>
    <xf numFmtId="38" fontId="3" fillId="12" borderId="71" xfId="53" applyFont="1" applyFill="1" applyBorder="1" applyAlignment="1" applyProtection="1">
      <alignment horizontal="right" vertical="center" shrinkToFit="1"/>
      <protection locked="0"/>
    </xf>
    <xf numFmtId="38" fontId="3" fillId="12" borderId="72" xfId="53" applyFont="1" applyFill="1" applyBorder="1" applyAlignment="1" applyProtection="1">
      <alignment horizontal="right" vertical="center" shrinkToFit="1"/>
      <protection locked="0"/>
    </xf>
    <xf numFmtId="190" fontId="3" fillId="12" borderId="73" xfId="53" applyNumberFormat="1" applyFont="1" applyFill="1" applyBorder="1" applyAlignment="1" applyProtection="1">
      <alignment horizontal="right" vertical="center" shrinkToFit="1"/>
      <protection locked="0"/>
    </xf>
    <xf numFmtId="38" fontId="3" fillId="12" borderId="68" xfId="53"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center" vertical="center" shrinkToFit="1"/>
      <protection locked="0"/>
    </xf>
    <xf numFmtId="38" fontId="3" fillId="12" borderId="70" xfId="53" applyFont="1" applyFill="1" applyBorder="1" applyAlignment="1" applyProtection="1">
      <alignment horizontal="right" vertical="center" shrinkToFit="1"/>
      <protection locked="0"/>
    </xf>
    <xf numFmtId="38" fontId="3" fillId="12" borderId="67" xfId="53" applyFont="1" applyFill="1" applyBorder="1" applyAlignment="1" applyProtection="1">
      <alignment horizontal="right" vertical="center" shrinkToFit="1"/>
      <protection locked="0"/>
    </xf>
    <xf numFmtId="190" fontId="3" fillId="12" borderId="77" xfId="53" applyNumberFormat="1" applyFont="1" applyFill="1" applyBorder="1" applyAlignment="1" applyProtection="1">
      <alignment horizontal="right" vertical="center" shrinkToFit="1"/>
      <protection locked="0"/>
    </xf>
    <xf numFmtId="190" fontId="3" fillId="12" borderId="75" xfId="53" applyNumberFormat="1" applyFont="1" applyFill="1" applyBorder="1" applyAlignment="1" applyProtection="1">
      <alignment horizontal="right" vertical="center" shrinkToFit="1"/>
      <protection locked="0"/>
    </xf>
    <xf numFmtId="190" fontId="3" fillId="12" borderId="88" xfId="53" applyNumberFormat="1" applyFont="1" applyFill="1" applyBorder="1" applyAlignment="1" applyProtection="1">
      <alignment horizontal="right" vertical="center" shrinkToFit="1"/>
      <protection locked="0"/>
    </xf>
    <xf numFmtId="190" fontId="3" fillId="12" borderId="87" xfId="53" applyNumberFormat="1" applyFont="1" applyFill="1" applyBorder="1" applyAlignment="1" applyProtection="1">
      <alignment horizontal="right" vertical="center" shrinkToFit="1"/>
      <protection locked="0"/>
    </xf>
    <xf numFmtId="190" fontId="3" fillId="12" borderId="89" xfId="53" applyNumberFormat="1" applyFont="1" applyFill="1" applyBorder="1" applyAlignment="1" applyProtection="1">
      <alignment horizontal="right" vertical="center" shrinkToFit="1"/>
      <protection locked="0"/>
    </xf>
    <xf numFmtId="38" fontId="3" fillId="12" borderId="76" xfId="53" applyFont="1" applyFill="1" applyBorder="1" applyAlignment="1" applyProtection="1">
      <alignment horizontal="center" vertical="center" shrinkToFit="1"/>
      <protection locked="0"/>
    </xf>
    <xf numFmtId="190" fontId="3" fillId="12" borderId="83" xfId="53" applyNumberFormat="1" applyFont="1" applyFill="1" applyBorder="1" applyAlignment="1" applyProtection="1">
      <alignment horizontal="right" vertical="center" shrinkToFit="1"/>
      <protection locked="0"/>
    </xf>
    <xf numFmtId="38" fontId="3" fillId="12" borderId="84" xfId="53" applyFont="1" applyFill="1" applyBorder="1" applyAlignment="1" applyProtection="1">
      <alignment horizontal="center" vertical="center" shrinkToFit="1"/>
      <protection locked="0"/>
    </xf>
    <xf numFmtId="40" fontId="3" fillId="12" borderId="57" xfId="53" applyNumberFormat="1" applyFont="1" applyFill="1" applyBorder="1" applyAlignment="1" applyProtection="1">
      <alignment horizontal="right" vertical="center" shrinkToFit="1"/>
      <protection/>
    </xf>
    <xf numFmtId="40" fontId="3" fillId="12" borderId="86" xfId="53" applyNumberFormat="1" applyFont="1" applyFill="1" applyBorder="1" applyAlignment="1" applyProtection="1">
      <alignment horizontal="right" vertical="center" shrinkToFit="1"/>
      <protection/>
    </xf>
    <xf numFmtId="190" fontId="3" fillId="12" borderId="61" xfId="53" applyNumberFormat="1" applyFont="1" applyFill="1" applyBorder="1" applyAlignment="1" applyProtection="1">
      <alignment vertical="center" shrinkToFit="1"/>
      <protection/>
    </xf>
    <xf numFmtId="190" fontId="3" fillId="12" borderId="61" xfId="53" applyNumberFormat="1" applyFont="1" applyFill="1" applyBorder="1" applyAlignment="1" applyProtection="1">
      <alignment horizontal="right" vertical="center" shrinkToFit="1"/>
      <protection/>
    </xf>
    <xf numFmtId="190" fontId="3" fillId="12" borderId="66" xfId="53" applyNumberFormat="1" applyFont="1" applyFill="1" applyBorder="1" applyAlignment="1" applyProtection="1">
      <alignment horizontal="right" vertical="center" shrinkToFit="1"/>
      <protection/>
    </xf>
    <xf numFmtId="190" fontId="3" fillId="12" borderId="57" xfId="53" applyNumberFormat="1" applyFont="1" applyFill="1" applyBorder="1" applyAlignment="1" applyProtection="1">
      <alignment vertical="center" shrinkToFit="1"/>
      <protection/>
    </xf>
    <xf numFmtId="190" fontId="3" fillId="12" borderId="57" xfId="53" applyNumberFormat="1" applyFont="1" applyFill="1" applyBorder="1" applyAlignment="1" applyProtection="1">
      <alignment horizontal="right" vertical="center" shrinkToFit="1"/>
      <protection/>
    </xf>
    <xf numFmtId="190" fontId="3" fillId="12" borderId="67" xfId="53" applyNumberFormat="1" applyFont="1" applyFill="1" applyBorder="1" applyAlignment="1" applyProtection="1">
      <alignment horizontal="right" vertical="center" shrinkToFit="1"/>
      <protection/>
    </xf>
    <xf numFmtId="190" fontId="3" fillId="12" borderId="92" xfId="53" applyNumberFormat="1" applyFont="1" applyFill="1" applyBorder="1" applyAlignment="1" applyProtection="1">
      <alignment horizontal="right" vertical="center" shrinkToFit="1"/>
      <protection/>
    </xf>
    <xf numFmtId="190" fontId="3" fillId="12" borderId="94" xfId="53" applyNumberFormat="1" applyFont="1" applyFill="1" applyBorder="1" applyAlignment="1" applyProtection="1">
      <alignment horizontal="right" vertical="center" shrinkToFit="1"/>
      <protection/>
    </xf>
    <xf numFmtId="190" fontId="3" fillId="12" borderId="94" xfId="53" applyNumberFormat="1" applyFont="1" applyFill="1" applyBorder="1" applyAlignment="1" applyProtection="1">
      <alignment vertical="center" shrinkToFit="1"/>
      <protection/>
    </xf>
    <xf numFmtId="0" fontId="133" fillId="0" borderId="0" xfId="0" applyFont="1" applyAlignment="1" applyProtection="1">
      <alignment vertical="center"/>
      <protection locked="0"/>
    </xf>
    <xf numFmtId="0" fontId="0" fillId="0" borderId="96" xfId="0" applyBorder="1" applyAlignment="1" applyProtection="1">
      <alignment horizontal="center" vertical="center"/>
      <protection locked="0"/>
    </xf>
    <xf numFmtId="58" fontId="106" fillId="0" borderId="0" xfId="0" applyNumberFormat="1" applyFont="1" applyBorder="1" applyAlignment="1" applyProtection="1">
      <alignment vertical="center"/>
      <protection locked="0"/>
    </xf>
    <xf numFmtId="0" fontId="112"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3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13" fillId="33" borderId="97" xfId="0" applyFont="1" applyFill="1" applyBorder="1" applyAlignment="1" applyProtection="1">
      <alignment horizontal="center" vertical="center" wrapText="1"/>
      <protection locked="0"/>
    </xf>
    <xf numFmtId="0" fontId="113" fillId="33" borderId="98" xfId="0" applyFont="1" applyFill="1" applyBorder="1" applyAlignment="1" applyProtection="1">
      <alignment horizontal="center" vertical="center" wrapText="1"/>
      <protection locked="0"/>
    </xf>
    <xf numFmtId="176" fontId="134" fillId="33" borderId="16" xfId="0" applyNumberFormat="1" applyFont="1" applyFill="1" applyBorder="1" applyAlignment="1" applyProtection="1">
      <alignment horizontal="center" vertical="center" wrapText="1"/>
      <protection/>
    </xf>
    <xf numFmtId="0" fontId="113" fillId="0" borderId="15" xfId="0" applyFont="1" applyBorder="1" applyAlignment="1" applyProtection="1">
      <alignment horizontal="center" vertical="center" wrapText="1"/>
      <protection locked="0"/>
    </xf>
    <xf numFmtId="0" fontId="113" fillId="0" borderId="17" xfId="0" applyFont="1" applyBorder="1" applyAlignment="1" applyProtection="1">
      <alignment horizontal="center" vertical="center" wrapText="1"/>
      <protection locked="0"/>
    </xf>
    <xf numFmtId="0" fontId="113" fillId="33" borderId="17" xfId="0" applyFont="1" applyFill="1" applyBorder="1" applyAlignment="1" applyProtection="1">
      <alignment horizontal="center" vertical="center" wrapText="1"/>
      <protection locked="0"/>
    </xf>
    <xf numFmtId="178" fontId="135" fillId="33" borderId="0" xfId="0" applyNumberFormat="1" applyFont="1" applyFill="1" applyBorder="1" applyAlignment="1" applyProtection="1">
      <alignment horizontal="center" vertical="center" wrapText="1"/>
      <protection locked="0"/>
    </xf>
    <xf numFmtId="38" fontId="136" fillId="0" borderId="18" xfId="50" applyNumberFormat="1" applyFont="1" applyBorder="1" applyAlignment="1" applyProtection="1">
      <alignment horizontal="center" vertical="center"/>
      <protection/>
    </xf>
    <xf numFmtId="0" fontId="7" fillId="33" borderId="18"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0" fillId="0" borderId="34" xfId="0" applyNumberFormat="1" applyFont="1" applyBorder="1" applyAlignment="1" applyProtection="1">
      <alignment horizontal="center" vertical="center"/>
      <protection locked="0"/>
    </xf>
    <xf numFmtId="20" fontId="130" fillId="0" borderId="35" xfId="0" applyNumberFormat="1" applyFont="1" applyBorder="1" applyAlignment="1" applyProtection="1">
      <alignment horizontal="center" vertical="center"/>
      <protection locked="0"/>
    </xf>
    <xf numFmtId="20" fontId="130" fillId="0" borderId="36" xfId="0" applyNumberFormat="1" applyFont="1" applyBorder="1" applyAlignment="1" applyProtection="1">
      <alignment horizontal="center" vertical="center"/>
      <protection locked="0"/>
    </xf>
    <xf numFmtId="176" fontId="9" fillId="0" borderId="16" xfId="0" applyNumberFormat="1" applyFont="1" applyBorder="1" applyAlignment="1" applyProtection="1">
      <alignment horizontal="right" vertical="center" wrapText="1"/>
      <protection/>
    </xf>
    <xf numFmtId="58" fontId="0" fillId="0" borderId="18" xfId="0" applyNumberFormat="1" applyFont="1" applyBorder="1" applyAlignment="1" applyProtection="1">
      <alignment horizontal="left" vertical="center"/>
      <protection locked="0"/>
    </xf>
    <xf numFmtId="0" fontId="116" fillId="33" borderId="18" xfId="0" applyFont="1" applyFill="1" applyBorder="1" applyAlignment="1" applyProtection="1">
      <alignment horizontal="left" vertical="center" wrapText="1"/>
      <protection locked="0"/>
    </xf>
    <xf numFmtId="0" fontId="118" fillId="0" borderId="99" xfId="0" applyFont="1" applyBorder="1" applyAlignment="1" applyProtection="1">
      <alignment horizontal="left" vertical="center" wrapText="1"/>
      <protection locked="0"/>
    </xf>
    <xf numFmtId="0" fontId="118" fillId="0" borderId="16" xfId="0" applyFont="1" applyBorder="1" applyAlignment="1" applyProtection="1">
      <alignment horizontal="left" vertical="center" wrapText="1"/>
      <protection locked="0"/>
    </xf>
    <xf numFmtId="0" fontId="122" fillId="0" borderId="0" xfId="0" applyFont="1" applyBorder="1" applyAlignment="1" applyProtection="1">
      <alignment vertical="center"/>
      <protection locked="0"/>
    </xf>
    <xf numFmtId="38" fontId="0" fillId="33" borderId="18" xfId="50" applyFont="1" applyFill="1" applyBorder="1" applyAlignment="1" applyProtection="1">
      <alignment horizontal="right" vertical="center"/>
      <protection/>
    </xf>
    <xf numFmtId="0" fontId="113" fillId="0" borderId="100" xfId="0" applyFont="1" applyBorder="1" applyAlignment="1" applyProtection="1" quotePrefix="1">
      <alignment horizontal="center" vertical="center" wrapText="1"/>
      <protection locked="0"/>
    </xf>
    <xf numFmtId="176" fontId="9" fillId="0" borderId="18"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0" fontId="113" fillId="33" borderId="100" xfId="0" applyFont="1" applyFill="1" applyBorder="1" applyAlignment="1" applyProtection="1" quotePrefix="1">
      <alignment horizontal="center" vertical="center" wrapText="1"/>
      <protection locked="0"/>
    </xf>
    <xf numFmtId="58" fontId="0" fillId="0" borderId="18"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18" fillId="33" borderId="101" xfId="0" applyNumberFormat="1" applyFont="1" applyFill="1" applyBorder="1" applyAlignment="1" applyProtection="1">
      <alignment vertical="center" wrapText="1"/>
      <protection locked="0"/>
    </xf>
    <xf numFmtId="0" fontId="118" fillId="33" borderId="102" xfId="0" applyFont="1" applyFill="1" applyBorder="1" applyAlignment="1" applyProtection="1">
      <alignment vertical="center" wrapText="1"/>
      <protection locked="0"/>
    </xf>
    <xf numFmtId="195" fontId="9" fillId="0" borderId="18" xfId="0" applyNumberFormat="1" applyFont="1" applyBorder="1" applyAlignment="1" applyProtection="1">
      <alignment horizontal="right" vertical="center" wrapText="1"/>
      <protection locked="0"/>
    </xf>
    <xf numFmtId="0" fontId="117" fillId="0" borderId="15" xfId="0" applyFont="1" applyBorder="1" applyAlignment="1" applyProtection="1">
      <alignment horizontal="right" vertical="center" wrapText="1"/>
      <protection locked="0"/>
    </xf>
    <xf numFmtId="0" fontId="118" fillId="33" borderId="18" xfId="0" applyFont="1" applyFill="1" applyBorder="1" applyAlignment="1" applyProtection="1">
      <alignment horizontal="left" vertical="center" wrapText="1"/>
      <protection locked="0"/>
    </xf>
    <xf numFmtId="0" fontId="118" fillId="0" borderId="18"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right" vertical="center" wrapText="1"/>
      <protection locked="0"/>
    </xf>
    <xf numFmtId="176" fontId="9" fillId="0" borderId="18" xfId="0" applyNumberFormat="1" applyFont="1" applyBorder="1" applyAlignment="1" applyProtection="1">
      <alignment horizontal="right" vertical="center" wrapText="1"/>
      <protection locked="0"/>
    </xf>
    <xf numFmtId="0" fontId="117" fillId="0" borderId="17" xfId="0" applyFont="1" applyBorder="1" applyAlignment="1" applyProtection="1">
      <alignment horizontal="right" vertical="center" wrapText="1"/>
      <protection locked="0"/>
    </xf>
    <xf numFmtId="0" fontId="118" fillId="33" borderId="18" xfId="0" applyFont="1" applyFill="1" applyBorder="1" applyAlignment="1" applyProtection="1">
      <alignment horizontal="left" vertical="center" shrinkToFit="1"/>
      <protection locked="0"/>
    </xf>
    <xf numFmtId="0" fontId="118" fillId="0" borderId="18" xfId="0" applyFont="1" applyBorder="1" applyAlignment="1" applyProtection="1">
      <alignment horizontal="left" vertical="center" shrinkToFit="1"/>
      <protection locked="0"/>
    </xf>
    <xf numFmtId="0" fontId="117" fillId="0" borderId="0" xfId="0" applyFont="1" applyAlignment="1" applyProtection="1">
      <alignment horizontal="center" vertical="center"/>
      <protection locked="0"/>
    </xf>
    <xf numFmtId="0" fontId="117" fillId="0" borderId="100" xfId="0" applyFont="1" applyBorder="1" applyAlignment="1" applyProtection="1">
      <alignment horizontal="center" vertical="center" wrapText="1"/>
      <protection locked="0"/>
    </xf>
    <xf numFmtId="0" fontId="117" fillId="0" borderId="103" xfId="0" applyFont="1" applyBorder="1" applyAlignment="1" applyProtection="1">
      <alignment horizontal="center" vertical="center" wrapText="1"/>
      <protection locked="0"/>
    </xf>
    <xf numFmtId="178" fontId="118"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18" fillId="33" borderId="16" xfId="0" applyFont="1" applyFill="1" applyBorder="1" applyAlignment="1" applyProtection="1">
      <alignment horizontal="left" vertical="center" wrapText="1"/>
      <protection locked="0"/>
    </xf>
    <xf numFmtId="195" fontId="9" fillId="0" borderId="16" xfId="0" applyNumberFormat="1" applyFont="1" applyBorder="1" applyAlignment="1" applyProtection="1">
      <alignment horizontal="right" vertical="center" wrapText="1"/>
      <protection locked="0"/>
    </xf>
    <xf numFmtId="177" fontId="9" fillId="0" borderId="16" xfId="0" applyNumberFormat="1" applyFont="1" applyBorder="1" applyAlignment="1" applyProtection="1">
      <alignment horizontal="right" vertical="center" wrapText="1"/>
      <protection locked="0"/>
    </xf>
    <xf numFmtId="0" fontId="117" fillId="0" borderId="15" xfId="0" applyFont="1" applyBorder="1" applyAlignment="1" applyProtection="1">
      <alignment horizontal="center" vertical="center" wrapText="1"/>
      <protection locked="0"/>
    </xf>
    <xf numFmtId="0" fontId="117" fillId="0" borderId="17" xfId="0" applyFont="1" applyBorder="1" applyAlignment="1" applyProtection="1">
      <alignment horizontal="center" vertical="center" wrapText="1"/>
      <protection locked="0"/>
    </xf>
    <xf numFmtId="0" fontId="118" fillId="0" borderId="104" xfId="0" applyFont="1" applyBorder="1" applyAlignment="1" applyProtection="1">
      <alignment horizontal="left" vertical="center" wrapText="1"/>
      <protection locked="0"/>
    </xf>
    <xf numFmtId="38" fontId="0" fillId="7" borderId="18" xfId="50" applyFont="1" applyFill="1" applyBorder="1" applyAlignment="1" applyProtection="1">
      <alignment horizontal="right" vertical="center"/>
      <protection locked="0"/>
    </xf>
    <xf numFmtId="0" fontId="117" fillId="33" borderId="103" xfId="0" applyFont="1" applyFill="1" applyBorder="1" applyAlignment="1" applyProtection="1">
      <alignment horizontal="center" vertical="center" wrapText="1"/>
      <protection locked="0"/>
    </xf>
    <xf numFmtId="0" fontId="117" fillId="33" borderId="100" xfId="0" applyFont="1" applyFill="1" applyBorder="1" applyAlignment="1" applyProtection="1">
      <alignment horizontal="center" vertical="center" wrapText="1"/>
      <protection locked="0"/>
    </xf>
    <xf numFmtId="38" fontId="114" fillId="0" borderId="0" xfId="50" applyFont="1" applyAlignment="1" applyProtection="1">
      <alignment vertical="center"/>
      <protection locked="0"/>
    </xf>
    <xf numFmtId="38" fontId="113" fillId="0" borderId="10" xfId="50" applyFont="1" applyBorder="1" applyAlignment="1" applyProtection="1">
      <alignment horizontal="center" vertical="top" wrapText="1"/>
      <protection locked="0"/>
    </xf>
    <xf numFmtId="38" fontId="137" fillId="33" borderId="11" xfId="50" applyFont="1" applyFill="1" applyBorder="1" applyAlignment="1" applyProtection="1">
      <alignment horizontal="center" vertical="center" wrapText="1"/>
      <protection locked="0"/>
    </xf>
    <xf numFmtId="176" fontId="9" fillId="0" borderId="16" xfId="0" applyNumberFormat="1" applyFont="1" applyBorder="1" applyAlignment="1" applyProtection="1">
      <alignment horizontal="right" vertical="center" wrapText="1"/>
      <protection locked="0"/>
    </xf>
    <xf numFmtId="38" fontId="113" fillId="0" borderId="13" xfId="50" applyFont="1" applyBorder="1" applyAlignment="1" applyProtection="1">
      <alignment horizontal="center"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2" fillId="0" borderId="0" xfId="65" applyFont="1">
      <alignment/>
      <protection/>
    </xf>
    <xf numFmtId="38" fontId="3" fillId="0" borderId="0" xfId="53" applyFont="1" applyAlignment="1">
      <alignment vertical="center"/>
    </xf>
    <xf numFmtId="38" fontId="3" fillId="0" borderId="38" xfId="53" applyFont="1" applyFill="1" applyBorder="1" applyAlignment="1">
      <alignment horizontal="center" vertical="center"/>
    </xf>
    <xf numFmtId="38" fontId="3" fillId="0" borderId="39" xfId="53" applyFont="1" applyFill="1" applyBorder="1" applyAlignment="1">
      <alignment horizontal="right" vertical="center"/>
    </xf>
    <xf numFmtId="38" fontId="3" fillId="0" borderId="40" xfId="53" applyFont="1" applyFill="1" applyBorder="1" applyAlignment="1">
      <alignment horizontal="right" vertical="center"/>
    </xf>
    <xf numFmtId="38" fontId="3" fillId="0" borderId="41"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42"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43" xfId="53" applyFont="1" applyFill="1" applyBorder="1" applyAlignment="1">
      <alignment horizontal="centerContinuous" vertical="center"/>
    </xf>
    <xf numFmtId="38" fontId="3" fillId="0" borderId="41"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Continuous" vertical="center"/>
    </xf>
    <xf numFmtId="38" fontId="3" fillId="0" borderId="48" xfId="53" applyFont="1" applyFill="1" applyBorder="1" applyAlignment="1">
      <alignment horizontal="centerContinuous" vertical="center"/>
    </xf>
    <xf numFmtId="38" fontId="3" fillId="0" borderId="49" xfId="53" applyFont="1" applyFill="1" applyBorder="1" applyAlignment="1">
      <alignment horizontal="centerContinuous" vertical="center"/>
    </xf>
    <xf numFmtId="38" fontId="3" fillId="0" borderId="50" xfId="53" applyFont="1" applyFill="1" applyBorder="1" applyAlignment="1">
      <alignment horizontal="centerContinuous" vertical="center"/>
    </xf>
    <xf numFmtId="38" fontId="3" fillId="0" borderId="51" xfId="53" applyFont="1" applyFill="1" applyBorder="1" applyAlignment="1">
      <alignment horizontal="center" vertical="center" shrinkToFit="1"/>
    </xf>
    <xf numFmtId="38" fontId="3" fillId="0" borderId="52" xfId="53" applyFont="1" applyFill="1" applyBorder="1" applyAlignment="1">
      <alignment horizontal="right" vertical="center" shrinkToFit="1"/>
    </xf>
    <xf numFmtId="38" fontId="3" fillId="0" borderId="53" xfId="53" applyFont="1" applyFill="1" applyBorder="1" applyAlignment="1">
      <alignment horizontal="right" vertical="center" shrinkToFit="1"/>
    </xf>
    <xf numFmtId="38" fontId="3" fillId="0" borderId="49"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42" xfId="53" applyNumberFormat="1" applyFont="1" applyFill="1" applyBorder="1" applyAlignment="1">
      <alignment vertical="center" shrinkToFit="1"/>
    </xf>
    <xf numFmtId="38" fontId="3" fillId="0" borderId="48"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50" xfId="53" applyFont="1" applyFill="1" applyBorder="1" applyAlignment="1">
      <alignment horizontal="center" vertical="center" shrinkToFit="1"/>
    </xf>
    <xf numFmtId="38" fontId="3" fillId="0" borderId="48" xfId="53" applyFont="1" applyFill="1" applyBorder="1" applyAlignment="1">
      <alignment horizontal="center" vertical="center" shrinkToFit="1"/>
    </xf>
    <xf numFmtId="38" fontId="3" fillId="0" borderId="49" xfId="53" applyFont="1" applyFill="1" applyBorder="1" applyAlignment="1">
      <alignment horizontal="center" vertical="center" shrinkToFit="1"/>
    </xf>
    <xf numFmtId="38" fontId="3" fillId="0" borderId="0" xfId="53" applyFont="1" applyFill="1" applyAlignment="1">
      <alignment vertical="center"/>
    </xf>
    <xf numFmtId="38" fontId="3" fillId="35" borderId="54" xfId="53" applyFont="1" applyFill="1" applyBorder="1" applyAlignment="1">
      <alignment horizontal="center" vertical="center" shrinkToFit="1"/>
    </xf>
    <xf numFmtId="38" fontId="3" fillId="35" borderId="55" xfId="53" applyFont="1" applyFill="1" applyBorder="1" applyAlignment="1">
      <alignment horizontal="right" vertical="center" shrinkToFit="1"/>
    </xf>
    <xf numFmtId="38" fontId="3" fillId="35" borderId="58" xfId="53" applyFont="1" applyFill="1" applyBorder="1" applyAlignment="1">
      <alignment horizontal="right" vertical="center" shrinkToFit="1"/>
    </xf>
    <xf numFmtId="38" fontId="3" fillId="35" borderId="56" xfId="53" applyFont="1" applyFill="1" applyBorder="1" applyAlignment="1">
      <alignment vertical="center" shrinkToFit="1"/>
    </xf>
    <xf numFmtId="38" fontId="3" fillId="35" borderId="57" xfId="53" applyFont="1" applyFill="1" applyBorder="1" applyAlignment="1">
      <alignment horizontal="right" vertical="center" shrinkToFit="1"/>
    </xf>
    <xf numFmtId="38" fontId="3" fillId="35" borderId="57" xfId="53" applyFont="1" applyFill="1" applyBorder="1" applyAlignment="1">
      <alignment horizontal="center" vertical="center" shrinkToFit="1"/>
    </xf>
    <xf numFmtId="190" fontId="3" fillId="35" borderId="61" xfId="53" applyNumberFormat="1" applyFont="1" applyFill="1" applyBorder="1" applyAlignment="1">
      <alignment vertical="center" shrinkToFit="1"/>
    </xf>
    <xf numFmtId="38" fontId="3" fillId="35" borderId="59" xfId="53" applyFont="1" applyFill="1" applyBorder="1" applyAlignment="1">
      <alignment horizontal="center" vertical="center" shrinkToFit="1"/>
    </xf>
    <xf numFmtId="190" fontId="3" fillId="35" borderId="57" xfId="53" applyNumberFormat="1" applyFont="1" applyFill="1" applyBorder="1" applyAlignment="1">
      <alignment vertical="center" shrinkToFit="1"/>
    </xf>
    <xf numFmtId="38" fontId="3" fillId="35" borderId="56" xfId="53" applyFont="1" applyFill="1" applyBorder="1" applyAlignment="1">
      <alignment horizontal="center" vertical="center" shrinkToFit="1"/>
    </xf>
    <xf numFmtId="190" fontId="3" fillId="35" borderId="94" xfId="53" applyNumberFormat="1" applyFont="1" applyFill="1" applyBorder="1" applyAlignment="1">
      <alignment vertical="center" shrinkToFit="1"/>
    </xf>
    <xf numFmtId="38" fontId="3" fillId="35" borderId="60" xfId="53" applyFont="1" applyFill="1" applyBorder="1" applyAlignment="1">
      <alignment horizontal="center" vertical="center" shrinkToFit="1"/>
    </xf>
    <xf numFmtId="38" fontId="3" fillId="0" borderId="54" xfId="53" applyFont="1" applyFill="1" applyBorder="1" applyAlignment="1">
      <alignment horizontal="center" vertical="center" shrinkToFit="1"/>
    </xf>
    <xf numFmtId="38" fontId="3" fillId="0" borderId="55" xfId="53" applyFont="1" applyFill="1" applyBorder="1" applyAlignment="1">
      <alignment horizontal="right" vertical="center" shrinkToFit="1"/>
    </xf>
    <xf numFmtId="38" fontId="3" fillId="0" borderId="58" xfId="53" applyFont="1" applyFill="1" applyBorder="1" applyAlignment="1">
      <alignment horizontal="right" vertical="center" shrinkToFit="1"/>
    </xf>
    <xf numFmtId="38" fontId="3" fillId="0" borderId="56" xfId="53" applyFont="1" applyFill="1" applyBorder="1" applyAlignment="1">
      <alignment vertical="center" shrinkToFit="1"/>
    </xf>
    <xf numFmtId="38" fontId="3" fillId="0" borderId="57" xfId="53" applyFont="1" applyFill="1" applyBorder="1" applyAlignment="1">
      <alignment horizontal="right" vertical="center" shrinkToFit="1"/>
    </xf>
    <xf numFmtId="38" fontId="3" fillId="0" borderId="57" xfId="53" applyFont="1" applyFill="1" applyBorder="1" applyAlignment="1">
      <alignment horizontal="center" vertical="center" shrinkToFit="1"/>
    </xf>
    <xf numFmtId="190" fontId="3" fillId="0" borderId="61" xfId="53" applyNumberFormat="1" applyFont="1" applyFill="1" applyBorder="1" applyAlignment="1">
      <alignment vertical="center" shrinkToFit="1"/>
    </xf>
    <xf numFmtId="38" fontId="3" fillId="0" borderId="59" xfId="53" applyFont="1" applyFill="1" applyBorder="1" applyAlignment="1">
      <alignment horizontal="center" vertical="center" shrinkToFit="1"/>
    </xf>
    <xf numFmtId="190" fontId="3" fillId="0" borderId="57" xfId="53" applyNumberFormat="1" applyFont="1" applyFill="1" applyBorder="1" applyAlignment="1">
      <alignment vertical="center" shrinkToFit="1"/>
    </xf>
    <xf numFmtId="38" fontId="3" fillId="0" borderId="56" xfId="53" applyFont="1" applyFill="1" applyBorder="1" applyAlignment="1">
      <alignment horizontal="center" vertical="center" shrinkToFit="1"/>
    </xf>
    <xf numFmtId="190" fontId="3" fillId="0" borderId="94" xfId="53" applyNumberFormat="1" applyFont="1" applyFill="1" applyBorder="1" applyAlignment="1">
      <alignment vertical="center" shrinkToFit="1"/>
    </xf>
    <xf numFmtId="38" fontId="3" fillId="0" borderId="60" xfId="53" applyFont="1" applyFill="1" applyBorder="1" applyAlignment="1">
      <alignment horizontal="center" vertical="center" shrinkToFit="1"/>
    </xf>
    <xf numFmtId="38" fontId="3" fillId="0" borderId="61" xfId="53" applyFont="1" applyFill="1" applyBorder="1" applyAlignment="1">
      <alignment horizontal="right" vertical="center" shrinkToFit="1"/>
    </xf>
    <xf numFmtId="38" fontId="3" fillId="0" borderId="57" xfId="53" applyFont="1" applyFill="1" applyBorder="1" applyAlignment="1">
      <alignment vertical="center" shrinkToFit="1"/>
    </xf>
    <xf numFmtId="190" fontId="3" fillId="0" borderId="61" xfId="53" applyNumberFormat="1" applyFont="1" applyFill="1" applyBorder="1" applyAlignment="1">
      <alignment horizontal="right" vertical="center" shrinkToFit="1"/>
    </xf>
    <xf numFmtId="38" fontId="3" fillId="0" borderId="59" xfId="53" applyFont="1" applyFill="1" applyBorder="1" applyAlignment="1">
      <alignment horizontal="right" vertical="center" shrinkToFit="1"/>
    </xf>
    <xf numFmtId="190" fontId="3" fillId="0" borderId="57" xfId="53" applyNumberFormat="1" applyFont="1" applyFill="1" applyBorder="1" applyAlignment="1">
      <alignment horizontal="right" vertical="center" shrinkToFit="1"/>
    </xf>
    <xf numFmtId="38" fontId="3" fillId="0" borderId="56" xfId="53"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40" fontId="3" fillId="0" borderId="90" xfId="53" applyNumberFormat="1" applyFont="1" applyFill="1" applyBorder="1" applyAlignment="1">
      <alignment horizontal="right" vertical="center" shrinkToFit="1"/>
    </xf>
    <xf numFmtId="190" fontId="3" fillId="0" borderId="62" xfId="53" applyNumberFormat="1" applyFont="1" applyFill="1" applyBorder="1" applyAlignment="1">
      <alignment horizontal="right" vertical="center" shrinkToFit="1"/>
    </xf>
    <xf numFmtId="190" fontId="3" fillId="0" borderId="63" xfId="53" applyNumberFormat="1" applyFont="1" applyFill="1" applyBorder="1" applyAlignment="1">
      <alignment horizontal="right" vertical="center" shrinkToFit="1"/>
    </xf>
    <xf numFmtId="190" fontId="3" fillId="0" borderId="64"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61" xfId="53" applyFont="1" applyFill="1" applyBorder="1" applyAlignment="1">
      <alignment horizontal="right" vertical="center" shrinkToFit="1"/>
    </xf>
    <xf numFmtId="38" fontId="3" fillId="35" borderId="57" xfId="53" applyFont="1" applyFill="1" applyBorder="1" applyAlignment="1">
      <alignment vertical="center" shrinkToFit="1"/>
    </xf>
    <xf numFmtId="190" fontId="3" fillId="35" borderId="61" xfId="53" applyNumberFormat="1" applyFont="1" applyFill="1" applyBorder="1" applyAlignment="1">
      <alignment horizontal="right" vertical="center" shrinkToFit="1"/>
    </xf>
    <xf numFmtId="38" fontId="3" fillId="35" borderId="59" xfId="53" applyFont="1" applyFill="1" applyBorder="1" applyAlignment="1">
      <alignment horizontal="right" vertical="center" shrinkToFit="1"/>
    </xf>
    <xf numFmtId="190" fontId="3" fillId="35" borderId="57" xfId="53" applyNumberFormat="1" applyFont="1" applyFill="1" applyBorder="1" applyAlignment="1">
      <alignment horizontal="right" vertical="center" shrinkToFit="1"/>
    </xf>
    <xf numFmtId="38" fontId="3" fillId="35" borderId="56" xfId="53" applyFont="1" applyFill="1" applyBorder="1" applyAlignment="1">
      <alignment horizontal="right" vertical="center" shrinkToFit="1"/>
    </xf>
    <xf numFmtId="190" fontId="3" fillId="35" borderId="60" xfId="53" applyNumberFormat="1" applyFont="1" applyFill="1" applyBorder="1" applyAlignment="1">
      <alignment horizontal="right" vertical="center" shrinkToFit="1"/>
    </xf>
    <xf numFmtId="40" fontId="3" fillId="35" borderId="57" xfId="53" applyNumberFormat="1" applyFont="1" applyFill="1" applyBorder="1" applyAlignment="1">
      <alignment horizontal="right" vertical="center" shrinkToFit="1"/>
    </xf>
    <xf numFmtId="190" fontId="3" fillId="35" borderId="59" xfId="53" applyNumberFormat="1" applyFont="1" applyFill="1" applyBorder="1" applyAlignment="1">
      <alignment horizontal="right" vertical="center" shrinkToFit="1"/>
    </xf>
    <xf numFmtId="190" fontId="3" fillId="35" borderId="56" xfId="53" applyNumberFormat="1" applyFont="1" applyFill="1" applyBorder="1" applyAlignment="1">
      <alignment horizontal="right" vertical="center" shrinkToFit="1"/>
    </xf>
    <xf numFmtId="40" fontId="3" fillId="0" borderId="57" xfId="53" applyNumberFormat="1" applyFont="1" applyFill="1" applyBorder="1" applyAlignment="1">
      <alignment horizontal="right" vertical="center" shrinkToFit="1"/>
    </xf>
    <xf numFmtId="190" fontId="3" fillId="0" borderId="59" xfId="53" applyNumberFormat="1" applyFont="1" applyFill="1" applyBorder="1" applyAlignment="1">
      <alignment horizontal="right" vertical="center" shrinkToFit="1"/>
    </xf>
    <xf numFmtId="190" fontId="3" fillId="0" borderId="56" xfId="53" applyNumberFormat="1" applyFont="1" applyFill="1" applyBorder="1" applyAlignment="1">
      <alignment horizontal="right" vertical="center" shrinkToFit="1"/>
    </xf>
    <xf numFmtId="38" fontId="3" fillId="35" borderId="65" xfId="53" applyFont="1" applyFill="1" applyBorder="1" applyAlignment="1">
      <alignment horizontal="right" vertical="center" shrinkToFit="1"/>
    </xf>
    <xf numFmtId="38" fontId="3" fillId="35" borderId="74" xfId="53" applyFont="1" applyFill="1" applyBorder="1" applyAlignment="1">
      <alignment horizontal="right" vertical="center" shrinkToFit="1"/>
    </xf>
    <xf numFmtId="38" fontId="3" fillId="35" borderId="67" xfId="53" applyFont="1" applyFill="1" applyBorder="1" applyAlignment="1">
      <alignment horizontal="center" vertical="center" shrinkToFit="1"/>
    </xf>
    <xf numFmtId="38" fontId="3" fillId="35" borderId="66" xfId="53" applyFont="1" applyFill="1" applyBorder="1" applyAlignment="1">
      <alignment horizontal="right" vertical="center" shrinkToFit="1"/>
    </xf>
    <xf numFmtId="38" fontId="3" fillId="35" borderId="67" xfId="53" applyFont="1" applyFill="1" applyBorder="1" applyAlignment="1">
      <alignment vertical="center" shrinkToFit="1"/>
    </xf>
    <xf numFmtId="190" fontId="3" fillId="35" borderId="66" xfId="53" applyNumberFormat="1" applyFont="1" applyFill="1" applyBorder="1" applyAlignment="1">
      <alignment horizontal="right" vertical="center" shrinkToFit="1"/>
    </xf>
    <xf numFmtId="38" fontId="3" fillId="35" borderId="71" xfId="53" applyFont="1" applyFill="1" applyBorder="1" applyAlignment="1">
      <alignment horizontal="right" vertical="center" shrinkToFit="1"/>
    </xf>
    <xf numFmtId="190" fontId="3" fillId="35" borderId="67" xfId="53" applyNumberFormat="1" applyFont="1" applyFill="1" applyBorder="1" applyAlignment="1">
      <alignment horizontal="right" vertical="center" shrinkToFit="1"/>
    </xf>
    <xf numFmtId="38" fontId="3" fillId="35" borderId="72" xfId="53" applyFont="1" applyFill="1" applyBorder="1" applyAlignment="1">
      <alignment horizontal="right" vertical="center" shrinkToFit="1"/>
    </xf>
    <xf numFmtId="190" fontId="3" fillId="35" borderId="73" xfId="53" applyNumberFormat="1" applyFont="1" applyFill="1" applyBorder="1" applyAlignment="1">
      <alignment horizontal="right" vertical="center" shrinkToFit="1"/>
    </xf>
    <xf numFmtId="38" fontId="3" fillId="0" borderId="65" xfId="53" applyFont="1" applyFill="1" applyBorder="1" applyAlignment="1">
      <alignment horizontal="right" vertical="center" shrinkToFit="1"/>
    </xf>
    <xf numFmtId="38" fontId="3" fillId="0" borderId="68" xfId="53" applyFont="1" applyFill="1" applyBorder="1" applyAlignment="1">
      <alignment horizontal="right" vertical="center" shrinkToFit="1"/>
    </xf>
    <xf numFmtId="38" fontId="3" fillId="0" borderId="69" xfId="53" applyFont="1" applyFill="1" applyBorder="1" applyAlignment="1">
      <alignment horizontal="center" vertical="center" shrinkToFit="1"/>
    </xf>
    <xf numFmtId="38" fontId="3" fillId="0" borderId="70" xfId="53" applyFont="1" applyFill="1" applyBorder="1" applyAlignment="1">
      <alignment horizontal="right" vertical="center" shrinkToFit="1"/>
    </xf>
    <xf numFmtId="38" fontId="3" fillId="0" borderId="67" xfId="53" applyFont="1" applyFill="1" applyBorder="1" applyAlignment="1">
      <alignment vertical="center" shrinkToFit="1"/>
    </xf>
    <xf numFmtId="190" fontId="3" fillId="0" borderId="66" xfId="53" applyNumberFormat="1" applyFont="1" applyFill="1" applyBorder="1" applyAlignment="1">
      <alignment horizontal="right" vertical="center" shrinkToFit="1"/>
    </xf>
    <xf numFmtId="38" fontId="3" fillId="0" borderId="71" xfId="53" applyFont="1" applyFill="1" applyBorder="1" applyAlignment="1">
      <alignment horizontal="right" vertical="center" shrinkToFit="1"/>
    </xf>
    <xf numFmtId="190" fontId="3" fillId="0" borderId="67" xfId="53" applyNumberFormat="1" applyFont="1" applyFill="1" applyBorder="1" applyAlignment="1">
      <alignment horizontal="right" vertical="center" shrinkToFit="1"/>
    </xf>
    <xf numFmtId="38" fontId="3" fillId="0" borderId="72" xfId="53" applyFont="1" applyFill="1" applyBorder="1" applyAlignment="1">
      <alignment horizontal="right" vertical="center" shrinkToFit="1"/>
    </xf>
    <xf numFmtId="190" fontId="3" fillId="0" borderId="73" xfId="53" applyNumberFormat="1" applyFont="1" applyFill="1" applyBorder="1" applyAlignment="1">
      <alignment horizontal="right" vertical="center" shrinkToFit="1"/>
    </xf>
    <xf numFmtId="38" fontId="3" fillId="35" borderId="68" xfId="53" applyFont="1" applyFill="1" applyBorder="1" applyAlignment="1">
      <alignment horizontal="right" vertical="center" shrinkToFit="1"/>
    </xf>
    <xf numFmtId="38" fontId="3" fillId="35" borderId="69" xfId="53" applyFont="1" applyFill="1" applyBorder="1" applyAlignment="1">
      <alignment horizontal="center" vertical="center" shrinkToFit="1"/>
    </xf>
    <xf numFmtId="38" fontId="3" fillId="35" borderId="70" xfId="53" applyFont="1" applyFill="1" applyBorder="1" applyAlignment="1">
      <alignment horizontal="right" vertical="center" shrinkToFit="1"/>
    </xf>
    <xf numFmtId="38" fontId="3" fillId="0" borderId="67" xfId="53" applyFont="1" applyFill="1" applyBorder="1" applyAlignment="1">
      <alignment horizontal="right" vertical="center" shrinkToFit="1"/>
    </xf>
    <xf numFmtId="190" fontId="3" fillId="0" borderId="92" xfId="53" applyNumberFormat="1" applyFont="1" applyFill="1" applyBorder="1" applyAlignment="1">
      <alignment horizontal="right" vertical="center" shrinkToFit="1"/>
    </xf>
    <xf numFmtId="38" fontId="3" fillId="35" borderId="67" xfId="53" applyFont="1" applyFill="1" applyBorder="1" applyAlignment="1">
      <alignment horizontal="right" vertical="center" shrinkToFit="1"/>
    </xf>
    <xf numFmtId="190" fontId="3" fillId="35" borderId="92" xfId="53" applyNumberFormat="1" applyFont="1" applyFill="1" applyBorder="1" applyAlignment="1">
      <alignment horizontal="right" vertical="center" shrinkToFit="1"/>
    </xf>
    <xf numFmtId="38" fontId="3" fillId="0" borderId="74" xfId="53" applyFont="1" applyFill="1" applyBorder="1" applyAlignment="1">
      <alignment horizontal="right" vertical="center" shrinkToFit="1"/>
    </xf>
    <xf numFmtId="38" fontId="3" fillId="0" borderId="67" xfId="53" applyFont="1" applyFill="1" applyBorder="1" applyAlignment="1">
      <alignment horizontal="center" vertical="center" shrinkToFit="1"/>
    </xf>
    <xf numFmtId="190" fontId="3" fillId="35" borderId="77" xfId="53" applyNumberFormat="1" applyFont="1" applyFill="1" applyBorder="1" applyAlignment="1">
      <alignment horizontal="right" vertical="center" shrinkToFit="1"/>
    </xf>
    <xf numFmtId="190" fontId="3" fillId="0" borderId="75" xfId="53" applyNumberFormat="1" applyFont="1" applyFill="1" applyBorder="1" applyAlignment="1">
      <alignment horizontal="right" vertical="center" shrinkToFit="1"/>
    </xf>
    <xf numFmtId="190" fontId="3" fillId="35" borderId="75" xfId="53" applyNumberFormat="1" applyFont="1" applyFill="1" applyBorder="1" applyAlignment="1">
      <alignment horizontal="right" vertical="center" shrinkToFit="1"/>
    </xf>
    <xf numFmtId="40" fontId="3" fillId="35" borderId="86" xfId="53" applyNumberFormat="1" applyFont="1" applyFill="1" applyBorder="1" applyAlignment="1">
      <alignment horizontal="right" vertical="center" shrinkToFit="1"/>
    </xf>
    <xf numFmtId="190" fontId="3" fillId="35" borderId="88" xfId="53" applyNumberFormat="1" applyFont="1" applyFill="1" applyBorder="1" applyAlignment="1">
      <alignment horizontal="right" vertical="center" shrinkToFit="1"/>
    </xf>
    <xf numFmtId="190" fontId="3" fillId="35" borderId="87" xfId="53" applyNumberFormat="1" applyFont="1" applyFill="1" applyBorder="1" applyAlignment="1">
      <alignment horizontal="right" vertical="center" shrinkToFit="1"/>
    </xf>
    <xf numFmtId="190" fontId="3" fillId="35" borderId="89" xfId="53" applyNumberFormat="1" applyFont="1" applyFill="1" applyBorder="1" applyAlignment="1">
      <alignment horizontal="right" vertical="center" shrinkToFit="1"/>
    </xf>
    <xf numFmtId="38" fontId="3" fillId="0" borderId="76" xfId="53" applyFont="1" applyFill="1" applyBorder="1" applyAlignment="1">
      <alignment horizontal="center" vertical="center" shrinkToFit="1"/>
    </xf>
    <xf numFmtId="190" fontId="3" fillId="0" borderId="77" xfId="53" applyNumberFormat="1" applyFont="1" applyFill="1" applyBorder="1" applyAlignment="1">
      <alignment horizontal="right" vertical="center" shrinkToFit="1"/>
    </xf>
    <xf numFmtId="38" fontId="3" fillId="35" borderId="76" xfId="53" applyFont="1" applyFill="1" applyBorder="1" applyAlignment="1">
      <alignment horizontal="center" vertical="center" shrinkToFit="1"/>
    </xf>
    <xf numFmtId="38" fontId="3" fillId="0" borderId="78" xfId="53" applyFont="1" applyFill="1" applyBorder="1" applyAlignment="1">
      <alignment horizontal="right" vertical="center" shrinkToFit="1"/>
    </xf>
    <xf numFmtId="38" fontId="3" fillId="0" borderId="79" xfId="53" applyFont="1" applyFill="1" applyBorder="1" applyAlignment="1">
      <alignment horizontal="center" vertical="center" shrinkToFit="1"/>
    </xf>
    <xf numFmtId="38" fontId="3" fillId="0" borderId="80"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42" xfId="53" applyNumberFormat="1" applyFont="1" applyFill="1" applyBorder="1" applyAlignment="1">
      <alignment horizontal="right" vertical="center" shrinkToFit="1"/>
    </xf>
    <xf numFmtId="190" fontId="3" fillId="0" borderId="93" xfId="53" applyNumberFormat="1" applyFont="1" applyFill="1" applyBorder="1" applyAlignment="1">
      <alignment horizontal="right" vertical="center" shrinkToFit="1"/>
    </xf>
    <xf numFmtId="38" fontId="3" fillId="0" borderId="49" xfId="53" applyFont="1" applyFill="1" applyBorder="1" applyAlignment="1">
      <alignment horizontal="right" vertical="center" shrinkToFit="1"/>
    </xf>
    <xf numFmtId="38" fontId="3" fillId="0" borderId="48" xfId="53" applyFont="1" applyFill="1" applyBorder="1" applyAlignment="1">
      <alignment horizontal="right" vertical="center" shrinkToFit="1"/>
    </xf>
    <xf numFmtId="190" fontId="3" fillId="0" borderId="81" xfId="53" applyNumberFormat="1" applyFont="1" applyFill="1" applyBorder="1" applyAlignment="1">
      <alignment horizontal="right" vertical="center" shrinkToFit="1"/>
    </xf>
    <xf numFmtId="190" fontId="3" fillId="35" borderId="94" xfId="53" applyNumberFormat="1" applyFont="1" applyFill="1" applyBorder="1" applyAlignment="1">
      <alignment horizontal="right" vertical="center" shrinkToFit="1"/>
    </xf>
    <xf numFmtId="190" fontId="3" fillId="35" borderId="83" xfId="53" applyNumberFormat="1" applyFont="1" applyFill="1" applyBorder="1" applyAlignment="1">
      <alignment horizontal="right" vertical="center" shrinkToFit="1"/>
    </xf>
    <xf numFmtId="38" fontId="3" fillId="0" borderId="82" xfId="53" applyFont="1" applyFill="1" applyBorder="1" applyAlignment="1">
      <alignment horizontal="center" vertical="center" shrinkToFit="1"/>
    </xf>
    <xf numFmtId="190" fontId="3" fillId="0" borderId="83" xfId="53" applyNumberFormat="1" applyFont="1" applyFill="1" applyBorder="1" applyAlignment="1">
      <alignment horizontal="right" vertical="center" shrinkToFit="1"/>
    </xf>
    <xf numFmtId="38" fontId="3" fillId="35" borderId="84" xfId="53" applyFont="1" applyFill="1" applyBorder="1" applyAlignment="1">
      <alignment horizontal="center" vertical="center" shrinkToFit="1"/>
    </xf>
    <xf numFmtId="38" fontId="3" fillId="0" borderId="84" xfId="53" applyFont="1" applyFill="1" applyBorder="1" applyAlignment="1">
      <alignment horizontal="center" vertical="center" shrinkToFit="1"/>
    </xf>
    <xf numFmtId="38" fontId="3" fillId="0" borderId="85" xfId="53" applyFont="1" applyFill="1" applyBorder="1" applyAlignment="1">
      <alignment horizontal="center" vertical="center" shrinkToFit="1"/>
    </xf>
    <xf numFmtId="38" fontId="3" fillId="0" borderId="86" xfId="53" applyFont="1" applyFill="1" applyBorder="1" applyAlignment="1">
      <alignment horizontal="right" vertical="center" shrinkToFit="1"/>
    </xf>
    <xf numFmtId="38" fontId="3" fillId="0" borderId="87" xfId="53" applyFont="1" applyFill="1" applyBorder="1" applyAlignment="1">
      <alignment horizontal="right" vertical="center" shrinkToFit="1"/>
    </xf>
    <xf numFmtId="38" fontId="3" fillId="0" borderId="87" xfId="53" applyFont="1" applyFill="1" applyBorder="1" applyAlignment="1">
      <alignment horizontal="center" vertical="center" shrinkToFit="1"/>
    </xf>
    <xf numFmtId="38" fontId="3" fillId="0" borderId="86" xfId="53" applyFont="1" applyFill="1" applyBorder="1" applyAlignment="1">
      <alignment horizontal="center" vertical="center" shrinkToFit="1"/>
    </xf>
    <xf numFmtId="38" fontId="3" fillId="0" borderId="87" xfId="53" applyFont="1" applyFill="1" applyBorder="1" applyAlignment="1">
      <alignment vertical="center" shrinkToFit="1"/>
    </xf>
    <xf numFmtId="190" fontId="3" fillId="0" borderId="91" xfId="53" applyNumberFormat="1" applyFont="1" applyFill="1" applyBorder="1" applyAlignment="1">
      <alignment horizontal="right" vertical="center" shrinkToFit="1"/>
    </xf>
    <xf numFmtId="38" fontId="3" fillId="0" borderId="88" xfId="53" applyFont="1" applyFill="1" applyBorder="1" applyAlignment="1">
      <alignment horizontal="right" vertical="center" shrinkToFit="1"/>
    </xf>
    <xf numFmtId="190" fontId="3" fillId="0" borderId="86" xfId="53" applyNumberFormat="1" applyFont="1" applyFill="1" applyBorder="1" applyAlignment="1">
      <alignment horizontal="right" vertical="center" shrinkToFit="1"/>
    </xf>
    <xf numFmtId="190" fontId="3" fillId="0" borderId="91" xfId="53" applyNumberFormat="1" applyFont="1" applyFill="1" applyBorder="1" applyAlignment="1">
      <alignment vertical="center" shrinkToFit="1"/>
    </xf>
    <xf numFmtId="190" fontId="3" fillId="0" borderId="95" xfId="53" applyNumberFormat="1" applyFont="1" applyFill="1" applyBorder="1" applyAlignment="1">
      <alignment vertical="center" shrinkToFit="1"/>
    </xf>
    <xf numFmtId="190" fontId="3" fillId="0" borderId="89"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2" fillId="0" borderId="20"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38" fillId="7" borderId="37" xfId="0" applyFont="1" applyFill="1" applyBorder="1" applyAlignment="1" applyProtection="1">
      <alignment horizontal="center" vertical="center"/>
      <protection locked="0"/>
    </xf>
    <xf numFmtId="38" fontId="0" fillId="0" borderId="99" xfId="50" applyFont="1" applyBorder="1" applyAlignment="1" applyProtection="1">
      <alignment horizontal="right" vertical="center"/>
      <protection/>
    </xf>
    <xf numFmtId="38" fontId="0" fillId="0" borderId="36" xfId="50" applyFont="1" applyBorder="1" applyAlignment="1" applyProtection="1">
      <alignment horizontal="right" vertical="center"/>
      <protection locked="0"/>
    </xf>
    <xf numFmtId="38" fontId="0" fillId="0" borderId="105" xfId="50" applyFont="1" applyBorder="1" applyAlignment="1" applyProtection="1">
      <alignment horizontal="right" vertical="center"/>
      <protection locked="0"/>
    </xf>
    <xf numFmtId="0" fontId="114"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39" fillId="33" borderId="0" xfId="0" applyFont="1" applyFill="1" applyAlignment="1" applyProtection="1">
      <alignment horizontal="center" vertical="center"/>
      <protection locked="0"/>
    </xf>
    <xf numFmtId="196" fontId="140" fillId="7" borderId="37" xfId="0" applyNumberFormat="1" applyFont="1" applyFill="1" applyBorder="1" applyAlignment="1" applyProtection="1">
      <alignment horizontal="center" vertical="center"/>
      <protection locked="0"/>
    </xf>
    <xf numFmtId="196" fontId="140" fillId="7" borderId="36" xfId="0" applyNumberFormat="1" applyFont="1"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196" fontId="115" fillId="7" borderId="37"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0" fontId="138" fillId="33" borderId="0" xfId="0" applyFont="1" applyFill="1" applyBorder="1" applyAlignment="1" applyProtection="1">
      <alignment horizontal="center" vertical="center"/>
      <protection locked="0"/>
    </xf>
    <xf numFmtId="38" fontId="0" fillId="0" borderId="106" xfId="50" applyFont="1" applyBorder="1" applyAlignment="1" applyProtection="1">
      <alignment horizontal="right" vertical="center"/>
      <protection/>
    </xf>
    <xf numFmtId="38" fontId="136" fillId="0" borderId="18" xfId="50" applyFont="1" applyBorder="1" applyAlignment="1" applyProtection="1">
      <alignment horizontal="center" vertical="center"/>
      <protection/>
    </xf>
    <xf numFmtId="194" fontId="136" fillId="0" borderId="18" xfId="50" applyNumberFormat="1"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38" fontId="0" fillId="7" borderId="99" xfId="50" applyFont="1" applyFill="1" applyBorder="1" applyAlignment="1" applyProtection="1">
      <alignment horizontal="right" vertical="center"/>
      <protection locked="0"/>
    </xf>
    <xf numFmtId="38" fontId="0" fillId="7" borderId="104" xfId="50" applyFont="1" applyFill="1" applyBorder="1" applyAlignment="1" applyProtection="1">
      <alignment horizontal="right" vertical="center"/>
      <protection locked="0"/>
    </xf>
    <xf numFmtId="38" fontId="0" fillId="33" borderId="99" xfId="50" applyFont="1" applyFill="1" applyBorder="1" applyAlignment="1" applyProtection="1">
      <alignment horizontal="right" vertical="center"/>
      <protection/>
    </xf>
    <xf numFmtId="38" fontId="0" fillId="0" borderId="13" xfId="50" applyFont="1" applyBorder="1" applyAlignment="1" applyProtection="1">
      <alignment horizontal="right" vertical="center"/>
      <protection/>
    </xf>
    <xf numFmtId="38" fontId="0" fillId="33" borderId="104" xfId="50" applyFont="1" applyFill="1" applyBorder="1" applyAlignment="1" applyProtection="1">
      <alignment horizontal="right" vertical="center"/>
      <protection/>
    </xf>
    <xf numFmtId="38" fontId="112" fillId="7" borderId="18" xfId="50" applyFont="1" applyFill="1" applyBorder="1" applyAlignment="1" applyProtection="1">
      <alignment horizontal="right" vertical="center"/>
      <protection locked="0"/>
    </xf>
    <xf numFmtId="38" fontId="112" fillId="7" borderId="104" xfId="50" applyFont="1" applyFill="1" applyBorder="1" applyAlignment="1" applyProtection="1">
      <alignment horizontal="right" vertical="center"/>
      <protection locked="0"/>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112" fillId="0" borderId="106" xfId="0" applyFont="1" applyBorder="1" applyAlignment="1" applyProtection="1">
      <alignment horizontal="center" vertical="center"/>
      <protection locked="0"/>
    </xf>
    <xf numFmtId="0" fontId="112" fillId="0" borderId="36" xfId="0" applyFont="1" applyBorder="1" applyAlignment="1" applyProtection="1">
      <alignment horizontal="center" vertical="center"/>
      <protection locked="0"/>
    </xf>
    <xf numFmtId="38" fontId="0" fillId="33" borderId="18" xfId="50" applyFont="1" applyFill="1" applyBorder="1" applyAlignment="1" applyProtection="1">
      <alignment horizontal="right" vertical="center"/>
      <protection locked="0"/>
    </xf>
    <xf numFmtId="38" fontId="122" fillId="33" borderId="0" xfId="50" applyFont="1" applyFill="1" applyBorder="1" applyAlignment="1" applyProtection="1">
      <alignment horizontal="center" vertical="center"/>
      <protection locked="0"/>
    </xf>
    <xf numFmtId="201" fontId="122" fillId="33" borderId="0" xfId="50" applyNumberFormat="1" applyFont="1" applyFill="1" applyBorder="1" applyAlignment="1" applyProtection="1">
      <alignment vertical="center"/>
      <protection locked="0"/>
    </xf>
    <xf numFmtId="184" fontId="9" fillId="0" borderId="18" xfId="0" applyNumberFormat="1" applyFont="1" applyBorder="1" applyAlignment="1" applyProtection="1">
      <alignment horizontal="right" vertical="center" wrapText="1"/>
      <protection locked="0"/>
    </xf>
    <xf numFmtId="0" fontId="118" fillId="33" borderId="99" xfId="0" applyFont="1" applyFill="1" applyBorder="1" applyAlignment="1" applyProtection="1">
      <alignment horizontal="left" vertical="center" wrapText="1"/>
      <protection locked="0"/>
    </xf>
    <xf numFmtId="0" fontId="116" fillId="0" borderId="18" xfId="0" applyFont="1" applyBorder="1" applyAlignment="1" applyProtection="1">
      <alignment horizontal="left" vertical="center" shrinkToFit="1"/>
      <protection locked="0"/>
    </xf>
    <xf numFmtId="0" fontId="116" fillId="0" borderId="99" xfId="0" applyFont="1" applyBorder="1" applyAlignment="1" applyProtection="1">
      <alignment horizontal="left" vertical="center" wrapText="1"/>
      <protection locked="0"/>
    </xf>
    <xf numFmtId="0" fontId="116" fillId="0" borderId="104" xfId="0" applyFont="1" applyBorder="1" applyAlignment="1" applyProtection="1">
      <alignment horizontal="left" vertical="center" wrapText="1"/>
      <protection locked="0"/>
    </xf>
    <xf numFmtId="0" fontId="7" fillId="33" borderId="18" xfId="0" applyFont="1" applyFill="1" applyBorder="1" applyAlignment="1" applyProtection="1">
      <alignment horizontal="left" vertical="center"/>
      <protection/>
    </xf>
    <xf numFmtId="38" fontId="112" fillId="33" borderId="18" xfId="50" applyFont="1" applyFill="1" applyBorder="1" applyAlignment="1" applyProtection="1">
      <alignment horizontal="right" vertical="center"/>
      <protection locked="0"/>
    </xf>
    <xf numFmtId="38" fontId="112" fillId="33" borderId="104" xfId="50" applyFont="1" applyFill="1" applyBorder="1" applyAlignment="1" applyProtection="1">
      <alignment horizontal="right" vertical="center"/>
      <protection locked="0"/>
    </xf>
    <xf numFmtId="0" fontId="141" fillId="0" borderId="0" xfId="0" applyFont="1" applyBorder="1" applyAlignment="1" applyProtection="1">
      <alignment vertical="center"/>
      <protection locked="0"/>
    </xf>
    <xf numFmtId="0" fontId="141" fillId="0" borderId="0" xfId="0" applyFont="1" applyAlignment="1" applyProtection="1">
      <alignment vertical="center"/>
      <protection locked="0"/>
    </xf>
    <xf numFmtId="0" fontId="117" fillId="0" borderId="0" xfId="0" applyFont="1" applyAlignment="1" applyProtection="1">
      <alignment horizontal="left" vertical="center"/>
      <protection locked="0"/>
    </xf>
    <xf numFmtId="0" fontId="130" fillId="33" borderId="0" xfId="0" applyFont="1" applyFill="1" applyBorder="1" applyAlignment="1" applyProtection="1">
      <alignment horizontal="center" vertical="center"/>
      <protection locked="0"/>
    </xf>
    <xf numFmtId="0" fontId="141" fillId="0" borderId="18"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0" fillId="0" borderId="0" xfId="0" applyAlignment="1" applyProtection="1">
      <alignment vertical="center"/>
      <protection locked="0"/>
    </xf>
    <xf numFmtId="0" fontId="130" fillId="0" borderId="0" xfId="0" applyFont="1" applyAlignment="1" applyProtection="1">
      <alignment horizontal="center" vertical="center"/>
      <protection locked="0"/>
    </xf>
    <xf numFmtId="0" fontId="142" fillId="0" borderId="0" xfId="0" applyFont="1" applyAlignment="1" applyProtection="1">
      <alignment vertical="center"/>
      <protection locked="0"/>
    </xf>
    <xf numFmtId="0" fontId="130" fillId="0" borderId="111" xfId="0" applyFont="1" applyBorder="1" applyAlignment="1" applyProtection="1">
      <alignment horizontal="center" vertical="center"/>
      <protection locked="0"/>
    </xf>
    <xf numFmtId="0" fontId="130" fillId="0" borderId="99" xfId="0" applyFont="1" applyBorder="1" applyAlignment="1" applyProtection="1">
      <alignment horizontal="center" vertical="center"/>
      <protection locked="0"/>
    </xf>
    <xf numFmtId="0" fontId="130" fillId="0" borderId="112" xfId="0" applyFont="1" applyBorder="1" applyAlignment="1" applyProtection="1">
      <alignment horizontal="center" vertical="center"/>
      <protection locked="0"/>
    </xf>
    <xf numFmtId="0" fontId="130" fillId="0" borderId="113" xfId="0" applyFont="1" applyBorder="1" applyAlignment="1" applyProtection="1">
      <alignment horizontal="center" vertical="center"/>
      <protection locked="0"/>
    </xf>
    <xf numFmtId="0" fontId="130" fillId="0" borderId="114" xfId="0" applyFont="1" applyBorder="1" applyAlignment="1" applyProtection="1">
      <alignment horizontal="center" vertical="center"/>
      <protection locked="0"/>
    </xf>
    <xf numFmtId="0" fontId="130" fillId="0" borderId="103" xfId="0" applyFont="1" applyBorder="1" applyAlignment="1" applyProtection="1">
      <alignment horizontal="center" vertical="center" wrapText="1"/>
      <protection locked="0"/>
    </xf>
    <xf numFmtId="0" fontId="130" fillId="0" borderId="18" xfId="0" applyFont="1" applyBorder="1" applyAlignment="1" applyProtection="1">
      <alignment horizontal="center" vertical="center" wrapText="1"/>
      <protection locked="0"/>
    </xf>
    <xf numFmtId="0" fontId="130" fillId="0" borderId="17" xfId="0" applyFont="1" applyBorder="1" applyAlignment="1" applyProtection="1">
      <alignment horizontal="center" vertical="center" wrapText="1"/>
      <protection/>
    </xf>
    <xf numFmtId="213" fontId="25" fillId="0" borderId="18" xfId="50" applyNumberFormat="1" applyFont="1" applyFill="1" applyBorder="1" applyAlignment="1" applyProtection="1">
      <alignment vertical="center" wrapText="1"/>
      <protection locked="0"/>
    </xf>
    <xf numFmtId="213" fontId="25" fillId="0" borderId="115" xfId="50" applyNumberFormat="1" applyFont="1" applyFill="1" applyBorder="1" applyAlignment="1" applyProtection="1">
      <alignment vertical="center" wrapText="1"/>
      <protection/>
    </xf>
    <xf numFmtId="213" fontId="25" fillId="0" borderId="116" xfId="50" applyNumberFormat="1" applyFont="1" applyFill="1" applyBorder="1" applyAlignment="1" applyProtection="1">
      <alignment vertical="center" wrapText="1"/>
      <protection/>
    </xf>
    <xf numFmtId="0" fontId="130" fillId="0" borderId="116" xfId="0" applyFont="1" applyBorder="1" applyAlignment="1" applyProtection="1">
      <alignment horizontal="center" vertical="center" wrapText="1"/>
      <protection/>
    </xf>
    <xf numFmtId="0" fontId="130" fillId="0" borderId="18" xfId="0" applyFont="1" applyBorder="1" applyAlignment="1" applyProtection="1">
      <alignment vertical="center" wrapText="1"/>
      <protection locked="0"/>
    </xf>
    <xf numFmtId="213" fontId="25" fillId="0" borderId="103" xfId="50" applyNumberFormat="1" applyFont="1" applyFill="1" applyBorder="1" applyAlignment="1" applyProtection="1">
      <alignment vertical="center" wrapText="1"/>
      <protection/>
    </xf>
    <xf numFmtId="0" fontId="130" fillId="0" borderId="18" xfId="0" applyFont="1" applyBorder="1" applyAlignment="1" applyProtection="1">
      <alignment horizontal="center" vertical="center" wrapText="1"/>
      <protection/>
    </xf>
    <xf numFmtId="213" fontId="25" fillId="0" borderId="18" xfId="50" applyNumberFormat="1" applyFont="1" applyFill="1" applyBorder="1" applyAlignment="1" applyProtection="1">
      <alignment vertical="center" wrapText="1"/>
      <protection/>
    </xf>
    <xf numFmtId="0" fontId="130" fillId="0" borderId="117" xfId="0" applyFont="1" applyBorder="1" applyAlignment="1" applyProtection="1">
      <alignment horizontal="center" vertical="center" wrapText="1"/>
      <protection/>
    </xf>
    <xf numFmtId="213" fontId="25" fillId="0" borderId="104" xfId="50" applyNumberFormat="1" applyFont="1" applyFill="1" applyBorder="1" applyAlignment="1" applyProtection="1">
      <alignment vertical="center" wrapText="1"/>
      <protection locked="0"/>
    </xf>
    <xf numFmtId="213" fontId="25" fillId="0" borderId="118" xfId="50" applyNumberFormat="1" applyFont="1" applyFill="1" applyBorder="1" applyAlignment="1" applyProtection="1">
      <alignment vertical="center" wrapText="1"/>
      <protection/>
    </xf>
    <xf numFmtId="213" fontId="25" fillId="0" borderId="119" xfId="50" applyNumberFormat="1" applyFont="1" applyFill="1" applyBorder="1" applyAlignment="1" applyProtection="1">
      <alignment vertical="center" wrapText="1"/>
      <protection/>
    </xf>
    <xf numFmtId="0" fontId="130" fillId="0" borderId="119" xfId="0" applyFont="1" applyBorder="1" applyAlignment="1" applyProtection="1">
      <alignment horizontal="center" vertical="center" wrapText="1"/>
      <protection locked="0"/>
    </xf>
    <xf numFmtId="0" fontId="130" fillId="0" borderId="104" xfId="0" applyFont="1" applyBorder="1" applyAlignment="1" applyProtection="1">
      <alignment vertical="center" wrapText="1"/>
      <protection locked="0"/>
    </xf>
    <xf numFmtId="0" fontId="130" fillId="0" borderId="118" xfId="0" applyFont="1" applyBorder="1" applyAlignment="1" applyProtection="1">
      <alignment horizontal="center" vertical="center" wrapText="1"/>
      <protection locked="0"/>
    </xf>
    <xf numFmtId="0" fontId="141" fillId="0" borderId="0" xfId="0" applyFont="1" applyBorder="1" applyAlignment="1" applyProtection="1">
      <alignment horizontal="left" vertical="center"/>
      <protection locked="0"/>
    </xf>
    <xf numFmtId="213" fontId="25" fillId="0" borderId="0" xfId="50" applyNumberFormat="1" applyFont="1" applyFill="1" applyBorder="1" applyAlignment="1" applyProtection="1">
      <alignment vertical="center"/>
      <protection locked="0"/>
    </xf>
    <xf numFmtId="213" fontId="143" fillId="0" borderId="0" xfId="50" applyNumberFormat="1" applyFont="1" applyFill="1" applyBorder="1" applyAlignment="1" applyProtection="1">
      <alignment vertical="center" wrapText="1"/>
      <protection locked="0"/>
    </xf>
    <xf numFmtId="0" fontId="130" fillId="0" borderId="0" xfId="0" applyFont="1" applyAlignment="1" applyProtection="1">
      <alignment vertical="center"/>
      <protection locked="0"/>
    </xf>
    <xf numFmtId="0" fontId="130" fillId="0" borderId="0" xfId="0" applyFont="1" applyBorder="1" applyAlignment="1" applyProtection="1">
      <alignment horizontal="right" vertical="center"/>
      <protection locked="0"/>
    </xf>
    <xf numFmtId="0" fontId="130" fillId="0" borderId="120" xfId="0" applyFont="1" applyBorder="1" applyAlignment="1" applyProtection="1">
      <alignment vertical="center"/>
      <protection locked="0"/>
    </xf>
    <xf numFmtId="0" fontId="130" fillId="0" borderId="19" xfId="0" applyFont="1" applyBorder="1" applyAlignment="1" applyProtection="1">
      <alignment vertical="center"/>
      <protection locked="0"/>
    </xf>
    <xf numFmtId="0" fontId="130" fillId="0" borderId="0" xfId="0" applyFont="1" applyBorder="1" applyAlignment="1" applyProtection="1">
      <alignment vertical="center" wrapText="1"/>
      <protection locked="0"/>
    </xf>
    <xf numFmtId="0" fontId="130" fillId="0" borderId="46" xfId="0" applyFont="1" applyBorder="1" applyAlignment="1" applyProtection="1">
      <alignment vertical="center"/>
      <protection locked="0"/>
    </xf>
    <xf numFmtId="0" fontId="130" fillId="0" borderId="0" xfId="0" applyFont="1" applyBorder="1" applyAlignment="1" applyProtection="1">
      <alignment vertical="center"/>
      <protection locked="0"/>
    </xf>
    <xf numFmtId="0" fontId="130" fillId="0" borderId="0" xfId="0" applyFont="1" applyBorder="1" applyAlignment="1" applyProtection="1">
      <alignment horizontal="left" vertical="center" wrapText="1"/>
      <protection locked="0"/>
    </xf>
    <xf numFmtId="0" fontId="144" fillId="0" borderId="0" xfId="0" applyFont="1" applyBorder="1" applyAlignment="1" applyProtection="1">
      <alignment horizontal="left" vertical="center"/>
      <protection locked="0"/>
    </xf>
    <xf numFmtId="0" fontId="18" fillId="0" borderId="0" xfId="0" applyFont="1" applyFill="1" applyBorder="1" applyAlignment="1" applyProtection="1">
      <alignment vertical="center" wrapText="1"/>
      <protection locked="0"/>
    </xf>
    <xf numFmtId="176" fontId="130" fillId="0" borderId="0" xfId="0" applyNumberFormat="1" applyFont="1" applyAlignment="1" applyProtection="1">
      <alignment vertical="center"/>
      <protection locked="0"/>
    </xf>
    <xf numFmtId="0" fontId="145" fillId="0" borderId="0" xfId="0" applyFont="1" applyAlignment="1" applyProtection="1">
      <alignment vertical="center"/>
      <protection/>
    </xf>
    <xf numFmtId="0" fontId="130" fillId="0" borderId="0" xfId="0" applyFont="1" applyAlignment="1" applyProtection="1">
      <alignment horizontal="left" vertical="center"/>
      <protection locked="0"/>
    </xf>
    <xf numFmtId="0" fontId="27" fillId="0" borderId="44" xfId="0" applyFont="1" applyFill="1" applyBorder="1" applyAlignment="1" applyProtection="1">
      <alignment vertical="center" wrapText="1"/>
      <protection locked="0"/>
    </xf>
    <xf numFmtId="176" fontId="14" fillId="0" borderId="41" xfId="0" applyNumberFormat="1" applyFont="1" applyFill="1" applyBorder="1" applyAlignment="1" applyProtection="1">
      <alignment horizontal="right" vertical="center" wrapText="1"/>
      <protection/>
    </xf>
    <xf numFmtId="176" fontId="28" fillId="0" borderId="44" xfId="0" applyNumberFormat="1" applyFont="1" applyFill="1" applyBorder="1" applyAlignment="1" applyProtection="1">
      <alignment horizontal="right" vertical="center" wrapText="1"/>
      <protection locked="0"/>
    </xf>
    <xf numFmtId="176" fontId="14" fillId="0" borderId="49" xfId="0" applyNumberFormat="1" applyFont="1" applyFill="1" applyBorder="1" applyAlignment="1" applyProtection="1">
      <alignment horizontal="right" vertical="center" wrapText="1"/>
      <protection/>
    </xf>
    <xf numFmtId="176" fontId="28" fillId="0" borderId="42" xfId="0" applyNumberFormat="1" applyFont="1" applyFill="1" applyBorder="1" applyAlignment="1" applyProtection="1">
      <alignment horizontal="right" vertical="center" wrapText="1"/>
      <protection locked="0"/>
    </xf>
    <xf numFmtId="0" fontId="27" fillId="0" borderId="42" xfId="0" applyFont="1" applyFill="1" applyBorder="1" applyAlignment="1" applyProtection="1">
      <alignment vertical="center" wrapText="1"/>
      <protection locked="0"/>
    </xf>
    <xf numFmtId="0" fontId="27" fillId="0" borderId="120" xfId="0" applyFont="1" applyFill="1" applyBorder="1" applyAlignment="1" applyProtection="1">
      <alignment vertical="center" wrapText="1"/>
      <protection locked="0"/>
    </xf>
    <xf numFmtId="176" fontId="14" fillId="0" borderId="100" xfId="0" applyNumberFormat="1" applyFont="1" applyFill="1" applyBorder="1" applyAlignment="1" applyProtection="1">
      <alignment horizontal="right" vertical="center" wrapText="1"/>
      <protection/>
    </xf>
    <xf numFmtId="176" fontId="28" fillId="0" borderId="120" xfId="0" applyNumberFormat="1" applyFont="1" applyFill="1" applyBorder="1" applyAlignment="1" applyProtection="1">
      <alignment horizontal="right" vertical="center" wrapText="1"/>
      <protection locked="0"/>
    </xf>
    <xf numFmtId="0" fontId="146" fillId="0" borderId="0" xfId="0" applyFont="1" applyAlignment="1" applyProtection="1">
      <alignment vertical="center"/>
      <protection locked="0"/>
    </xf>
    <xf numFmtId="213" fontId="143" fillId="33" borderId="0" xfId="50" applyNumberFormat="1" applyFont="1" applyFill="1" applyBorder="1" applyAlignment="1" applyProtection="1">
      <alignment horizontal="right" vertical="center"/>
      <protection locked="0"/>
    </xf>
    <xf numFmtId="0" fontId="141" fillId="33" borderId="0" xfId="0" applyFont="1" applyFill="1" applyAlignment="1" applyProtection="1">
      <alignment horizontal="center" vertical="center"/>
      <protection locked="0"/>
    </xf>
    <xf numFmtId="0" fontId="146" fillId="0" borderId="0" xfId="0" applyFont="1" applyAlignment="1" applyProtection="1">
      <alignment horizontal="center" vertical="center"/>
      <protection locked="0"/>
    </xf>
    <xf numFmtId="0" fontId="147" fillId="0" borderId="0" xfId="0" applyFont="1" applyAlignment="1" applyProtection="1">
      <alignment vertical="center"/>
      <protection locked="0"/>
    </xf>
    <xf numFmtId="0" fontId="148"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18" fillId="0" borderId="99" xfId="50" applyFont="1" applyBorder="1" applyAlignment="1" applyProtection="1">
      <alignment horizontal="right" vertical="center" wrapText="1"/>
      <protection locked="0"/>
    </xf>
    <xf numFmtId="38" fontId="118" fillId="0" borderId="18" xfId="50" applyFont="1" applyBorder="1" applyAlignment="1" applyProtection="1">
      <alignment horizontal="right" vertical="center" wrapText="1"/>
      <protection locked="0"/>
    </xf>
    <xf numFmtId="38" fontId="118" fillId="0" borderId="16" xfId="50" applyFont="1" applyBorder="1" applyAlignment="1" applyProtection="1">
      <alignment horizontal="right" vertical="center" wrapText="1"/>
      <protection locked="0"/>
    </xf>
    <xf numFmtId="38" fontId="118" fillId="0" borderId="104" xfId="50" applyFont="1" applyBorder="1" applyAlignment="1" applyProtection="1">
      <alignment horizontal="right" vertical="center" wrapText="1"/>
      <protection locked="0"/>
    </xf>
    <xf numFmtId="0" fontId="130" fillId="0" borderId="0" xfId="0" applyFont="1" applyAlignment="1" applyProtection="1">
      <alignment vertical="center" wrapText="1"/>
      <protection locked="0"/>
    </xf>
    <xf numFmtId="0" fontId="112" fillId="0" borderId="0" xfId="0" applyFont="1" applyBorder="1" applyAlignment="1" applyProtection="1">
      <alignment vertical="center"/>
      <protection locked="0"/>
    </xf>
    <xf numFmtId="176" fontId="26" fillId="0" borderId="18" xfId="0" applyNumberFormat="1" applyFont="1" applyFill="1" applyBorder="1" applyAlignment="1" applyProtection="1">
      <alignment vertical="center" wrapText="1"/>
      <protection locked="0"/>
    </xf>
    <xf numFmtId="0" fontId="130" fillId="0" borderId="19" xfId="0" applyFont="1" applyBorder="1" applyAlignment="1" applyProtection="1">
      <alignment vertical="center"/>
      <protection locked="0"/>
    </xf>
    <xf numFmtId="213" fontId="14" fillId="0" borderId="18" xfId="50" applyNumberFormat="1" applyFont="1" applyFill="1" applyBorder="1" applyAlignment="1" applyProtection="1">
      <alignment horizontal="right" vertical="center"/>
      <protection/>
    </xf>
    <xf numFmtId="0" fontId="149" fillId="0" borderId="0" xfId="0" applyFont="1" applyBorder="1" applyAlignment="1" applyProtection="1">
      <alignment vertical="center"/>
      <protection locked="0"/>
    </xf>
    <xf numFmtId="0" fontId="141" fillId="0" borderId="0" xfId="0" applyFont="1" applyAlignment="1" applyProtection="1">
      <alignment horizontal="center" vertical="center"/>
      <protection/>
    </xf>
    <xf numFmtId="0" fontId="130" fillId="0" borderId="44" xfId="0" applyFont="1" applyBorder="1" applyAlignment="1" applyProtection="1">
      <alignment vertical="center"/>
      <protection locked="0"/>
    </xf>
    <xf numFmtId="0" fontId="130" fillId="0" borderId="42" xfId="0" applyFont="1" applyBorder="1" applyAlignment="1" applyProtection="1">
      <alignment vertical="center"/>
      <protection locked="0"/>
    </xf>
    <xf numFmtId="0" fontId="150" fillId="0" borderId="0" xfId="0" applyFont="1" applyBorder="1" applyAlignment="1" applyProtection="1">
      <alignment vertical="center"/>
      <protection locked="0"/>
    </xf>
    <xf numFmtId="0" fontId="150" fillId="0" borderId="0" xfId="0" applyFont="1" applyBorder="1" applyAlignment="1" applyProtection="1">
      <alignment vertical="center"/>
      <protection locked="0"/>
    </xf>
    <xf numFmtId="0" fontId="150" fillId="0" borderId="42"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0" fillId="0" borderId="49" xfId="0" applyFont="1" applyBorder="1" applyAlignment="1" applyProtection="1">
      <alignment vertical="center"/>
      <protection locked="0"/>
    </xf>
    <xf numFmtId="176" fontId="14" fillId="0" borderId="46"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0" fillId="0" borderId="100" xfId="0" applyFont="1" applyBorder="1" applyAlignment="1" applyProtection="1">
      <alignment vertical="center"/>
      <protection locked="0"/>
    </xf>
    <xf numFmtId="0" fontId="151" fillId="0" borderId="42" xfId="0" applyFont="1" applyFill="1" applyBorder="1" applyAlignment="1" applyProtection="1">
      <alignment vertical="center" wrapText="1"/>
      <protection locked="0"/>
    </xf>
    <xf numFmtId="0" fontId="130" fillId="33" borderId="42" xfId="0" applyFont="1" applyFill="1" applyBorder="1" applyAlignment="1" applyProtection="1">
      <alignment horizontal="center" vertical="center"/>
      <protection locked="0"/>
    </xf>
    <xf numFmtId="38" fontId="14" fillId="0" borderId="42"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9" xfId="0" applyFont="1" applyBorder="1" applyAlignment="1" applyProtection="1">
      <alignment horizontal="center" vertical="center" wrapText="1"/>
      <protection locked="0"/>
    </xf>
    <xf numFmtId="0" fontId="141" fillId="0" borderId="42" xfId="0" applyFont="1" applyBorder="1" applyAlignment="1" applyProtection="1">
      <alignment horizontal="center" vertical="center"/>
      <protection/>
    </xf>
    <xf numFmtId="38" fontId="14" fillId="0" borderId="18"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9" xfId="0" applyNumberFormat="1" applyFont="1" applyFill="1" applyBorder="1" applyAlignment="1" applyProtection="1">
      <alignment horizontal="right" vertical="center" wrapText="1"/>
      <protection/>
    </xf>
    <xf numFmtId="215" fontId="14" fillId="0" borderId="18" xfId="50" applyNumberFormat="1" applyFont="1" applyFill="1" applyBorder="1" applyAlignment="1" applyProtection="1">
      <alignment horizontal="right" vertical="center"/>
      <protection/>
    </xf>
    <xf numFmtId="0" fontId="141" fillId="0" borderId="16" xfId="0" applyFont="1" applyBorder="1" applyAlignment="1" applyProtection="1">
      <alignment horizontal="center" vertical="center"/>
      <protection/>
    </xf>
    <xf numFmtId="176" fontId="14" fillId="0" borderId="18" xfId="0" applyNumberFormat="1" applyFont="1" applyFill="1" applyBorder="1" applyAlignment="1" applyProtection="1">
      <alignment horizontal="right" vertical="center" wrapText="1"/>
      <protection/>
    </xf>
    <xf numFmtId="38" fontId="114" fillId="0" borderId="0" xfId="0" applyNumberFormat="1" applyFont="1" applyAlignment="1" applyProtection="1">
      <alignment vertical="center"/>
      <protection locked="0"/>
    </xf>
    <xf numFmtId="0" fontId="118" fillId="33" borderId="0" xfId="0" applyFont="1" applyFill="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44" xfId="0" applyFont="1" applyBorder="1" applyAlignment="1" applyProtection="1">
      <alignment horizontal="center" vertical="center" wrapText="1"/>
      <protection locked="0"/>
    </xf>
    <xf numFmtId="0" fontId="11" fillId="0" borderId="33" xfId="0" applyFont="1" applyBorder="1" applyAlignment="1" applyProtection="1">
      <alignment horizontal="center" vertical="top" wrapText="1"/>
      <protection locked="0"/>
    </xf>
    <xf numFmtId="0" fontId="11" fillId="0" borderId="120"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locked="0"/>
    </xf>
    <xf numFmtId="0" fontId="11" fillId="0" borderId="96"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2" fillId="0" borderId="0" xfId="0" applyFont="1" applyAlignment="1" applyProtection="1">
      <alignment vertical="center"/>
      <protection locked="0"/>
    </xf>
    <xf numFmtId="0" fontId="112" fillId="0" borderId="0" xfId="0" applyFont="1" applyBorder="1" applyAlignment="1" applyProtection="1">
      <alignment horizontal="right" vertical="center"/>
      <protection locked="0"/>
    </xf>
    <xf numFmtId="0" fontId="112" fillId="0" borderId="41" xfId="0" applyFont="1" applyBorder="1" applyAlignment="1" applyProtection="1">
      <alignment vertical="center"/>
      <protection locked="0"/>
    </xf>
    <xf numFmtId="0" fontId="11" fillId="0" borderId="42" xfId="0" applyFont="1" applyFill="1" applyBorder="1" applyAlignment="1" applyProtection="1">
      <alignment vertical="center" wrapText="1"/>
      <protection locked="0"/>
    </xf>
    <xf numFmtId="0" fontId="112" fillId="0" borderId="49" xfId="0" applyFont="1" applyBorder="1" applyAlignment="1" applyProtection="1">
      <alignment vertical="center"/>
      <protection locked="0"/>
    </xf>
    <xf numFmtId="0" fontId="112" fillId="0" borderId="49" xfId="0" applyFont="1" applyBorder="1" applyAlignment="1" applyProtection="1">
      <alignment vertical="center"/>
      <protection locked="0"/>
    </xf>
    <xf numFmtId="0" fontId="11" fillId="0" borderId="120" xfId="0" applyFont="1" applyFill="1" applyBorder="1" applyAlignment="1" applyProtection="1">
      <alignment vertical="center" wrapText="1"/>
      <protection locked="0"/>
    </xf>
    <xf numFmtId="0" fontId="112" fillId="0" borderId="19" xfId="0" applyFont="1" applyBorder="1" applyAlignment="1" applyProtection="1">
      <alignment vertical="center"/>
      <protection locked="0"/>
    </xf>
    <xf numFmtId="0" fontId="112" fillId="0" borderId="100" xfId="0" applyFont="1" applyBorder="1" applyAlignment="1" applyProtection="1">
      <alignment vertical="center"/>
      <protection locked="0"/>
    </xf>
    <xf numFmtId="0" fontId="11" fillId="0" borderId="120" xfId="0" applyFont="1" applyFill="1" applyBorder="1" applyAlignment="1" applyProtection="1">
      <alignment horizontal="center" vertical="center" wrapText="1"/>
      <protection locked="0"/>
    </xf>
    <xf numFmtId="0" fontId="112" fillId="0" borderId="0" xfId="0" applyFont="1" applyFill="1" applyAlignment="1" applyProtection="1">
      <alignment vertical="center"/>
      <protection locked="0"/>
    </xf>
    <xf numFmtId="0" fontId="11" fillId="0" borderId="44" xfId="0" applyFont="1" applyBorder="1" applyAlignment="1" applyProtection="1">
      <alignment horizontal="center" vertical="center"/>
      <protection locked="0"/>
    </xf>
    <xf numFmtId="0" fontId="130" fillId="0" borderId="42" xfId="0" applyFont="1" applyBorder="1" applyAlignment="1" applyProtection="1">
      <alignment vertical="center"/>
      <protection locked="0"/>
    </xf>
    <xf numFmtId="0" fontId="113" fillId="33" borderId="121" xfId="0" applyFont="1" applyFill="1" applyBorder="1" applyAlignment="1" applyProtection="1">
      <alignment horizontal="center" vertical="center" wrapText="1"/>
      <protection locked="0"/>
    </xf>
    <xf numFmtId="0" fontId="113" fillId="33" borderId="122" xfId="0" applyFont="1" applyFill="1" applyBorder="1" applyAlignment="1" applyProtection="1">
      <alignment horizontal="center" vertical="center" wrapText="1"/>
      <protection locked="0"/>
    </xf>
    <xf numFmtId="0" fontId="113" fillId="33" borderId="123" xfId="0" applyFont="1" applyFill="1" applyBorder="1" applyAlignment="1" applyProtection="1">
      <alignment horizontal="center" vertical="center" wrapText="1"/>
      <protection locked="0"/>
    </xf>
    <xf numFmtId="0" fontId="113" fillId="33" borderId="0" xfId="0" applyFont="1" applyFill="1" applyBorder="1" applyAlignment="1" applyProtection="1">
      <alignment horizontal="center" vertical="center" wrapText="1"/>
      <protection locked="0"/>
    </xf>
    <xf numFmtId="0" fontId="0" fillId="0" borderId="124" xfId="0" applyBorder="1" applyAlignment="1" applyProtection="1">
      <alignment horizontal="center" vertical="center"/>
      <protection locked="0"/>
    </xf>
    <xf numFmtId="38" fontId="0" fillId="7" borderId="113" xfId="50" applyFont="1" applyFill="1" applyBorder="1" applyAlignment="1" applyProtection="1">
      <alignment horizontal="right" vertical="center"/>
      <protection locked="0"/>
    </xf>
    <xf numFmtId="38" fontId="0" fillId="7" borderId="96" xfId="50" applyFont="1" applyFill="1" applyBorder="1" applyAlignment="1" applyProtection="1">
      <alignment horizontal="right" vertical="center"/>
      <protection locked="0"/>
    </xf>
    <xf numFmtId="38" fontId="0" fillId="7" borderId="125" xfId="50" applyFont="1" applyFill="1" applyBorder="1" applyAlignment="1" applyProtection="1">
      <alignment horizontal="right" vertical="center"/>
      <protection locked="0"/>
    </xf>
    <xf numFmtId="38" fontId="0" fillId="0" borderId="113" xfId="50" applyFont="1" applyBorder="1" applyAlignment="1" applyProtection="1">
      <alignment horizontal="right" vertical="center"/>
      <protection/>
    </xf>
    <xf numFmtId="38" fontId="112" fillId="33" borderId="96" xfId="50" applyFont="1" applyFill="1" applyBorder="1" applyAlignment="1" applyProtection="1">
      <alignment horizontal="right" vertical="center"/>
      <protection locked="0"/>
    </xf>
    <xf numFmtId="38" fontId="112" fillId="33" borderId="125" xfId="50" applyFont="1" applyFill="1" applyBorder="1" applyAlignment="1" applyProtection="1">
      <alignment horizontal="right" vertical="center"/>
      <protection locked="0"/>
    </xf>
    <xf numFmtId="55" fontId="152" fillId="0" borderId="10" xfId="0" applyNumberFormat="1" applyFont="1" applyBorder="1" applyAlignment="1" applyProtection="1">
      <alignment horizontal="center" vertical="center"/>
      <protection locked="0"/>
    </xf>
    <xf numFmtId="38" fontId="0" fillId="33" borderId="113" xfId="50" applyFont="1" applyFill="1" applyBorder="1" applyAlignment="1" applyProtection="1">
      <alignment horizontal="right" vertical="center"/>
      <protection/>
    </xf>
    <xf numFmtId="38" fontId="0" fillId="33" borderId="96" xfId="50" applyFont="1" applyFill="1" applyBorder="1" applyAlignment="1" applyProtection="1">
      <alignment horizontal="right" vertical="center"/>
      <protection/>
    </xf>
    <xf numFmtId="38" fontId="0" fillId="33" borderId="96" xfId="50" applyFont="1" applyFill="1" applyBorder="1" applyAlignment="1" applyProtection="1">
      <alignment horizontal="right" vertical="center"/>
      <protection locked="0"/>
    </xf>
    <xf numFmtId="38" fontId="0" fillId="33" borderId="125" xfId="50" applyFont="1" applyFill="1" applyBorder="1" applyAlignment="1" applyProtection="1">
      <alignment horizontal="right" vertical="center"/>
      <protection/>
    </xf>
    <xf numFmtId="38" fontId="0" fillId="0" borderId="14" xfId="50" applyFont="1" applyBorder="1" applyAlignment="1" applyProtection="1">
      <alignment horizontal="right" vertical="center"/>
      <protection/>
    </xf>
    <xf numFmtId="0" fontId="122" fillId="33" borderId="0" xfId="0" applyFont="1" applyFill="1" applyAlignment="1" applyProtection="1">
      <alignment vertical="center"/>
      <protection locked="0"/>
    </xf>
    <xf numFmtId="0" fontId="122" fillId="33" borderId="0" xfId="0" applyFont="1" applyFill="1" applyBorder="1" applyAlignment="1" applyProtection="1">
      <alignment vertical="center"/>
      <protection locked="0"/>
    </xf>
    <xf numFmtId="55" fontId="152" fillId="0" borderId="126" xfId="0" applyNumberFormat="1" applyFont="1" applyBorder="1" applyAlignment="1" applyProtection="1">
      <alignment horizontal="center" vertical="center"/>
      <protection locked="0"/>
    </xf>
    <xf numFmtId="38" fontId="0" fillId="7" borderId="127" xfId="50" applyFont="1" applyFill="1" applyBorder="1" applyAlignment="1" applyProtection="1">
      <alignment horizontal="right" vertical="center"/>
      <protection locked="0"/>
    </xf>
    <xf numFmtId="38" fontId="0" fillId="7" borderId="103" xfId="50" applyFont="1" applyFill="1" applyBorder="1" applyAlignment="1" applyProtection="1">
      <alignment horizontal="right" vertical="center"/>
      <protection locked="0"/>
    </xf>
    <xf numFmtId="38" fontId="0" fillId="7" borderId="128" xfId="50" applyFont="1" applyFill="1" applyBorder="1" applyAlignment="1" applyProtection="1">
      <alignment horizontal="right" vertical="center"/>
      <protection locked="0"/>
    </xf>
    <xf numFmtId="38" fontId="112" fillId="7" borderId="103" xfId="50" applyFont="1" applyFill="1" applyBorder="1" applyAlignment="1" applyProtection="1">
      <alignment horizontal="right" vertical="center"/>
      <protection locked="0"/>
    </xf>
    <xf numFmtId="38" fontId="112" fillId="7" borderId="128" xfId="50" applyFont="1" applyFill="1" applyBorder="1" applyAlignment="1" applyProtection="1">
      <alignment horizontal="right" vertical="center"/>
      <protection locked="0"/>
    </xf>
    <xf numFmtId="38" fontId="0" fillId="33" borderId="127"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locked="0"/>
    </xf>
    <xf numFmtId="0" fontId="115" fillId="0" borderId="102" xfId="0" applyFont="1" applyBorder="1" applyAlignment="1" applyProtection="1">
      <alignment horizontal="center" vertical="center"/>
      <protection locked="0"/>
    </xf>
    <xf numFmtId="0" fontId="18" fillId="7" borderId="33"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30" fillId="0" borderId="41" xfId="0" applyFont="1" applyBorder="1" applyAlignment="1" applyProtection="1">
      <alignment horizontal="center" vertical="center"/>
      <protection locked="0"/>
    </xf>
    <xf numFmtId="0" fontId="130" fillId="0" borderId="129" xfId="0" applyFont="1" applyBorder="1" applyAlignment="1" applyProtection="1">
      <alignment horizontal="center" vertical="center"/>
      <protection locked="0"/>
    </xf>
    <xf numFmtId="184" fontId="25" fillId="0" borderId="16" xfId="0" applyNumberFormat="1" applyFont="1" applyFill="1" applyBorder="1" applyAlignment="1" applyProtection="1">
      <alignment horizontal="right" vertical="center" wrapText="1"/>
      <protection locked="0"/>
    </xf>
    <xf numFmtId="176" fontId="25" fillId="0" borderId="120" xfId="0" applyNumberFormat="1" applyFont="1" applyFill="1" applyBorder="1" applyAlignment="1" applyProtection="1">
      <alignment horizontal="right" vertical="center" wrapText="1"/>
      <protection/>
    </xf>
    <xf numFmtId="184" fontId="25" fillId="0" borderId="18" xfId="0" applyNumberFormat="1" applyFont="1" applyFill="1" applyBorder="1" applyAlignment="1" applyProtection="1">
      <alignment horizontal="right" vertical="center" wrapText="1"/>
      <protection locked="0"/>
    </xf>
    <xf numFmtId="176" fontId="25" fillId="0" borderId="96" xfId="0" applyNumberFormat="1" applyFont="1" applyFill="1" applyBorder="1" applyAlignment="1" applyProtection="1">
      <alignment horizontal="right" vertical="center" wrapText="1"/>
      <protection/>
    </xf>
    <xf numFmtId="176" fontId="25" fillId="0" borderId="105" xfId="0" applyNumberFormat="1" applyFont="1" applyFill="1" applyBorder="1" applyAlignment="1" applyProtection="1">
      <alignment horizontal="right" vertical="center" wrapText="1"/>
      <protection locked="0"/>
    </xf>
    <xf numFmtId="176" fontId="25" fillId="33" borderId="103" xfId="0" applyNumberFormat="1" applyFont="1" applyFill="1" applyBorder="1" applyAlignment="1" applyProtection="1">
      <alignment horizontal="right" vertical="center" wrapText="1"/>
      <protection/>
    </xf>
    <xf numFmtId="176" fontId="153" fillId="33" borderId="130" xfId="0" applyNumberFormat="1" applyFont="1" applyFill="1" applyBorder="1" applyAlignment="1" applyProtection="1">
      <alignment horizontal="right" vertical="center" wrapText="1"/>
      <protection locked="0"/>
    </xf>
    <xf numFmtId="184" fontId="153" fillId="33" borderId="131" xfId="0" applyNumberFormat="1" applyFont="1" applyFill="1" applyBorder="1" applyAlignment="1" applyProtection="1">
      <alignment horizontal="right" vertical="center" wrapText="1"/>
      <protection/>
    </xf>
    <xf numFmtId="176" fontId="153" fillId="33" borderId="132" xfId="0" applyNumberFormat="1" applyFont="1" applyFill="1" applyBorder="1" applyAlignment="1" applyProtection="1">
      <alignment horizontal="right" vertical="center" wrapText="1"/>
      <protection/>
    </xf>
    <xf numFmtId="176" fontId="153" fillId="33" borderId="133" xfId="0" applyNumberFormat="1" applyFont="1" applyFill="1" applyBorder="1" applyAlignment="1" applyProtection="1">
      <alignment horizontal="right" vertical="center" wrapText="1"/>
      <protection locked="0"/>
    </xf>
    <xf numFmtId="176" fontId="153" fillId="33" borderId="134" xfId="0" applyNumberFormat="1" applyFont="1" applyFill="1" applyBorder="1" applyAlignment="1" applyProtection="1">
      <alignment horizontal="right" vertical="center" wrapText="1"/>
      <protection/>
    </xf>
    <xf numFmtId="176" fontId="25" fillId="33" borderId="15" xfId="0" applyNumberFormat="1" applyFont="1" applyFill="1" applyBorder="1" applyAlignment="1" applyProtection="1">
      <alignment horizontal="right" vertical="center" wrapText="1"/>
      <protection/>
    </xf>
    <xf numFmtId="184" fontId="25" fillId="0" borderId="99" xfId="0" applyNumberFormat="1" applyFont="1" applyFill="1" applyBorder="1" applyAlignment="1" applyProtection="1">
      <alignment horizontal="right" vertical="center" wrapText="1"/>
      <protection locked="0"/>
    </xf>
    <xf numFmtId="176" fontId="25" fillId="0" borderId="115" xfId="0" applyNumberFormat="1" applyFont="1" applyFill="1" applyBorder="1" applyAlignment="1" applyProtection="1">
      <alignment horizontal="right" vertical="center" wrapText="1"/>
      <protection/>
    </xf>
    <xf numFmtId="176" fontId="25" fillId="33" borderId="17" xfId="0" applyNumberFormat="1" applyFont="1" applyFill="1" applyBorder="1" applyAlignment="1" applyProtection="1">
      <alignment horizontal="right" vertical="center" wrapText="1"/>
      <protection/>
    </xf>
    <xf numFmtId="176" fontId="153" fillId="33" borderId="101" xfId="0" applyNumberFormat="1" applyFont="1" applyFill="1" applyBorder="1" applyAlignment="1" applyProtection="1">
      <alignment vertical="center" wrapText="1"/>
      <protection locked="0"/>
    </xf>
    <xf numFmtId="176" fontId="153" fillId="33" borderId="135" xfId="0" applyNumberFormat="1" applyFont="1" applyFill="1" applyBorder="1" applyAlignment="1" applyProtection="1">
      <alignment vertical="center" wrapText="1"/>
      <protection/>
    </xf>
    <xf numFmtId="0" fontId="153" fillId="33" borderId="102" xfId="0" applyFont="1" applyFill="1" applyBorder="1" applyAlignment="1" applyProtection="1">
      <alignment vertical="center" wrapText="1"/>
      <protection locked="0"/>
    </xf>
    <xf numFmtId="176" fontId="25" fillId="33" borderId="111" xfId="0" applyNumberFormat="1" applyFont="1" applyFill="1" applyBorder="1" applyAlignment="1" applyProtection="1">
      <alignment horizontal="right" vertical="center" wrapText="1"/>
      <protection/>
    </xf>
    <xf numFmtId="176" fontId="25" fillId="0" borderId="136" xfId="0" applyNumberFormat="1" applyFont="1" applyFill="1" applyBorder="1" applyAlignment="1" applyProtection="1">
      <alignment horizontal="right" vertical="center" wrapText="1"/>
      <protection/>
    </xf>
    <xf numFmtId="176" fontId="25" fillId="0" borderId="112" xfId="0" applyNumberFormat="1" applyFont="1" applyFill="1" applyBorder="1" applyAlignment="1" applyProtection="1">
      <alignment horizontal="right" vertical="center" wrapText="1"/>
      <protection/>
    </xf>
    <xf numFmtId="176" fontId="25" fillId="0" borderId="137" xfId="0" applyNumberFormat="1" applyFont="1" applyFill="1" applyBorder="1" applyAlignment="1" applyProtection="1">
      <alignment horizontal="right" vertical="center" wrapText="1"/>
      <protection/>
    </xf>
    <xf numFmtId="0" fontId="142" fillId="33" borderId="138" xfId="0" applyFont="1" applyFill="1" applyBorder="1" applyAlignment="1" applyProtection="1">
      <alignment horizontal="right" vertical="center" wrapText="1"/>
      <protection locked="0"/>
    </xf>
    <xf numFmtId="0" fontId="142" fillId="33" borderId="116" xfId="0" applyFont="1" applyFill="1" applyBorder="1" applyAlignment="1" applyProtection="1">
      <alignment horizontal="right" vertical="center" wrapText="1"/>
      <protection locked="0"/>
    </xf>
    <xf numFmtId="0" fontId="142" fillId="33" borderId="20" xfId="0" applyFont="1" applyFill="1" applyBorder="1" applyAlignment="1" applyProtection="1">
      <alignment horizontal="right" vertical="center" wrapText="1"/>
      <protection locked="0"/>
    </xf>
    <xf numFmtId="0" fontId="142" fillId="33" borderId="139" xfId="0" applyFont="1" applyFill="1" applyBorder="1" applyAlignment="1" applyProtection="1">
      <alignment horizontal="right" vertical="center" wrapText="1"/>
      <protection locked="0"/>
    </xf>
    <xf numFmtId="0" fontId="142" fillId="33" borderId="19" xfId="0" applyFont="1" applyFill="1" applyBorder="1" applyAlignment="1" applyProtection="1">
      <alignment horizontal="right" vertical="center" wrapText="1"/>
      <protection locked="0"/>
    </xf>
    <xf numFmtId="0" fontId="142" fillId="33" borderId="119" xfId="0" applyFont="1" applyFill="1" applyBorder="1" applyAlignment="1" applyProtection="1">
      <alignment horizontal="right" vertical="center" wrapText="1"/>
      <protection locked="0"/>
    </xf>
    <xf numFmtId="0" fontId="142" fillId="33" borderId="140" xfId="0" applyFont="1" applyFill="1" applyBorder="1" applyAlignment="1" applyProtection="1">
      <alignment horizontal="right" vertical="center" wrapText="1"/>
      <protection locked="0"/>
    </xf>
    <xf numFmtId="0" fontId="142" fillId="33" borderId="141" xfId="0" applyFont="1" applyFill="1" applyBorder="1" applyAlignment="1" applyProtection="1">
      <alignment horizontal="center" vertical="center" wrapText="1"/>
      <protection locked="0"/>
    </xf>
    <xf numFmtId="0" fontId="142" fillId="33" borderId="11" xfId="0" applyFont="1" applyFill="1" applyBorder="1" applyAlignment="1" applyProtection="1">
      <alignment horizontal="center" vertical="center" wrapText="1"/>
      <protection locked="0"/>
    </xf>
    <xf numFmtId="0" fontId="142" fillId="33" borderId="11" xfId="0" applyFont="1" applyFill="1" applyBorder="1" applyAlignment="1" applyProtection="1">
      <alignment horizontal="right" vertical="center"/>
      <protection locked="0"/>
    </xf>
    <xf numFmtId="0" fontId="142" fillId="33" borderId="142" xfId="0" applyFont="1" applyFill="1" applyBorder="1" applyAlignment="1" applyProtection="1">
      <alignment horizontal="center" vertical="center" wrapText="1"/>
      <protection locked="0"/>
    </xf>
    <xf numFmtId="0" fontId="142" fillId="33" borderId="143" xfId="0" applyFont="1" applyFill="1" applyBorder="1" applyAlignment="1" applyProtection="1">
      <alignment horizontal="center" vertical="center" wrapText="1"/>
      <protection locked="0"/>
    </xf>
    <xf numFmtId="0" fontId="142" fillId="33" borderId="143" xfId="0" applyFont="1" applyFill="1" applyBorder="1" applyAlignment="1" applyProtection="1">
      <alignment horizontal="right" vertical="center"/>
      <protection locked="0"/>
    </xf>
    <xf numFmtId="0" fontId="123" fillId="33" borderId="0" xfId="0" applyFont="1" applyFill="1" applyAlignment="1" applyProtection="1">
      <alignment vertical="center"/>
      <protection locked="0"/>
    </xf>
    <xf numFmtId="0" fontId="142" fillId="33" borderId="0" xfId="0" applyFont="1" applyFill="1" applyAlignment="1" applyProtection="1">
      <alignment horizontal="justify" vertical="center"/>
      <protection locked="0"/>
    </xf>
    <xf numFmtId="0" fontId="123" fillId="33" borderId="0" xfId="0" applyFont="1" applyFill="1" applyAlignment="1" applyProtection="1">
      <alignment horizontal="right" vertical="center"/>
      <protection locked="0"/>
    </xf>
    <xf numFmtId="38" fontId="0" fillId="0" borderId="111" xfId="50" applyFont="1" applyBorder="1" applyAlignment="1" applyProtection="1">
      <alignment horizontal="right" vertical="center"/>
      <protection/>
    </xf>
    <xf numFmtId="38" fontId="112" fillId="7" borderId="17" xfId="50" applyFont="1" applyFill="1" applyBorder="1" applyAlignment="1" applyProtection="1">
      <alignment horizontal="right" vertical="center"/>
      <protection locked="0"/>
    </xf>
    <xf numFmtId="38" fontId="112" fillId="7" borderId="117" xfId="50" applyFont="1" applyFill="1" applyBorder="1" applyAlignment="1" applyProtection="1">
      <alignment horizontal="right" vertical="center"/>
      <protection locked="0"/>
    </xf>
    <xf numFmtId="38" fontId="0" fillId="0" borderId="110" xfId="50" applyFont="1" applyBorder="1" applyAlignment="1" applyProtection="1">
      <alignment horizontal="right" vertical="center"/>
      <protection/>
    </xf>
    <xf numFmtId="0" fontId="115" fillId="0" borderId="144" xfId="0" applyFont="1" applyBorder="1" applyAlignment="1" applyProtection="1">
      <alignment horizontal="center" vertical="center"/>
      <protection locked="0"/>
    </xf>
    <xf numFmtId="196" fontId="115" fillId="7" borderId="34" xfId="0" applyNumberFormat="1" applyFont="1" applyFill="1" applyBorder="1" applyAlignment="1" applyProtection="1">
      <alignment horizontal="center" vertical="center"/>
      <protection locked="0"/>
    </xf>
    <xf numFmtId="38" fontId="0" fillId="33" borderId="41" xfId="50" applyFont="1" applyFill="1" applyBorder="1" applyAlignment="1" applyProtection="1">
      <alignment horizontal="right" vertical="center"/>
      <protection/>
    </xf>
    <xf numFmtId="38" fontId="0" fillId="33" borderId="33" xfId="50" applyFont="1" applyFill="1" applyBorder="1" applyAlignment="1" applyProtection="1">
      <alignment horizontal="right" vertical="center"/>
      <protection/>
    </xf>
    <xf numFmtId="38" fontId="0" fillId="33" borderId="44" xfId="50" applyFont="1" applyFill="1" applyBorder="1" applyAlignment="1" applyProtection="1">
      <alignment horizontal="right" vertical="center"/>
      <protection/>
    </xf>
    <xf numFmtId="38" fontId="0" fillId="0" borderId="126" xfId="50" applyFont="1" applyBorder="1" applyAlignment="1" applyProtection="1">
      <alignment horizontal="right" vertical="center"/>
      <protection/>
    </xf>
    <xf numFmtId="38" fontId="0" fillId="0" borderId="145" xfId="50" applyFont="1" applyBorder="1" applyAlignment="1" applyProtection="1">
      <alignment horizontal="right" vertical="center"/>
      <protection/>
    </xf>
    <xf numFmtId="38" fontId="0" fillId="0" borderId="146" xfId="50" applyFont="1" applyBorder="1" applyAlignment="1" applyProtection="1">
      <alignment horizontal="right" vertical="center"/>
      <protection/>
    </xf>
    <xf numFmtId="38" fontId="0" fillId="33" borderId="111" xfId="50" applyFont="1" applyFill="1" applyBorder="1" applyAlignment="1" applyProtection="1">
      <alignment horizontal="right" vertical="center"/>
      <protection/>
    </xf>
    <xf numFmtId="38" fontId="0" fillId="33" borderId="17" xfId="50" applyFont="1" applyFill="1" applyBorder="1" applyAlignment="1" applyProtection="1">
      <alignment horizontal="right" vertical="center"/>
      <protection/>
    </xf>
    <xf numFmtId="38" fontId="0" fillId="33" borderId="17" xfId="50" applyFont="1" applyFill="1" applyBorder="1" applyAlignment="1" applyProtection="1">
      <alignment horizontal="right" vertical="center"/>
      <protection locked="0"/>
    </xf>
    <xf numFmtId="38" fontId="0" fillId="33" borderId="117" xfId="50" applyFont="1" applyFill="1" applyBorder="1" applyAlignment="1" applyProtection="1">
      <alignment horizontal="right" vertical="center"/>
      <protection/>
    </xf>
    <xf numFmtId="38" fontId="0" fillId="0" borderId="147" xfId="50" applyFont="1" applyBorder="1" applyAlignment="1" applyProtection="1">
      <alignment horizontal="right" vertical="center"/>
      <protection/>
    </xf>
    <xf numFmtId="38" fontId="0" fillId="0" borderId="148" xfId="50" applyFont="1" applyBorder="1" applyAlignment="1" applyProtection="1">
      <alignment horizontal="right" vertical="center"/>
      <protection/>
    </xf>
    <xf numFmtId="0" fontId="142" fillId="33" borderId="114" xfId="0" applyFont="1" applyFill="1" applyBorder="1" applyAlignment="1" applyProtection="1">
      <alignment horizontal="right" vertical="center" wrapText="1"/>
      <protection locked="0"/>
    </xf>
    <xf numFmtId="0" fontId="142" fillId="33" borderId="149" xfId="0" applyFont="1" applyFill="1" applyBorder="1" applyAlignment="1" applyProtection="1">
      <alignment horizontal="right" vertical="center" wrapText="1"/>
      <protection locked="0"/>
    </xf>
    <xf numFmtId="176" fontId="25" fillId="33" borderId="117" xfId="0" applyNumberFormat="1" applyFont="1" applyFill="1" applyBorder="1" applyAlignment="1" applyProtection="1">
      <alignment horizontal="right" vertical="center" wrapText="1"/>
      <protection/>
    </xf>
    <xf numFmtId="184" fontId="25" fillId="0" borderId="13" xfId="0" applyNumberFormat="1" applyFont="1" applyFill="1" applyBorder="1" applyAlignment="1" applyProtection="1">
      <alignment horizontal="right" vertical="center" wrapText="1"/>
      <protection locked="0"/>
    </xf>
    <xf numFmtId="176" fontId="25" fillId="0" borderId="150" xfId="0" applyNumberFormat="1" applyFont="1" applyFill="1" applyBorder="1" applyAlignment="1" applyProtection="1">
      <alignment horizontal="right" vertical="center" wrapText="1"/>
      <protection/>
    </xf>
    <xf numFmtId="176" fontId="25" fillId="0" borderId="118" xfId="0" applyNumberFormat="1" applyFont="1" applyFill="1" applyBorder="1" applyAlignment="1" applyProtection="1">
      <alignment horizontal="right" vertical="center" wrapText="1"/>
      <protection/>
    </xf>
    <xf numFmtId="176" fontId="25" fillId="33" borderId="147" xfId="0" applyNumberFormat="1" applyFont="1" applyFill="1" applyBorder="1" applyAlignment="1" applyProtection="1">
      <alignment horizontal="right" vertical="center" wrapText="1"/>
      <protection/>
    </xf>
    <xf numFmtId="176" fontId="25" fillId="0" borderId="113" xfId="0" applyNumberFormat="1" applyFont="1" applyFill="1" applyBorder="1" applyAlignment="1" applyProtection="1">
      <alignment horizontal="right" vertical="center" wrapText="1"/>
      <protection/>
    </xf>
    <xf numFmtId="176" fontId="25" fillId="0" borderId="110" xfId="0" applyNumberFormat="1" applyFont="1" applyFill="1" applyBorder="1" applyAlignment="1" applyProtection="1">
      <alignment horizontal="right" vertical="center" wrapText="1"/>
      <protection locked="0"/>
    </xf>
    <xf numFmtId="176" fontId="25" fillId="33" borderId="127" xfId="0" applyNumberFormat="1" applyFont="1" applyFill="1" applyBorder="1" applyAlignment="1" applyProtection="1">
      <alignment horizontal="right" vertical="center" wrapText="1"/>
      <protection/>
    </xf>
    <xf numFmtId="176" fontId="25" fillId="0" borderId="125" xfId="0" applyNumberFormat="1" applyFont="1" applyFill="1" applyBorder="1" applyAlignment="1" applyProtection="1">
      <alignment horizontal="right" vertical="center" wrapText="1"/>
      <protection/>
    </xf>
    <xf numFmtId="176" fontId="25" fillId="0" borderId="151" xfId="0" applyNumberFormat="1" applyFont="1" applyFill="1" applyBorder="1" applyAlignment="1" applyProtection="1">
      <alignment horizontal="right" vertical="center" wrapText="1"/>
      <protection locked="0"/>
    </xf>
    <xf numFmtId="176" fontId="25" fillId="33" borderId="128" xfId="0" applyNumberFormat="1" applyFont="1" applyFill="1" applyBorder="1" applyAlignment="1" applyProtection="1">
      <alignment horizontal="right" vertical="center" wrapText="1"/>
      <protection/>
    </xf>
    <xf numFmtId="38" fontId="112" fillId="7" borderId="116" xfId="50" applyFont="1" applyFill="1" applyBorder="1" applyAlignment="1" applyProtection="1">
      <alignment horizontal="right" vertical="center"/>
      <protection locked="0"/>
    </xf>
    <xf numFmtId="38" fontId="112" fillId="7" borderId="119" xfId="50" applyFont="1" applyFill="1" applyBorder="1" applyAlignment="1" applyProtection="1">
      <alignment horizontal="right" vertical="center"/>
      <protection locked="0"/>
    </xf>
    <xf numFmtId="176" fontId="25" fillId="0" borderId="100" xfId="0" applyNumberFormat="1" applyFont="1" applyFill="1" applyBorder="1" applyAlignment="1" applyProtection="1">
      <alignment horizontal="right" vertical="center" wrapText="1"/>
      <protection/>
    </xf>
    <xf numFmtId="176" fontId="25" fillId="0" borderId="100" xfId="0" applyNumberFormat="1" applyFont="1" applyFill="1" applyBorder="1" applyAlignment="1" applyProtection="1">
      <alignment horizontal="right" vertical="center" wrapText="1"/>
      <protection locked="0"/>
    </xf>
    <xf numFmtId="176" fontId="25" fillId="0" borderId="96" xfId="0" applyNumberFormat="1" applyFont="1" applyFill="1" applyBorder="1" applyAlignment="1" applyProtection="1">
      <alignment horizontal="right" vertical="center" wrapText="1"/>
      <protection locked="0"/>
    </xf>
    <xf numFmtId="176" fontId="25" fillId="0" borderId="44" xfId="0" applyNumberFormat="1" applyFont="1" applyFill="1" applyBorder="1" applyAlignment="1" applyProtection="1">
      <alignment horizontal="right" vertical="center" wrapText="1"/>
      <protection locked="0"/>
    </xf>
    <xf numFmtId="176" fontId="25" fillId="0" borderId="18" xfId="0" applyNumberFormat="1" applyFont="1" applyFill="1" applyBorder="1" applyAlignment="1" applyProtection="1">
      <alignment horizontal="right" vertical="center" wrapText="1"/>
      <protection/>
    </xf>
    <xf numFmtId="176" fontId="25" fillId="0" borderId="44" xfId="0" applyNumberFormat="1" applyFont="1" applyFill="1" applyBorder="1" applyAlignment="1" applyProtection="1">
      <alignment horizontal="right" vertical="center" wrapText="1"/>
      <protection/>
    </xf>
    <xf numFmtId="176" fontId="25" fillId="0" borderId="33" xfId="0" applyNumberFormat="1" applyFont="1" applyFill="1" applyBorder="1" applyAlignment="1" applyProtection="1">
      <alignment horizontal="right" vertical="center" wrapText="1"/>
      <protection/>
    </xf>
    <xf numFmtId="176" fontId="25" fillId="0" borderId="42" xfId="0" applyNumberFormat="1" applyFont="1" applyFill="1" applyBorder="1" applyAlignment="1" applyProtection="1">
      <alignment horizontal="right" vertical="center" wrapText="1"/>
      <protection/>
    </xf>
    <xf numFmtId="176" fontId="25" fillId="0" borderId="152" xfId="0" applyNumberFormat="1" applyFont="1" applyFill="1" applyBorder="1" applyAlignment="1" applyProtection="1">
      <alignment horizontal="right" vertical="center" wrapText="1"/>
      <protection/>
    </xf>
    <xf numFmtId="38" fontId="25" fillId="0" borderId="37" xfId="50" applyFont="1" applyFill="1" applyBorder="1" applyAlignment="1" applyProtection="1">
      <alignment horizontal="right" vertical="center" wrapText="1"/>
      <protection/>
    </xf>
    <xf numFmtId="0" fontId="130" fillId="0" borderId="0" xfId="0" applyFont="1" applyBorder="1" applyAlignment="1" applyProtection="1">
      <alignment horizontal="center" vertical="center"/>
      <protection locked="0"/>
    </xf>
    <xf numFmtId="0" fontId="123" fillId="0" borderId="0" xfId="0" applyFont="1" applyAlignment="1" applyProtection="1">
      <alignment horizontal="center" vertical="center"/>
      <protection locked="0"/>
    </xf>
    <xf numFmtId="0" fontId="142" fillId="0" borderId="0" xfId="0" applyFont="1" applyAlignment="1" applyProtection="1">
      <alignment horizontal="left" vertical="center"/>
      <protection locked="0"/>
    </xf>
    <xf numFmtId="0" fontId="0" fillId="0" borderId="101"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30" fillId="0" borderId="49" xfId="0" applyFont="1" applyBorder="1" applyAlignment="1" applyProtection="1">
      <alignment horizontal="center" vertical="center"/>
      <protection locked="0"/>
    </xf>
    <xf numFmtId="0" fontId="154" fillId="0" borderId="0" xfId="0" applyFont="1" applyBorder="1" applyAlignment="1" applyProtection="1">
      <alignment vertical="center"/>
      <protection locked="0"/>
    </xf>
    <xf numFmtId="0" fontId="130" fillId="0" borderId="153" xfId="0" applyFont="1" applyBorder="1" applyAlignment="1" applyProtection="1">
      <alignment vertical="center"/>
      <protection locked="0"/>
    </xf>
    <xf numFmtId="0" fontId="18" fillId="0" borderId="154" xfId="0" applyFont="1" applyBorder="1" applyAlignment="1" applyProtection="1">
      <alignment horizontal="center" vertical="center" wrapText="1"/>
      <protection locked="0"/>
    </xf>
    <xf numFmtId="0" fontId="18" fillId="0" borderId="129" xfId="0" applyFont="1" applyBorder="1" applyAlignment="1" applyProtection="1">
      <alignment horizontal="center" vertical="center" wrapText="1"/>
      <protection locked="0"/>
    </xf>
    <xf numFmtId="0" fontId="18" fillId="0" borderId="139" xfId="0" applyFont="1" applyBorder="1" applyAlignment="1" applyProtection="1">
      <alignment vertical="top" wrapText="1"/>
      <protection locked="0"/>
    </xf>
    <xf numFmtId="0" fontId="18" fillId="0" borderId="155" xfId="0" applyFont="1" applyFill="1" applyBorder="1" applyAlignment="1" applyProtection="1">
      <alignment vertical="center" wrapText="1"/>
      <protection locked="0"/>
    </xf>
    <xf numFmtId="0" fontId="130" fillId="0" borderId="156" xfId="0" applyFont="1" applyBorder="1" applyAlignment="1" applyProtection="1">
      <alignment vertical="center"/>
      <protection locked="0"/>
    </xf>
    <xf numFmtId="0" fontId="18" fillId="0" borderId="144" xfId="0" applyFont="1" applyFill="1" applyBorder="1" applyAlignment="1" applyProtection="1">
      <alignment vertical="center" wrapText="1"/>
      <protection locked="0"/>
    </xf>
    <xf numFmtId="0" fontId="150" fillId="0" borderId="153" xfId="0" applyFont="1" applyBorder="1" applyAlignment="1" applyProtection="1">
      <alignment vertical="center"/>
      <protection locked="0"/>
    </xf>
    <xf numFmtId="0" fontId="150" fillId="0" borderId="153" xfId="0" applyFont="1" applyBorder="1" applyAlignment="1" applyProtection="1">
      <alignment vertical="center"/>
      <protection locked="0"/>
    </xf>
    <xf numFmtId="0" fontId="130" fillId="0" borderId="153" xfId="0" applyFont="1" applyBorder="1" applyAlignment="1" applyProtection="1">
      <alignment vertical="center"/>
      <protection locked="0"/>
    </xf>
    <xf numFmtId="0" fontId="18" fillId="0" borderId="139" xfId="0" applyFont="1" applyFill="1" applyBorder="1" applyAlignment="1" applyProtection="1">
      <alignment vertical="center" wrapText="1"/>
      <protection locked="0"/>
    </xf>
    <xf numFmtId="0" fontId="130" fillId="0" borderId="157" xfId="0" applyFont="1" applyBorder="1" applyAlignment="1" applyProtection="1">
      <alignment vertical="center"/>
      <protection locked="0"/>
    </xf>
    <xf numFmtId="0" fontId="18" fillId="0" borderId="141" xfId="0" applyFont="1" applyFill="1" applyBorder="1" applyAlignment="1" applyProtection="1">
      <alignment horizontal="center" vertical="center" wrapText="1"/>
      <protection locked="0"/>
    </xf>
    <xf numFmtId="0" fontId="30" fillId="0" borderId="14" xfId="0" applyFont="1" applyFill="1" applyBorder="1" applyAlignment="1" applyProtection="1" quotePrefix="1">
      <alignment horizontal="center" vertical="center" wrapText="1"/>
      <protection locked="0"/>
    </xf>
    <xf numFmtId="176" fontId="14" fillId="0" borderId="12" xfId="0" applyNumberFormat="1" applyFont="1" applyFill="1" applyBorder="1" applyAlignment="1" applyProtection="1">
      <alignment horizontal="right" vertical="center" wrapText="1"/>
      <protection/>
    </xf>
    <xf numFmtId="176" fontId="14" fillId="0" borderId="104" xfId="0" applyNumberFormat="1" applyFont="1" applyFill="1" applyBorder="1" applyAlignment="1" applyProtection="1">
      <alignment horizontal="right" vertical="center" wrapText="1"/>
      <protection/>
    </xf>
    <xf numFmtId="176" fontId="14" fillId="0" borderId="11" xfId="0" applyNumberFormat="1" applyFont="1" applyFill="1" applyBorder="1" applyAlignment="1" applyProtection="1">
      <alignment horizontal="right" vertical="center" wrapText="1"/>
      <protection/>
    </xf>
    <xf numFmtId="0" fontId="130" fillId="0" borderId="46" xfId="0" applyFont="1" applyBorder="1" applyAlignment="1" applyProtection="1">
      <alignment vertical="center"/>
      <protection locked="0"/>
    </xf>
    <xf numFmtId="0" fontId="130" fillId="0" borderId="41" xfId="0" applyFont="1" applyBorder="1" applyAlignment="1" applyProtection="1">
      <alignment vertical="center"/>
      <protection locked="0"/>
    </xf>
    <xf numFmtId="0" fontId="139" fillId="33" borderId="120" xfId="0" applyFont="1" applyFill="1" applyBorder="1" applyAlignment="1" applyProtection="1">
      <alignment horizontal="center" vertical="center"/>
      <protection/>
    </xf>
    <xf numFmtId="213" fontId="28" fillId="0" borderId="19" xfId="50" applyNumberFormat="1" applyFont="1" applyFill="1" applyBorder="1" applyAlignment="1" applyProtection="1">
      <alignment vertical="center" wrapText="1"/>
      <protection/>
    </xf>
    <xf numFmtId="0" fontId="141" fillId="0" borderId="42" xfId="0" applyFont="1" applyBorder="1" applyAlignment="1" applyProtection="1">
      <alignment vertical="center"/>
      <protection locked="0"/>
    </xf>
    <xf numFmtId="0" fontId="141" fillId="0" borderId="46" xfId="0" applyFont="1" applyBorder="1" applyAlignment="1" applyProtection="1">
      <alignment vertical="center"/>
      <protection locked="0"/>
    </xf>
    <xf numFmtId="0" fontId="141" fillId="0" borderId="44" xfId="0" applyFont="1" applyBorder="1" applyAlignment="1" applyProtection="1">
      <alignment vertical="center"/>
      <protection locked="0"/>
    </xf>
    <xf numFmtId="0" fontId="130" fillId="33" borderId="46" xfId="0" applyFont="1" applyFill="1" applyBorder="1" applyAlignment="1" applyProtection="1">
      <alignment horizontal="center" vertical="center"/>
      <protection locked="0"/>
    </xf>
    <xf numFmtId="0" fontId="155" fillId="0" borderId="0" xfId="0" applyFont="1" applyAlignment="1" applyProtection="1">
      <alignment vertical="center"/>
      <protection locked="0"/>
    </xf>
    <xf numFmtId="0" fontId="130" fillId="7" borderId="18" xfId="0" applyFont="1" applyFill="1" applyBorder="1" applyAlignment="1" applyProtection="1">
      <alignment horizontal="center" vertical="center"/>
      <protection locked="0"/>
    </xf>
    <xf numFmtId="0" fontId="18" fillId="7" borderId="18" xfId="0" applyFont="1" applyFill="1" applyBorder="1" applyAlignment="1" applyProtection="1">
      <alignment horizontal="center" vertical="top" wrapText="1"/>
      <protection locked="0"/>
    </xf>
    <xf numFmtId="0" fontId="18" fillId="7" borderId="18" xfId="0" applyFont="1" applyFill="1" applyBorder="1" applyAlignment="1" applyProtection="1">
      <alignment horizontal="center" vertical="center" wrapText="1"/>
      <protection locked="0"/>
    </xf>
    <xf numFmtId="0" fontId="18" fillId="0" borderId="18" xfId="0" applyFont="1" applyFill="1" applyBorder="1" applyAlignment="1" applyProtection="1">
      <alignment vertical="center" wrapText="1"/>
      <protection locked="0"/>
    </xf>
    <xf numFmtId="38" fontId="14" fillId="0" borderId="18" xfId="50" applyFont="1" applyFill="1" applyBorder="1" applyAlignment="1" applyProtection="1">
      <alignment vertical="center"/>
      <protection/>
    </xf>
    <xf numFmtId="38" fontId="14" fillId="0" borderId="18" xfId="50" applyFont="1" applyFill="1" applyBorder="1" applyAlignment="1" applyProtection="1">
      <alignment horizontal="right" vertical="center"/>
      <protection/>
    </xf>
    <xf numFmtId="0" fontId="146" fillId="0" borderId="18" xfId="0" applyFont="1" applyBorder="1" applyAlignment="1" applyProtection="1">
      <alignment horizontal="right" vertical="center" indent="1"/>
      <protection locked="0"/>
    </xf>
    <xf numFmtId="0" fontId="130" fillId="0" borderId="1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39" fillId="33" borderId="33" xfId="0" applyFont="1" applyFill="1" applyBorder="1" applyAlignment="1" applyProtection="1">
      <alignment horizontal="center" vertical="center"/>
      <protection locked="0"/>
    </xf>
    <xf numFmtId="213" fontId="28" fillId="33" borderId="100" xfId="50" applyNumberFormat="1" applyFont="1" applyFill="1" applyBorder="1" applyAlignment="1" applyProtection="1">
      <alignment horizontal="center" vertical="center"/>
      <protection/>
    </xf>
    <xf numFmtId="0" fontId="139" fillId="33" borderId="152" xfId="0" applyFont="1" applyFill="1" applyBorder="1" applyAlignment="1" applyProtection="1">
      <alignment horizontal="center" vertical="center"/>
      <protection locked="0"/>
    </xf>
    <xf numFmtId="213" fontId="28" fillId="33" borderId="100" xfId="50" applyNumberFormat="1" applyFont="1" applyFill="1" applyBorder="1" applyAlignment="1" applyProtection="1">
      <alignment horizontal="right" vertical="center"/>
      <protection/>
    </xf>
    <xf numFmtId="213" fontId="28" fillId="0" borderId="100" xfId="50" applyNumberFormat="1" applyFont="1" applyFill="1" applyBorder="1" applyAlignment="1" applyProtection="1">
      <alignment horizontal="right" vertical="center" wrapText="1"/>
      <protection/>
    </xf>
    <xf numFmtId="0" fontId="144" fillId="33" borderId="42" xfId="0" applyFont="1" applyFill="1" applyBorder="1" applyAlignment="1" applyProtection="1">
      <alignment horizontal="center" vertical="center"/>
      <protection locked="0"/>
    </xf>
    <xf numFmtId="213" fontId="143" fillId="33" borderId="42" xfId="50" applyNumberFormat="1" applyFont="1" applyFill="1" applyBorder="1" applyAlignment="1" applyProtection="1">
      <alignment horizontal="right" vertical="center"/>
      <protection locked="0"/>
    </xf>
    <xf numFmtId="0" fontId="120" fillId="0" borderId="96" xfId="0" applyFont="1" applyBorder="1" applyAlignment="1" applyProtection="1">
      <alignment vertical="center" wrapText="1"/>
      <protection locked="0"/>
    </xf>
    <xf numFmtId="0" fontId="120" fillId="0" borderId="18" xfId="0" applyFont="1" applyBorder="1" applyAlignment="1" applyProtection="1">
      <alignment vertical="center" wrapText="1"/>
      <protection locked="0"/>
    </xf>
    <xf numFmtId="0" fontId="120" fillId="0" borderId="33" xfId="0" applyFont="1" applyBorder="1" applyAlignment="1" applyProtection="1">
      <alignment vertical="center" wrapText="1"/>
      <protection locked="0"/>
    </xf>
    <xf numFmtId="0" fontId="142" fillId="0" borderId="0" xfId="0" applyFont="1" applyBorder="1" applyAlignment="1" applyProtection="1">
      <alignment horizontal="left" vertical="center"/>
      <protection locked="0"/>
    </xf>
    <xf numFmtId="0" fontId="139" fillId="33" borderId="16" xfId="0" applyFont="1" applyFill="1" applyBorder="1" applyAlignment="1" applyProtection="1">
      <alignment horizontal="center" vertical="center"/>
      <protection/>
    </xf>
    <xf numFmtId="0" fontId="130" fillId="0" borderId="127" xfId="0" applyFont="1" applyBorder="1" applyAlignment="1" applyProtection="1">
      <alignment horizontal="center" vertical="center" wrapText="1"/>
      <protection locked="0"/>
    </xf>
    <xf numFmtId="0" fontId="130" fillId="0" borderId="103" xfId="0" applyFont="1" applyBorder="1" applyAlignment="1" applyProtection="1">
      <alignment horizontal="center" vertical="center" wrapText="1"/>
      <protection/>
    </xf>
    <xf numFmtId="0" fontId="130" fillId="0" borderId="128" xfId="0" applyFont="1" applyBorder="1" applyAlignment="1" applyProtection="1">
      <alignment horizontal="center" vertical="center" wrapText="1"/>
      <protection/>
    </xf>
    <xf numFmtId="213" fontId="29" fillId="33" borderId="120" xfId="50" applyNumberFormat="1" applyFont="1" applyFill="1" applyBorder="1" applyAlignment="1" applyProtection="1">
      <alignment horizontal="center" vertical="center"/>
      <protection/>
    </xf>
    <xf numFmtId="0" fontId="141" fillId="0" borderId="120" xfId="0" applyFont="1" applyBorder="1" applyAlignment="1" applyProtection="1">
      <alignment vertical="center"/>
      <protection locked="0"/>
    </xf>
    <xf numFmtId="0" fontId="141" fillId="0" borderId="0" xfId="0" applyFont="1" applyBorder="1" applyAlignment="1" applyProtection="1">
      <alignment horizontal="center" vertical="center"/>
      <protection/>
    </xf>
    <xf numFmtId="0" fontId="18" fillId="7" borderId="103" xfId="0" applyFont="1" applyFill="1" applyBorder="1" applyAlignment="1" applyProtection="1">
      <alignment horizontal="center" vertical="top" wrapText="1"/>
      <protection locked="0"/>
    </xf>
    <xf numFmtId="0" fontId="18" fillId="7" borderId="103" xfId="0" applyFont="1" applyFill="1" applyBorder="1" applyAlignment="1" applyProtection="1">
      <alignment horizontal="center" vertical="center" wrapText="1"/>
      <protection locked="0"/>
    </xf>
    <xf numFmtId="0" fontId="18" fillId="0" borderId="16" xfId="0" applyFont="1" applyFill="1" applyBorder="1" applyAlignment="1" applyProtection="1">
      <alignment vertical="center" wrapText="1"/>
      <protection locked="0"/>
    </xf>
    <xf numFmtId="0" fontId="130" fillId="0" borderId="124" xfId="0" applyFont="1" applyBorder="1" applyAlignment="1" applyProtection="1">
      <alignment horizontal="center" vertical="center"/>
      <protection locked="0"/>
    </xf>
    <xf numFmtId="0" fontId="130" fillId="0" borderId="158" xfId="0" applyFont="1" applyBorder="1" applyAlignment="1" applyProtection="1">
      <alignment horizontal="center" vertical="center"/>
      <protection locked="0"/>
    </xf>
    <xf numFmtId="0" fontId="130" fillId="0" borderId="125" xfId="0" applyFont="1" applyBorder="1" applyAlignment="1" applyProtection="1">
      <alignment horizontal="center" vertical="center"/>
      <protection locked="0"/>
    </xf>
    <xf numFmtId="0" fontId="130" fillId="0" borderId="140" xfId="0" applyFont="1" applyBorder="1" applyAlignment="1" applyProtection="1">
      <alignment horizontal="center" vertical="center"/>
      <protection locked="0"/>
    </xf>
    <xf numFmtId="0" fontId="130" fillId="0" borderId="150" xfId="0" applyFont="1" applyBorder="1" applyAlignment="1" applyProtection="1">
      <alignment horizontal="center" vertical="center"/>
      <protection locked="0"/>
    </xf>
    <xf numFmtId="0" fontId="156" fillId="0" borderId="0" xfId="0" applyFont="1" applyBorder="1" applyAlignment="1" applyProtection="1">
      <alignment horizontal="left" vertical="center"/>
      <protection locked="0"/>
    </xf>
    <xf numFmtId="0" fontId="157" fillId="0" borderId="0" xfId="0" applyFont="1" applyAlignment="1" applyProtection="1">
      <alignment vertical="center"/>
      <protection locked="0"/>
    </xf>
    <xf numFmtId="0" fontId="156" fillId="0" borderId="0" xfId="0" applyFont="1" applyBorder="1" applyAlignment="1" applyProtection="1">
      <alignment horizontal="center" vertical="center"/>
      <protection locked="0"/>
    </xf>
    <xf numFmtId="0" fontId="156" fillId="0" borderId="0" xfId="0" applyFont="1" applyBorder="1" applyAlignment="1" applyProtection="1">
      <alignment vertical="center"/>
      <protection locked="0"/>
    </xf>
    <xf numFmtId="0" fontId="130" fillId="7" borderId="41" xfId="0" applyFont="1" applyFill="1" applyBorder="1" applyAlignment="1" applyProtection="1">
      <alignment horizontal="center" vertical="center" wrapText="1"/>
      <protection locked="0"/>
    </xf>
    <xf numFmtId="0" fontId="130" fillId="7" borderId="10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0"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41" fillId="0" borderId="46" xfId="0" applyFont="1" applyBorder="1" applyAlignment="1" applyProtection="1">
      <alignment horizontal="right"/>
      <protection locked="0"/>
    </xf>
    <xf numFmtId="0" fontId="139" fillId="33" borderId="42" xfId="0" applyFont="1" applyFill="1" applyBorder="1" applyAlignment="1" applyProtection="1">
      <alignment horizontal="center" vertical="center"/>
      <protection locked="0"/>
    </xf>
    <xf numFmtId="213" fontId="28" fillId="0" borderId="41" xfId="50" applyNumberFormat="1" applyFont="1" applyFill="1" applyBorder="1" applyAlignment="1" applyProtection="1">
      <alignment horizontal="right" vertical="center" wrapText="1"/>
      <protection locked="0"/>
    </xf>
    <xf numFmtId="213" fontId="28" fillId="33" borderId="49" xfId="50" applyNumberFormat="1" applyFont="1" applyFill="1" applyBorder="1" applyAlignment="1" applyProtection="1">
      <alignment horizontal="right" vertical="center"/>
      <protection locked="0"/>
    </xf>
    <xf numFmtId="213" fontId="29" fillId="33" borderId="42" xfId="50" applyNumberFormat="1" applyFont="1" applyFill="1" applyBorder="1" applyAlignment="1" applyProtection="1">
      <alignment horizontal="center" vertical="center"/>
      <protection locked="0"/>
    </xf>
    <xf numFmtId="213" fontId="28" fillId="33" borderId="49" xfId="50" applyNumberFormat="1" applyFont="1" applyFill="1" applyBorder="1" applyAlignment="1" applyProtection="1">
      <alignment horizontal="center" vertical="center"/>
      <protection locked="0"/>
    </xf>
    <xf numFmtId="38" fontId="14" fillId="0" borderId="96" xfId="50" applyFont="1" applyFill="1" applyBorder="1" applyAlignment="1" applyProtection="1">
      <alignment vertical="center"/>
      <protection/>
    </xf>
    <xf numFmtId="38" fontId="14" fillId="0" borderId="96" xfId="50" applyFont="1" applyFill="1" applyBorder="1" applyAlignment="1" applyProtection="1">
      <alignment horizontal="center" vertical="center"/>
      <protection/>
    </xf>
    <xf numFmtId="176" fontId="14" fillId="0" borderId="96" xfId="0" applyNumberFormat="1" applyFont="1" applyFill="1" applyBorder="1" applyAlignment="1" applyProtection="1">
      <alignment horizontal="center" vertical="center" wrapText="1"/>
      <protection locked="0"/>
    </xf>
    <xf numFmtId="0" fontId="11" fillId="0" borderId="96"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7" fillId="0" borderId="44"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39" fillId="33" borderId="18" xfId="0"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right" vertical="center" wrapText="1"/>
      <protection locked="0"/>
    </xf>
    <xf numFmtId="176" fontId="25" fillId="0" borderId="0" xfId="0" applyNumberFormat="1" applyFont="1" applyFill="1" applyBorder="1" applyAlignment="1" applyProtection="1">
      <alignment horizontal="center" vertical="center" wrapText="1"/>
      <protection locked="0"/>
    </xf>
    <xf numFmtId="0" fontId="112" fillId="0" borderId="0" xfId="0" applyFont="1" applyBorder="1" applyAlignment="1" applyProtection="1">
      <alignment horizontal="left" vertical="center"/>
      <protection locked="0"/>
    </xf>
    <xf numFmtId="0" fontId="115" fillId="0" borderId="18" xfId="0" applyFont="1" applyBorder="1" applyAlignment="1" applyProtection="1">
      <alignment horizontal="center" vertical="center"/>
      <protection locked="0"/>
    </xf>
    <xf numFmtId="0" fontId="120" fillId="0" borderId="19" xfId="0" applyFont="1" applyBorder="1" applyAlignment="1" applyProtection="1">
      <alignment vertical="center"/>
      <protection locked="0"/>
    </xf>
    <xf numFmtId="0" fontId="127" fillId="0" borderId="0" xfId="0" applyFont="1" applyAlignment="1" applyProtection="1">
      <alignment vertical="center"/>
      <protection locked="0"/>
    </xf>
    <xf numFmtId="0" fontId="123" fillId="33" borderId="0" xfId="0" applyFont="1" applyFill="1" applyAlignment="1" applyProtection="1">
      <alignment horizontal="right" vertical="center"/>
      <protection/>
    </xf>
    <xf numFmtId="0" fontId="7" fillId="33" borderId="19" xfId="0" applyFont="1" applyFill="1" applyBorder="1" applyAlignment="1" applyProtection="1">
      <alignment horizontal="left" vertical="center" shrinkToFit="1"/>
      <protection/>
    </xf>
    <xf numFmtId="38" fontId="0" fillId="33" borderId="128" xfId="50" applyFont="1" applyFill="1" applyBorder="1" applyAlignment="1" applyProtection="1">
      <alignment horizontal="right" vertical="center"/>
      <protection/>
    </xf>
    <xf numFmtId="38" fontId="0" fillId="0" borderId="12" xfId="50" applyFont="1" applyBorder="1" applyAlignment="1" applyProtection="1">
      <alignment horizontal="right" vertical="center"/>
      <protection/>
    </xf>
    <xf numFmtId="40" fontId="3" fillId="0" borderId="64" xfId="53" applyNumberFormat="1" applyFont="1" applyFill="1" applyBorder="1" applyAlignment="1" applyProtection="1">
      <alignment horizontal="right" vertical="center" shrinkToFit="1"/>
      <protection/>
    </xf>
    <xf numFmtId="40" fontId="3" fillId="34" borderId="60" xfId="53" applyNumberFormat="1" applyFont="1" applyFill="1" applyBorder="1" applyAlignment="1" applyProtection="1">
      <alignment horizontal="right" vertical="center" shrinkToFit="1"/>
      <protection/>
    </xf>
    <xf numFmtId="40" fontId="3" fillId="0" borderId="60" xfId="53" applyNumberFormat="1" applyFont="1" applyFill="1" applyBorder="1" applyAlignment="1" applyProtection="1">
      <alignment horizontal="right" vertical="center" shrinkToFit="1"/>
      <protection/>
    </xf>
    <xf numFmtId="40" fontId="3" fillId="34" borderId="89" xfId="53" applyNumberFormat="1" applyFont="1" applyFill="1" applyBorder="1" applyAlignment="1" applyProtection="1">
      <alignment horizontal="right" vertical="center" shrinkToFit="1"/>
      <protection/>
    </xf>
    <xf numFmtId="190" fontId="3" fillId="0" borderId="159" xfId="53" applyNumberFormat="1" applyFont="1" applyFill="1" applyBorder="1" applyAlignment="1" applyProtection="1">
      <alignment vertical="center" shrinkToFit="1"/>
      <protection/>
    </xf>
    <xf numFmtId="190" fontId="3" fillId="34" borderId="159" xfId="53" applyNumberFormat="1" applyFont="1" applyFill="1" applyBorder="1" applyAlignment="1" applyProtection="1">
      <alignment vertical="center" shrinkToFit="1"/>
      <protection/>
    </xf>
    <xf numFmtId="190" fontId="3" fillId="0" borderId="160" xfId="53" applyNumberFormat="1" applyFont="1" applyFill="1" applyBorder="1" applyAlignment="1" applyProtection="1">
      <alignment vertical="center" shrinkToFit="1"/>
      <protection/>
    </xf>
    <xf numFmtId="0" fontId="0" fillId="33" borderId="0" xfId="0" applyFont="1" applyFill="1" applyAlignment="1" applyProtection="1">
      <alignment horizontal="left" vertical="center"/>
      <protection locked="0"/>
    </xf>
    <xf numFmtId="0" fontId="158" fillId="33" borderId="0" xfId="0" applyFont="1" applyFill="1" applyAlignment="1" applyProtection="1">
      <alignment horizontal="left" vertical="center"/>
      <protection locked="0"/>
    </xf>
    <xf numFmtId="0" fontId="123" fillId="0" borderId="0" xfId="0" applyFont="1" applyAlignment="1" applyProtection="1">
      <alignment horizontal="right" vertical="center"/>
      <protection locked="0"/>
    </xf>
    <xf numFmtId="0" fontId="123" fillId="33" borderId="0" xfId="0" applyFont="1" applyFill="1" applyAlignment="1" applyProtection="1">
      <alignment vertical="center"/>
      <protection/>
    </xf>
    <xf numFmtId="0" fontId="159" fillId="33" borderId="0" xfId="0" applyFont="1" applyFill="1" applyAlignment="1" applyProtection="1">
      <alignment vertical="center"/>
      <protection/>
    </xf>
    <xf numFmtId="0" fontId="159" fillId="33" borderId="0" xfId="0" applyFont="1" applyFill="1" applyAlignment="1" applyProtection="1">
      <alignment horizontal="left" vertical="center"/>
      <protection locked="0"/>
    </xf>
    <xf numFmtId="0" fontId="121" fillId="0" borderId="0" xfId="0" applyFont="1" applyAlignment="1" applyProtection="1">
      <alignment horizontal="center" vertical="center"/>
      <protection locked="0"/>
    </xf>
    <xf numFmtId="0" fontId="142" fillId="33" borderId="136" xfId="0" applyFont="1" applyFill="1" applyBorder="1" applyAlignment="1" applyProtection="1">
      <alignment horizontal="right" vertical="center" wrapText="1"/>
      <protection locked="0"/>
    </xf>
    <xf numFmtId="0" fontId="142" fillId="33" borderId="137" xfId="0" applyFont="1" applyFill="1" applyBorder="1" applyAlignment="1" applyProtection="1">
      <alignment horizontal="right" vertical="center" wrapText="1"/>
      <protection locked="0"/>
    </xf>
    <xf numFmtId="0" fontId="142" fillId="33" borderId="150" xfId="0" applyFont="1" applyFill="1" applyBorder="1" applyAlignment="1" applyProtection="1">
      <alignment horizontal="right" vertical="center" wrapText="1"/>
      <protection locked="0"/>
    </xf>
    <xf numFmtId="0" fontId="0" fillId="0" borderId="161" xfId="0" applyBorder="1" applyAlignment="1" applyProtection="1">
      <alignment horizontal="center" vertical="center"/>
      <protection locked="0"/>
    </xf>
    <xf numFmtId="0" fontId="117" fillId="0" borderId="117" xfId="0" applyFont="1" applyBorder="1" applyAlignment="1" applyProtection="1">
      <alignment horizontal="center" vertical="center" wrapText="1"/>
      <protection locked="0"/>
    </xf>
    <xf numFmtId="176" fontId="9" fillId="0" borderId="104" xfId="0" applyNumberFormat="1" applyFont="1" applyBorder="1" applyAlignment="1" applyProtection="1">
      <alignment horizontal="right" vertical="center" wrapText="1"/>
      <protection locked="0"/>
    </xf>
    <xf numFmtId="184" fontId="9" fillId="0" borderId="104"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xf>
    <xf numFmtId="176" fontId="9" fillId="0" borderId="104" xfId="0" applyNumberFormat="1" applyFont="1" applyBorder="1" applyAlignment="1" applyProtection="1">
      <alignment horizontal="right" vertical="center" wrapText="1"/>
      <protection/>
    </xf>
    <xf numFmtId="0" fontId="117" fillId="0" borderId="128" xfId="0" applyFont="1" applyBorder="1" applyAlignment="1" applyProtection="1">
      <alignment horizontal="center" vertical="center" wrapText="1"/>
      <protection locked="0"/>
    </xf>
    <xf numFmtId="0" fontId="0" fillId="0" borderId="162" xfId="0" applyBorder="1" applyAlignment="1" applyProtection="1">
      <alignment horizontal="center" vertical="center"/>
      <protection locked="0"/>
    </xf>
    <xf numFmtId="0" fontId="113" fillId="0" borderId="117" xfId="0" applyFont="1" applyBorder="1" applyAlignment="1" applyProtection="1">
      <alignment horizontal="center" vertical="center" wrapText="1"/>
      <protection locked="0"/>
    </xf>
    <xf numFmtId="195" fontId="9" fillId="0" borderId="104" xfId="0" applyNumberFormat="1" applyFont="1" applyBorder="1" applyAlignment="1" applyProtection="1">
      <alignment horizontal="right" vertical="center" wrapText="1"/>
      <protection locked="0"/>
    </xf>
    <xf numFmtId="177" fontId="9" fillId="0" borderId="104" xfId="0" applyNumberFormat="1" applyFont="1" applyBorder="1" applyAlignment="1" applyProtection="1">
      <alignment horizontal="right" vertical="center" wrapText="1"/>
      <protection locked="0"/>
    </xf>
    <xf numFmtId="0" fontId="113" fillId="0" borderId="12" xfId="0" applyFont="1" applyBorder="1" applyAlignment="1" applyProtection="1" quotePrefix="1">
      <alignment horizontal="center" vertical="center" wrapText="1"/>
      <protection locked="0"/>
    </xf>
    <xf numFmtId="0" fontId="113" fillId="0" borderId="117" xfId="0" applyFont="1" applyBorder="1" applyAlignment="1" applyProtection="1">
      <alignment horizontal="right" vertical="center" wrapText="1"/>
      <protection locked="0"/>
    </xf>
    <xf numFmtId="195" fontId="9" fillId="0" borderId="13" xfId="0" applyNumberFormat="1" applyFont="1" applyBorder="1" applyAlignment="1" applyProtection="1">
      <alignment horizontal="righ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116" fillId="0" borderId="100" xfId="0" applyFont="1" applyBorder="1" applyAlignment="1" applyProtection="1">
      <alignment horizontal="left" vertical="center" wrapText="1"/>
      <protection locked="0"/>
    </xf>
    <xf numFmtId="0" fontId="116" fillId="33" borderId="103" xfId="0" applyFont="1" applyFill="1" applyBorder="1" applyAlignment="1" applyProtection="1">
      <alignment horizontal="left" vertical="center" wrapText="1"/>
      <protection locked="0"/>
    </xf>
    <xf numFmtId="0" fontId="116" fillId="0" borderId="103" xfId="0" applyFont="1" applyBorder="1" applyAlignment="1" applyProtection="1">
      <alignment horizontal="left" vertical="center" wrapText="1"/>
      <protection locked="0"/>
    </xf>
    <xf numFmtId="0" fontId="116" fillId="0" borderId="103" xfId="0" applyFont="1" applyBorder="1" applyAlignment="1" applyProtection="1">
      <alignment horizontal="left" vertical="center" shrinkToFit="1"/>
      <protection locked="0"/>
    </xf>
    <xf numFmtId="0" fontId="116" fillId="0" borderId="128" xfId="0" applyFont="1" applyBorder="1" applyAlignment="1" applyProtection="1">
      <alignment horizontal="left" vertical="center" wrapText="1"/>
      <protection locked="0"/>
    </xf>
    <xf numFmtId="0" fontId="117" fillId="0" borderId="117" xfId="0" applyFont="1" applyBorder="1" applyAlignment="1" applyProtection="1">
      <alignment horizontal="right" vertical="center" wrapText="1"/>
      <protection locked="0"/>
    </xf>
    <xf numFmtId="176" fontId="118" fillId="0" borderId="13" xfId="0" applyNumberFormat="1" applyFont="1" applyBorder="1" applyAlignment="1" applyProtection="1">
      <alignment horizontal="right" vertical="center" wrapText="1"/>
      <protection/>
    </xf>
    <xf numFmtId="0" fontId="113" fillId="0" borderId="100" xfId="0" applyFont="1" applyBorder="1" applyAlignment="1" applyProtection="1">
      <alignment horizontal="center" vertical="center" wrapText="1"/>
      <protection locked="0"/>
    </xf>
    <xf numFmtId="0" fontId="113" fillId="0" borderId="103" xfId="0" applyFont="1" applyBorder="1" applyAlignment="1" applyProtection="1">
      <alignment horizontal="center" vertical="center" wrapText="1"/>
      <protection locked="0"/>
    </xf>
    <xf numFmtId="195" fontId="9" fillId="0" borderId="99" xfId="0" applyNumberFormat="1" applyFont="1" applyBorder="1" applyAlignment="1" applyProtection="1">
      <alignment horizontal="right" vertical="center" wrapText="1"/>
      <protection locked="0"/>
    </xf>
    <xf numFmtId="177" fontId="9" fillId="0" borderId="99" xfId="0" applyNumberFormat="1" applyFont="1" applyBorder="1" applyAlignment="1" applyProtection="1">
      <alignment horizontal="right" vertical="center" wrapText="1"/>
      <protection locked="0"/>
    </xf>
    <xf numFmtId="176" fontId="9" fillId="0" borderId="99" xfId="0" applyNumberFormat="1" applyFont="1" applyBorder="1" applyAlignment="1" applyProtection="1">
      <alignment horizontal="right" vertical="center" wrapText="1"/>
      <protection/>
    </xf>
    <xf numFmtId="176" fontId="9" fillId="0" borderId="99" xfId="0" applyNumberFormat="1" applyFont="1" applyBorder="1" applyAlignment="1" applyProtection="1">
      <alignment horizontal="right" vertical="center" wrapText="1"/>
      <protection locked="0"/>
    </xf>
    <xf numFmtId="0" fontId="119" fillId="0" borderId="117" xfId="0" applyFont="1" applyBorder="1" applyAlignment="1" applyProtection="1">
      <alignment horizontal="right" vertical="center" wrapText="1"/>
      <protection locked="0"/>
    </xf>
    <xf numFmtId="0" fontId="119" fillId="0" borderId="100" xfId="0" applyFont="1" applyBorder="1" applyAlignment="1" applyProtection="1">
      <alignment horizontal="center" vertical="center" wrapText="1"/>
      <protection locked="0"/>
    </xf>
    <xf numFmtId="0" fontId="119" fillId="0" borderId="103" xfId="0" applyFont="1" applyBorder="1" applyAlignment="1" applyProtection="1">
      <alignment horizontal="center" vertical="center" wrapText="1"/>
      <protection locked="0"/>
    </xf>
    <xf numFmtId="0" fontId="119" fillId="0" borderId="128" xfId="0" applyFont="1" applyBorder="1" applyAlignment="1" applyProtection="1">
      <alignment horizontal="center" vertical="center" wrapText="1"/>
      <protection locked="0"/>
    </xf>
    <xf numFmtId="0" fontId="113" fillId="0" borderId="128" xfId="0" applyFont="1" applyBorder="1" applyAlignment="1" applyProtection="1">
      <alignment horizontal="center" vertical="center" wrapText="1"/>
      <protection locked="0"/>
    </xf>
    <xf numFmtId="177" fontId="118" fillId="0" borderId="99" xfId="0" applyNumberFormat="1" applyFont="1" applyBorder="1" applyAlignment="1" applyProtection="1">
      <alignment horizontal="center" vertical="center" wrapText="1"/>
      <protection locked="0"/>
    </xf>
    <xf numFmtId="176" fontId="118" fillId="0" borderId="99" xfId="0" applyNumberFormat="1" applyFont="1" applyBorder="1" applyAlignment="1" applyProtection="1">
      <alignment horizontal="right" vertical="center" wrapText="1"/>
      <protection/>
    </xf>
    <xf numFmtId="176" fontId="118" fillId="0" borderId="99" xfId="0" applyNumberFormat="1" applyFont="1" applyBorder="1" applyAlignment="1" applyProtection="1">
      <alignment horizontal="right" vertical="center" wrapText="1"/>
      <protection locked="0"/>
    </xf>
    <xf numFmtId="177" fontId="118" fillId="0" borderId="16" xfId="0" applyNumberFormat="1" applyFont="1" applyBorder="1" applyAlignment="1" applyProtection="1">
      <alignment horizontal="center" vertical="center" wrapText="1"/>
      <protection locked="0"/>
    </xf>
    <xf numFmtId="176" fontId="118" fillId="0" borderId="18" xfId="0" applyNumberFormat="1" applyFont="1" applyBorder="1" applyAlignment="1" applyProtection="1">
      <alignment horizontal="right" vertical="center" wrapText="1"/>
      <protection locked="0"/>
    </xf>
    <xf numFmtId="176" fontId="118" fillId="33" borderId="18" xfId="0" applyNumberFormat="1" applyFont="1" applyFill="1" applyBorder="1" applyAlignment="1" applyProtection="1">
      <alignment horizontal="right" vertical="center" wrapText="1"/>
      <protection locked="0"/>
    </xf>
    <xf numFmtId="177" fontId="118" fillId="0" borderId="13" xfId="0" applyNumberFormat="1" applyFont="1" applyBorder="1" applyAlignment="1" applyProtection="1">
      <alignment horizontal="center" vertical="center" wrapText="1"/>
      <protection locked="0"/>
    </xf>
    <xf numFmtId="176" fontId="118" fillId="0" borderId="104" xfId="0" applyNumberFormat="1" applyFont="1" applyBorder="1" applyAlignment="1" applyProtection="1">
      <alignment horizontal="right" vertical="center" wrapText="1"/>
      <protection locked="0"/>
    </xf>
    <xf numFmtId="0" fontId="113" fillId="0" borderId="157" xfId="0" applyFont="1" applyBorder="1" applyAlignment="1" applyProtection="1">
      <alignment horizontal="center" vertical="center" wrapText="1"/>
      <protection locked="0"/>
    </xf>
    <xf numFmtId="0" fontId="113" fillId="0" borderId="137" xfId="0" applyFont="1" applyBorder="1" applyAlignment="1" applyProtection="1">
      <alignment horizontal="center" vertical="center" wrapText="1"/>
      <protection locked="0"/>
    </xf>
    <xf numFmtId="0" fontId="113" fillId="0" borderId="150" xfId="0" applyFont="1" applyBorder="1" applyAlignment="1" applyProtection="1">
      <alignment horizontal="center" vertical="center" wrapText="1"/>
      <protection locked="0"/>
    </xf>
    <xf numFmtId="0" fontId="153" fillId="33" borderId="0" xfId="0" applyFont="1" applyFill="1" applyBorder="1" applyAlignment="1" applyProtection="1">
      <alignment vertical="center" wrapText="1"/>
      <protection locked="0"/>
    </xf>
    <xf numFmtId="176" fontId="153" fillId="33" borderId="163" xfId="0" applyNumberFormat="1" applyFont="1" applyFill="1" applyBorder="1" applyAlignment="1" applyProtection="1">
      <alignment horizontal="right" vertical="center" wrapText="1"/>
      <protection/>
    </xf>
    <xf numFmtId="0" fontId="113" fillId="33" borderId="164" xfId="0" applyFont="1" applyFill="1" applyBorder="1" applyAlignment="1" applyProtection="1">
      <alignment horizontal="center" vertical="center" wrapText="1"/>
      <protection locked="0"/>
    </xf>
    <xf numFmtId="0" fontId="113" fillId="33" borderId="165" xfId="0" applyFont="1" applyFill="1" applyBorder="1" applyAlignment="1" applyProtection="1">
      <alignment horizontal="center" vertical="center" wrapText="1"/>
      <protection locked="0"/>
    </xf>
    <xf numFmtId="0" fontId="113" fillId="33" borderId="166" xfId="0" applyFont="1" applyFill="1" applyBorder="1" applyAlignment="1" applyProtection="1">
      <alignment horizontal="center" vertical="center" wrapText="1"/>
      <protection locked="0"/>
    </xf>
    <xf numFmtId="0" fontId="113" fillId="33" borderId="167" xfId="0" applyFont="1" applyFill="1" applyBorder="1" applyAlignment="1" applyProtection="1">
      <alignment horizontal="center" vertical="center" wrapText="1"/>
      <protection locked="0"/>
    </xf>
    <xf numFmtId="176" fontId="153" fillId="33" borderId="168" xfId="0" applyNumberFormat="1" applyFont="1" applyFill="1" applyBorder="1" applyAlignment="1" applyProtection="1">
      <alignment horizontal="right" vertical="center" wrapText="1"/>
      <protection locked="0"/>
    </xf>
    <xf numFmtId="176" fontId="153" fillId="33" borderId="169" xfId="0" applyNumberFormat="1" applyFont="1" applyFill="1" applyBorder="1" applyAlignment="1" applyProtection="1">
      <alignment horizontal="right" vertical="center" wrapText="1"/>
      <protection/>
    </xf>
    <xf numFmtId="0" fontId="113" fillId="33" borderId="170" xfId="0" applyFont="1" applyFill="1" applyBorder="1" applyAlignment="1" applyProtection="1">
      <alignment horizontal="center" vertical="center" wrapText="1"/>
      <protection locked="0"/>
    </xf>
    <xf numFmtId="0" fontId="113" fillId="33" borderId="171" xfId="0" applyFont="1" applyFill="1" applyBorder="1" applyAlignment="1" applyProtection="1">
      <alignment horizontal="center" vertical="center" wrapText="1"/>
      <protection locked="0"/>
    </xf>
    <xf numFmtId="176" fontId="25" fillId="33" borderId="100" xfId="0" applyNumberFormat="1" applyFont="1" applyFill="1" applyBorder="1" applyAlignment="1" applyProtection="1">
      <alignment horizontal="right" vertical="center" wrapText="1"/>
      <protection/>
    </xf>
    <xf numFmtId="176" fontId="25" fillId="33" borderId="12" xfId="0" applyNumberFormat="1" applyFont="1" applyFill="1" applyBorder="1" applyAlignment="1" applyProtection="1">
      <alignment horizontal="right" vertical="center" wrapText="1"/>
      <protection/>
    </xf>
    <xf numFmtId="176" fontId="153" fillId="33" borderId="172" xfId="0" applyNumberFormat="1" applyFont="1" applyFill="1" applyBorder="1" applyAlignment="1" applyProtection="1">
      <alignment horizontal="right" vertical="center" wrapText="1"/>
      <protection/>
    </xf>
    <xf numFmtId="176" fontId="25" fillId="0" borderId="173" xfId="0" applyNumberFormat="1" applyFont="1" applyFill="1" applyBorder="1" applyAlignment="1" applyProtection="1">
      <alignment horizontal="right" vertical="center" wrapText="1"/>
      <protection locked="0"/>
    </xf>
    <xf numFmtId="176" fontId="25" fillId="0" borderId="174" xfId="0" applyNumberFormat="1" applyFont="1" applyFill="1" applyBorder="1" applyAlignment="1" applyProtection="1">
      <alignment horizontal="right" vertical="center" wrapText="1"/>
      <protection locked="0"/>
    </xf>
    <xf numFmtId="176" fontId="25" fillId="0" borderId="175" xfId="0" applyNumberFormat="1" applyFont="1" applyFill="1" applyBorder="1" applyAlignment="1" applyProtection="1">
      <alignment horizontal="right" vertical="center" wrapText="1"/>
      <protection locked="0"/>
    </xf>
    <xf numFmtId="176" fontId="25" fillId="0" borderId="176" xfId="0" applyNumberFormat="1" applyFont="1" applyFill="1" applyBorder="1" applyAlignment="1" applyProtection="1">
      <alignment horizontal="right" vertical="center" wrapText="1"/>
      <protection locked="0"/>
    </xf>
    <xf numFmtId="176" fontId="25" fillId="0" borderId="177" xfId="0" applyNumberFormat="1" applyFont="1" applyFill="1" applyBorder="1" applyAlignment="1" applyProtection="1">
      <alignment horizontal="right" vertical="center" wrapText="1"/>
      <protection locked="0"/>
    </xf>
    <xf numFmtId="176" fontId="25" fillId="0" borderId="178" xfId="0" applyNumberFormat="1" applyFont="1" applyFill="1" applyBorder="1" applyAlignment="1" applyProtection="1">
      <alignment horizontal="right" vertical="center" wrapText="1"/>
      <protection locked="0"/>
    </xf>
    <xf numFmtId="176" fontId="25" fillId="0" borderId="179" xfId="0" applyNumberFormat="1" applyFont="1" applyFill="1" applyBorder="1" applyAlignment="1" applyProtection="1">
      <alignment horizontal="right" vertical="center" wrapText="1"/>
      <protection locked="0"/>
    </xf>
    <xf numFmtId="176" fontId="25" fillId="0" borderId="180" xfId="0" applyNumberFormat="1" applyFont="1" applyFill="1" applyBorder="1" applyAlignment="1" applyProtection="1">
      <alignment horizontal="right" vertical="center" wrapText="1"/>
      <protection locked="0"/>
    </xf>
    <xf numFmtId="38" fontId="112" fillId="7" borderId="20" xfId="50" applyFont="1" applyFill="1" applyBorder="1" applyAlignment="1" applyProtection="1">
      <alignment horizontal="right" vertical="center"/>
      <protection locked="0"/>
    </xf>
    <xf numFmtId="38" fontId="112" fillId="7" borderId="140" xfId="50" applyFont="1" applyFill="1" applyBorder="1" applyAlignment="1" applyProtection="1">
      <alignment horizontal="right" vertical="center"/>
      <protection locked="0"/>
    </xf>
    <xf numFmtId="38" fontId="0" fillId="7" borderId="16" xfId="50" applyFont="1" applyFill="1" applyBorder="1" applyAlignment="1" applyProtection="1">
      <alignment horizontal="right" vertical="center"/>
      <protection locked="0"/>
    </xf>
    <xf numFmtId="38" fontId="0" fillId="7" borderId="13" xfId="50" applyFont="1" applyFill="1" applyBorder="1" applyAlignment="1" applyProtection="1">
      <alignment horizontal="right" vertical="center"/>
      <protection locked="0"/>
    </xf>
    <xf numFmtId="38" fontId="112" fillId="7" borderId="13" xfId="50" applyFont="1" applyFill="1" applyBorder="1" applyAlignment="1" applyProtection="1">
      <alignment horizontal="right" vertical="center"/>
      <protection locked="0"/>
    </xf>
    <xf numFmtId="38" fontId="0" fillId="7" borderId="120" xfId="50" applyFont="1" applyFill="1" applyBorder="1" applyAlignment="1" applyProtection="1">
      <alignment horizontal="right" vertical="center"/>
      <protection locked="0"/>
    </xf>
    <xf numFmtId="38" fontId="0" fillId="7" borderId="14" xfId="50" applyFont="1" applyFill="1" applyBorder="1" applyAlignment="1" applyProtection="1">
      <alignment horizontal="right" vertical="center"/>
      <protection locked="0"/>
    </xf>
    <xf numFmtId="38" fontId="112" fillId="7" borderId="96" xfId="50" applyFont="1" applyFill="1" applyBorder="1" applyAlignment="1" applyProtection="1">
      <alignment horizontal="right" vertical="center"/>
      <protection locked="0"/>
    </xf>
    <xf numFmtId="38" fontId="112" fillId="7" borderId="14" xfId="50" applyFont="1" applyFill="1" applyBorder="1" applyAlignment="1" applyProtection="1">
      <alignment horizontal="right" vertical="center"/>
      <protection locked="0"/>
    </xf>
    <xf numFmtId="38" fontId="112" fillId="0" borderId="103" xfId="50" applyFont="1" applyFill="1" applyBorder="1" applyAlignment="1" applyProtection="1">
      <alignment horizontal="right" vertical="center"/>
      <protection locked="0"/>
    </xf>
    <xf numFmtId="38" fontId="112" fillId="0" borderId="128" xfId="50" applyFont="1" applyFill="1" applyBorder="1" applyAlignment="1" applyProtection="1">
      <alignment horizontal="right" vertical="center"/>
      <protection locked="0"/>
    </xf>
    <xf numFmtId="38" fontId="0" fillId="0" borderId="113" xfId="50" applyFont="1" applyFill="1" applyBorder="1" applyAlignment="1" applyProtection="1">
      <alignment horizontal="right" vertical="center"/>
      <protection/>
    </xf>
    <xf numFmtId="38" fontId="112" fillId="0" borderId="18" xfId="50" applyFont="1" applyFill="1" applyBorder="1" applyAlignment="1" applyProtection="1">
      <alignment horizontal="right" vertical="center"/>
      <protection locked="0"/>
    </xf>
    <xf numFmtId="38" fontId="112" fillId="0" borderId="13" xfId="50" applyFont="1" applyFill="1" applyBorder="1" applyAlignment="1" applyProtection="1">
      <alignment horizontal="right" vertical="center"/>
      <protection locked="0"/>
    </xf>
    <xf numFmtId="38" fontId="0" fillId="0" borderId="105" xfId="50" applyFont="1" applyBorder="1" applyAlignment="1" applyProtection="1">
      <alignment horizontal="right" vertical="center"/>
      <protection/>
    </xf>
    <xf numFmtId="38" fontId="0" fillId="0" borderId="181" xfId="50" applyFont="1" applyBorder="1" applyAlignment="1" applyProtection="1">
      <alignment horizontal="right" vertical="center"/>
      <protection/>
    </xf>
    <xf numFmtId="38" fontId="0" fillId="33" borderId="110" xfId="50" applyFont="1" applyFill="1" applyBorder="1" applyAlignment="1" applyProtection="1">
      <alignment horizontal="right" vertical="center"/>
      <protection/>
    </xf>
    <xf numFmtId="0" fontId="0" fillId="0" borderId="182" xfId="0" applyBorder="1" applyAlignment="1" applyProtection="1">
      <alignment horizontal="center" vertical="center"/>
      <protection locked="0"/>
    </xf>
    <xf numFmtId="38" fontId="0" fillId="7" borderId="112" xfId="50" applyFont="1" applyFill="1" applyBorder="1" applyAlignment="1" applyProtection="1">
      <alignment horizontal="right" vertical="center"/>
      <protection locked="0"/>
    </xf>
    <xf numFmtId="38" fontId="0" fillId="7" borderId="161" xfId="50" applyFont="1" applyFill="1" applyBorder="1" applyAlignment="1" applyProtection="1">
      <alignment horizontal="right" vertical="center"/>
      <protection locked="0"/>
    </xf>
    <xf numFmtId="38" fontId="0" fillId="7" borderId="162" xfId="50" applyFont="1" applyFill="1" applyBorder="1" applyAlignment="1" applyProtection="1">
      <alignment horizontal="right" vertical="center"/>
      <protection locked="0"/>
    </xf>
    <xf numFmtId="38" fontId="112" fillId="7" borderId="115" xfId="50" applyFont="1" applyFill="1" applyBorder="1" applyAlignment="1" applyProtection="1">
      <alignment horizontal="right" vertical="center"/>
      <protection locked="0"/>
    </xf>
    <xf numFmtId="38" fontId="112" fillId="7" borderId="162" xfId="50" applyFont="1" applyFill="1" applyBorder="1" applyAlignment="1" applyProtection="1">
      <alignment horizontal="right" vertical="center"/>
      <protection locked="0"/>
    </xf>
    <xf numFmtId="38" fontId="0" fillId="0" borderId="35" xfId="50" applyFont="1" applyBorder="1" applyAlignment="1" applyProtection="1">
      <alignment horizontal="right" vertical="center"/>
      <protection/>
    </xf>
    <xf numFmtId="38" fontId="0" fillId="0" borderId="37" xfId="50" applyFont="1" applyBorder="1" applyAlignment="1" applyProtection="1">
      <alignment horizontal="right" vertical="center"/>
      <protection/>
    </xf>
    <xf numFmtId="38" fontId="112" fillId="7" borderId="125" xfId="50" applyFont="1" applyFill="1" applyBorder="1" applyAlignment="1" applyProtection="1">
      <alignment horizontal="right" vertical="center"/>
      <protection locked="0"/>
    </xf>
    <xf numFmtId="38" fontId="112" fillId="0" borderId="104" xfId="50" applyFont="1" applyFill="1" applyBorder="1" applyAlignment="1" applyProtection="1">
      <alignment horizontal="right" vertical="center"/>
      <protection locked="0"/>
    </xf>
    <xf numFmtId="38" fontId="0" fillId="33" borderId="16" xfId="50" applyFont="1" applyFill="1" applyBorder="1" applyAlignment="1" applyProtection="1">
      <alignment horizontal="right" vertical="center"/>
      <protection/>
    </xf>
    <xf numFmtId="38" fontId="0" fillId="33" borderId="16" xfId="50" applyFont="1" applyFill="1" applyBorder="1" applyAlignment="1" applyProtection="1">
      <alignment horizontal="right" vertical="center"/>
      <protection locked="0"/>
    </xf>
    <xf numFmtId="38" fontId="0" fillId="33" borderId="152" xfId="50" applyFont="1" applyFill="1" applyBorder="1" applyAlignment="1" applyProtection="1">
      <alignment horizontal="right" vertical="center"/>
      <protection/>
    </xf>
    <xf numFmtId="38" fontId="0" fillId="33" borderId="13" xfId="50" applyFont="1" applyFill="1" applyBorder="1" applyAlignment="1" applyProtection="1">
      <alignment horizontal="right" vertical="center"/>
      <protection/>
    </xf>
    <xf numFmtId="0" fontId="0" fillId="0" borderId="145" xfId="0" applyBorder="1" applyAlignment="1" applyProtection="1">
      <alignment horizontal="center" vertical="center"/>
      <protection locked="0"/>
    </xf>
    <xf numFmtId="178" fontId="118" fillId="33" borderId="183" xfId="0" applyNumberFormat="1" applyFont="1" applyFill="1" applyBorder="1" applyAlignment="1" applyProtection="1">
      <alignment horizontal="right" vertical="center" wrapText="1"/>
      <protection/>
    </xf>
    <xf numFmtId="178" fontId="118" fillId="33" borderId="11" xfId="0" applyNumberFormat="1" applyFont="1" applyFill="1" applyBorder="1" applyAlignment="1" applyProtection="1">
      <alignment horizontal="right" vertical="center" wrapText="1"/>
      <protection/>
    </xf>
    <xf numFmtId="178" fontId="118" fillId="33" borderId="145" xfId="0" applyNumberFormat="1" applyFont="1" applyFill="1" applyBorder="1" applyAlignment="1" applyProtection="1">
      <alignment horizontal="right" vertical="center" wrapText="1"/>
      <protection/>
    </xf>
    <xf numFmtId="0" fontId="117" fillId="0" borderId="12" xfId="0" applyFont="1" applyBorder="1" applyAlignment="1" applyProtection="1">
      <alignment horizontal="center" vertical="center" wrapText="1"/>
      <protection locked="0"/>
    </xf>
    <xf numFmtId="176" fontId="9" fillId="0" borderId="96" xfId="0" applyNumberFormat="1" applyFont="1" applyBorder="1" applyAlignment="1" applyProtection="1">
      <alignment horizontal="right" vertical="center" wrapText="1"/>
      <protection/>
    </xf>
    <xf numFmtId="176" fontId="9" fillId="0" borderId="125" xfId="0" applyNumberFormat="1" applyFont="1" applyBorder="1" applyAlignment="1" applyProtection="1">
      <alignment horizontal="right" vertical="center" wrapText="1"/>
      <protection/>
    </xf>
    <xf numFmtId="0" fontId="0" fillId="0" borderId="157" xfId="0" applyBorder="1" applyAlignment="1" applyProtection="1">
      <alignment horizontal="center" vertical="center"/>
      <protection locked="0"/>
    </xf>
    <xf numFmtId="0" fontId="0" fillId="0" borderId="184" xfId="0" applyBorder="1" applyAlignment="1" applyProtection="1">
      <alignment horizontal="center" vertical="center"/>
      <protection locked="0"/>
    </xf>
    <xf numFmtId="0" fontId="113" fillId="0" borderId="16" xfId="0" applyFont="1" applyBorder="1" applyAlignment="1" applyProtection="1">
      <alignment horizontal="center" vertical="center" wrapText="1"/>
      <protection locked="0"/>
    </xf>
    <xf numFmtId="0" fontId="113" fillId="0" borderId="18" xfId="0" applyFont="1" applyBorder="1" applyAlignment="1" applyProtection="1">
      <alignment horizontal="center" vertical="center" wrapText="1"/>
      <protection locked="0"/>
    </xf>
    <xf numFmtId="0" fontId="113" fillId="33" borderId="18" xfId="0" applyFont="1" applyFill="1" applyBorder="1" applyAlignment="1" applyProtection="1">
      <alignment horizontal="center" vertical="center" wrapText="1"/>
      <protection locked="0"/>
    </xf>
    <xf numFmtId="0" fontId="113" fillId="33" borderId="16" xfId="0" applyFont="1" applyFill="1" applyBorder="1" applyAlignment="1" applyProtection="1">
      <alignment horizontal="center" vertical="center" wrapText="1"/>
      <protection locked="0"/>
    </xf>
    <xf numFmtId="0" fontId="113" fillId="0" borderId="104" xfId="0" applyFont="1" applyBorder="1" applyAlignment="1" applyProtection="1">
      <alignment horizontal="center" vertical="center" wrapText="1"/>
      <protection locked="0"/>
    </xf>
    <xf numFmtId="38" fontId="112" fillId="0" borderId="96" xfId="50" applyFont="1" applyFill="1" applyBorder="1" applyAlignment="1" applyProtection="1">
      <alignment horizontal="right" vertical="center"/>
      <protection locked="0"/>
    </xf>
    <xf numFmtId="38" fontId="112" fillId="0" borderId="14" xfId="50" applyFont="1" applyFill="1" applyBorder="1" applyAlignment="1" applyProtection="1">
      <alignment horizontal="right" vertical="center"/>
      <protection locked="0"/>
    </xf>
    <xf numFmtId="176" fontId="153" fillId="33" borderId="37" xfId="0" applyNumberFormat="1" applyFont="1" applyFill="1" applyBorder="1" applyAlignment="1" applyProtection="1">
      <alignment horizontal="right" vertical="center" wrapText="1"/>
      <protection/>
    </xf>
    <xf numFmtId="176" fontId="153" fillId="33" borderId="185" xfId="0" applyNumberFormat="1" applyFont="1" applyFill="1" applyBorder="1" applyAlignment="1" applyProtection="1">
      <alignment horizontal="right" vertical="center" wrapText="1"/>
      <protection/>
    </xf>
    <xf numFmtId="38" fontId="0" fillId="33" borderId="149" xfId="50" applyFont="1" applyFill="1" applyBorder="1" applyAlignment="1" applyProtection="1">
      <alignment horizontal="right" vertical="center"/>
      <protection/>
    </xf>
    <xf numFmtId="38" fontId="0" fillId="33" borderId="20" xfId="50" applyFont="1" applyFill="1" applyBorder="1" applyAlignment="1" applyProtection="1">
      <alignment horizontal="right" vertical="center"/>
      <protection/>
    </xf>
    <xf numFmtId="0" fontId="0" fillId="0" borderId="146" xfId="0" applyBorder="1" applyAlignment="1" applyProtection="1">
      <alignment horizontal="center" vertical="center"/>
      <protection locked="0"/>
    </xf>
    <xf numFmtId="0" fontId="106" fillId="0" borderId="20" xfId="0" applyFont="1" applyBorder="1" applyAlignment="1" applyProtection="1">
      <alignment vertical="center"/>
      <protection/>
    </xf>
    <xf numFmtId="0" fontId="115" fillId="0" borderId="21" xfId="0" applyFont="1" applyFill="1" applyBorder="1" applyAlignment="1" applyProtection="1">
      <alignment horizontal="left" vertical="center"/>
      <protection locked="0"/>
    </xf>
    <xf numFmtId="0" fontId="115" fillId="0" borderId="186" xfId="0" applyFont="1" applyFill="1" applyBorder="1" applyAlignment="1" applyProtection="1">
      <alignment horizontal="left" vertical="center" shrinkToFit="1"/>
      <protection locked="0"/>
    </xf>
    <xf numFmtId="0" fontId="115" fillId="0" borderId="186" xfId="0" applyFont="1" applyFill="1" applyBorder="1" applyAlignment="1" applyProtection="1">
      <alignment horizontal="left" vertical="center"/>
      <protection locked="0"/>
    </xf>
    <xf numFmtId="0" fontId="115" fillId="0" borderId="187" xfId="0" applyFont="1" applyFill="1" applyBorder="1" applyAlignment="1" applyProtection="1">
      <alignment horizontal="left" vertical="center"/>
      <protection locked="0"/>
    </xf>
    <xf numFmtId="38" fontId="3" fillId="0" borderId="44" xfId="53" applyFont="1" applyFill="1" applyBorder="1" applyAlignment="1" applyProtection="1">
      <alignment horizontal="right" vertical="center"/>
      <protection locked="0"/>
    </xf>
    <xf numFmtId="38" fontId="3" fillId="0" borderId="42" xfId="53" applyFont="1" applyFill="1" applyBorder="1" applyAlignment="1" applyProtection="1">
      <alignment horizontal="right" vertical="center" shrinkToFit="1"/>
      <protection locked="0"/>
    </xf>
    <xf numFmtId="38" fontId="3" fillId="0" borderId="91" xfId="53" applyFont="1" applyFill="1" applyBorder="1" applyAlignment="1" applyProtection="1">
      <alignment horizontal="right" vertical="center" shrinkToFit="1"/>
      <protection locked="0"/>
    </xf>
    <xf numFmtId="38" fontId="3" fillId="0" borderId="188" xfId="53" applyFont="1" applyFill="1" applyBorder="1" applyAlignment="1" applyProtection="1">
      <alignment horizontal="centerContinuous" vertical="center"/>
      <protection locked="0"/>
    </xf>
    <xf numFmtId="190" fontId="3" fillId="0" borderId="189" xfId="53" applyNumberFormat="1" applyFont="1" applyFill="1" applyBorder="1" applyAlignment="1" applyProtection="1">
      <alignment vertical="center" shrinkToFit="1"/>
      <protection/>
    </xf>
    <xf numFmtId="190" fontId="3" fillId="34" borderId="190" xfId="53" applyNumberFormat="1" applyFont="1" applyFill="1" applyBorder="1" applyAlignment="1" applyProtection="1">
      <alignment vertical="center" shrinkToFit="1"/>
      <protection/>
    </xf>
    <xf numFmtId="190" fontId="3" fillId="0" borderId="190" xfId="53" applyNumberFormat="1" applyFont="1" applyFill="1" applyBorder="1" applyAlignment="1" applyProtection="1">
      <alignment vertical="center" shrinkToFit="1"/>
      <protection/>
    </xf>
    <xf numFmtId="190" fontId="3" fillId="0" borderId="190" xfId="53" applyNumberFormat="1" applyFont="1" applyFill="1" applyBorder="1" applyAlignment="1" applyProtection="1">
      <alignment horizontal="right" vertical="center" shrinkToFit="1"/>
      <protection/>
    </xf>
    <xf numFmtId="190" fontId="3" fillId="34" borderId="190" xfId="53" applyNumberFormat="1" applyFont="1" applyFill="1" applyBorder="1" applyAlignment="1" applyProtection="1">
      <alignment horizontal="right" vertical="center" shrinkToFit="1"/>
      <protection/>
    </xf>
    <xf numFmtId="190" fontId="3" fillId="34" borderId="191" xfId="53" applyNumberFormat="1" applyFont="1" applyFill="1" applyBorder="1" applyAlignment="1" applyProtection="1">
      <alignment horizontal="right" vertical="center" shrinkToFit="1"/>
      <protection/>
    </xf>
    <xf numFmtId="190" fontId="3" fillId="0" borderId="191" xfId="53" applyNumberFormat="1" applyFont="1" applyFill="1" applyBorder="1" applyAlignment="1" applyProtection="1">
      <alignment horizontal="right" vertical="center" shrinkToFit="1"/>
      <protection/>
    </xf>
    <xf numFmtId="190" fontId="3" fillId="0" borderId="189" xfId="53" applyNumberFormat="1" applyFont="1" applyFill="1" applyBorder="1" applyAlignment="1" applyProtection="1">
      <alignment horizontal="right" vertical="center" shrinkToFit="1"/>
      <protection/>
    </xf>
    <xf numFmtId="190" fontId="3" fillId="0" borderId="192" xfId="53" applyNumberFormat="1" applyFont="1" applyFill="1" applyBorder="1" applyAlignment="1" applyProtection="1">
      <alignment horizontal="right" vertical="center" shrinkToFit="1"/>
      <protection/>
    </xf>
    <xf numFmtId="38" fontId="3" fillId="0" borderId="193" xfId="53" applyFont="1" applyFill="1" applyBorder="1" applyAlignment="1" applyProtection="1">
      <alignment horizontal="centerContinuous" vertical="center"/>
      <protection locked="0"/>
    </xf>
    <xf numFmtId="190" fontId="3" fillId="0" borderId="194" xfId="53" applyNumberFormat="1" applyFont="1" applyFill="1" applyBorder="1" applyAlignment="1" applyProtection="1">
      <alignment vertical="center" shrinkToFit="1"/>
      <protection/>
    </xf>
    <xf numFmtId="40" fontId="3" fillId="0" borderId="63" xfId="53" applyNumberFormat="1" applyFont="1" applyFill="1" applyBorder="1" applyAlignment="1" applyProtection="1">
      <alignment horizontal="right" vertical="center" shrinkToFit="1"/>
      <protection/>
    </xf>
    <xf numFmtId="40" fontId="3" fillId="34" borderId="56" xfId="53" applyNumberFormat="1" applyFont="1" applyFill="1" applyBorder="1" applyAlignment="1" applyProtection="1">
      <alignment horizontal="right" vertical="center" shrinkToFit="1"/>
      <protection/>
    </xf>
    <xf numFmtId="40" fontId="3" fillId="0" borderId="56" xfId="53" applyNumberFormat="1" applyFont="1" applyFill="1" applyBorder="1" applyAlignment="1" applyProtection="1">
      <alignment horizontal="right" vertical="center" shrinkToFit="1"/>
      <protection/>
    </xf>
    <xf numFmtId="40" fontId="3" fillId="34" borderId="87" xfId="53" applyNumberFormat="1" applyFont="1" applyFill="1" applyBorder="1" applyAlignment="1" applyProtection="1">
      <alignment horizontal="right" vertical="center" shrinkToFit="1"/>
      <protection/>
    </xf>
    <xf numFmtId="38" fontId="3" fillId="0" borderId="195" xfId="53" applyFont="1" applyFill="1" applyBorder="1" applyAlignment="1" applyProtection="1">
      <alignment horizontal="centerContinuous" vertical="center"/>
      <protection locked="0"/>
    </xf>
    <xf numFmtId="38" fontId="3" fillId="0" borderId="195" xfId="53" applyFont="1" applyFill="1" applyBorder="1" applyAlignment="1" applyProtection="1">
      <alignment horizontal="center" vertical="center" shrinkToFit="1"/>
      <protection locked="0"/>
    </xf>
    <xf numFmtId="40" fontId="3" fillId="0" borderId="196" xfId="53" applyNumberFormat="1" applyFont="1" applyFill="1" applyBorder="1" applyAlignment="1" applyProtection="1">
      <alignment horizontal="right" vertical="center" shrinkToFit="1"/>
      <protection/>
    </xf>
    <xf numFmtId="40" fontId="3" fillId="34" borderId="197" xfId="53" applyNumberFormat="1" applyFont="1" applyFill="1" applyBorder="1" applyAlignment="1" applyProtection="1">
      <alignment horizontal="right" vertical="center" shrinkToFit="1"/>
      <protection/>
    </xf>
    <xf numFmtId="40" fontId="3" fillId="0" borderId="197" xfId="53" applyNumberFormat="1" applyFont="1" applyFill="1" applyBorder="1" applyAlignment="1" applyProtection="1">
      <alignment horizontal="right" vertical="center" shrinkToFit="1"/>
      <protection/>
    </xf>
    <xf numFmtId="40" fontId="3" fillId="34" borderId="198" xfId="53" applyNumberFormat="1" applyFont="1" applyFill="1" applyBorder="1" applyAlignment="1" applyProtection="1">
      <alignment horizontal="right" vertical="center" shrinkToFit="1"/>
      <protection/>
    </xf>
    <xf numFmtId="38" fontId="3" fillId="0" borderId="199" xfId="53" applyFont="1" applyFill="1" applyBorder="1" applyAlignment="1" applyProtection="1">
      <alignment horizontal="centerContinuous" vertical="center"/>
      <protection locked="0"/>
    </xf>
    <xf numFmtId="38" fontId="3" fillId="0" borderId="199" xfId="53" applyFont="1" applyFill="1" applyBorder="1" applyAlignment="1" applyProtection="1">
      <alignment horizontal="center" vertical="center" shrinkToFit="1"/>
      <protection locked="0"/>
    </xf>
    <xf numFmtId="40" fontId="3" fillId="0" borderId="200" xfId="53" applyNumberFormat="1" applyFont="1" applyFill="1" applyBorder="1" applyAlignment="1" applyProtection="1">
      <alignment horizontal="right" vertical="center" shrinkToFit="1"/>
      <protection/>
    </xf>
    <xf numFmtId="40" fontId="3" fillId="34" borderId="201" xfId="53" applyNumberFormat="1" applyFont="1" applyFill="1" applyBorder="1" applyAlignment="1" applyProtection="1">
      <alignment horizontal="right" vertical="center" shrinkToFit="1"/>
      <protection/>
    </xf>
    <xf numFmtId="40" fontId="3" fillId="0" borderId="201" xfId="53" applyNumberFormat="1" applyFont="1" applyFill="1" applyBorder="1" applyAlignment="1" applyProtection="1">
      <alignment horizontal="right" vertical="center" shrinkToFit="1"/>
      <protection/>
    </xf>
    <xf numFmtId="40" fontId="3" fillId="34" borderId="202" xfId="53" applyNumberFormat="1" applyFont="1" applyFill="1" applyBorder="1" applyAlignment="1" applyProtection="1">
      <alignment horizontal="right" vertical="center" shrinkToFit="1"/>
      <protection/>
    </xf>
    <xf numFmtId="38" fontId="0" fillId="0" borderId="151" xfId="50" applyFont="1" applyBorder="1" applyAlignment="1" applyProtection="1">
      <alignment horizontal="right" vertical="center"/>
      <protection/>
    </xf>
    <xf numFmtId="0" fontId="123" fillId="0" borderId="0" xfId="0" applyFont="1" applyAlignment="1" applyProtection="1">
      <alignment horizontal="center" vertical="center"/>
      <protection locked="0"/>
    </xf>
    <xf numFmtId="38" fontId="16" fillId="0" borderId="0" xfId="53" applyFont="1" applyFill="1" applyBorder="1" applyAlignment="1" applyProtection="1">
      <alignment vertical="top" wrapText="1"/>
      <protection locked="0"/>
    </xf>
    <xf numFmtId="188" fontId="122" fillId="0" borderId="0" xfId="0" applyNumberFormat="1" applyFont="1" applyBorder="1" applyAlignment="1" applyProtection="1">
      <alignment horizontal="right" vertical="center"/>
      <protection/>
    </xf>
    <xf numFmtId="188" fontId="123" fillId="0" borderId="0" xfId="0" applyNumberFormat="1" applyFont="1" applyBorder="1" applyAlignment="1" applyProtection="1">
      <alignment horizontal="right" vertical="center"/>
      <protection/>
    </xf>
    <xf numFmtId="0" fontId="142" fillId="0" borderId="0" xfId="0" applyFont="1" applyAlignment="1" applyProtection="1" quotePrefix="1">
      <alignment horizontal="left" vertical="center"/>
      <protection locked="0"/>
    </xf>
    <xf numFmtId="0" fontId="123" fillId="0" borderId="0" xfId="0" applyFont="1" applyBorder="1" applyAlignment="1" applyProtection="1" quotePrefix="1">
      <alignment horizontal="center" vertical="center"/>
      <protection locked="0"/>
    </xf>
    <xf numFmtId="216" fontId="123" fillId="0" borderId="0" xfId="0" applyNumberFormat="1" applyFont="1" applyAlignment="1" applyProtection="1">
      <alignment horizontal="center" vertical="center"/>
      <protection/>
    </xf>
    <xf numFmtId="216" fontId="122" fillId="0" borderId="0" xfId="0" applyNumberFormat="1" applyFont="1" applyBorder="1" applyAlignment="1" applyProtection="1">
      <alignment vertical="center"/>
      <protection/>
    </xf>
    <xf numFmtId="0" fontId="114" fillId="0" borderId="0" xfId="0" applyFont="1" applyAlignment="1" applyProtection="1">
      <alignment vertical="center"/>
      <protection locked="0"/>
    </xf>
    <xf numFmtId="0" fontId="160" fillId="0" borderId="0" xfId="0" applyFont="1" applyAlignment="1" applyProtection="1">
      <alignment horizontal="lef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06"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0" fontId="140" fillId="0" borderId="0" xfId="0" applyFont="1" applyFill="1" applyBorder="1" applyAlignment="1" applyProtection="1">
      <alignment horizontal="center" vertical="center"/>
      <protection locked="0"/>
    </xf>
    <xf numFmtId="0" fontId="140" fillId="0" borderId="0" xfId="0" applyFont="1" applyBorder="1" applyAlignment="1" applyProtection="1">
      <alignment vertical="center"/>
      <protection locked="0"/>
    </xf>
    <xf numFmtId="0" fontId="140" fillId="0" borderId="0" xfId="0" applyFont="1" applyAlignment="1" applyProtection="1">
      <alignment vertical="center"/>
      <protection locked="0"/>
    </xf>
    <xf numFmtId="0" fontId="161" fillId="0" borderId="0" xfId="0" applyFont="1" applyAlignment="1" applyProtection="1">
      <alignment horizontal="left" vertical="center"/>
      <protection locked="0"/>
    </xf>
    <xf numFmtId="0" fontId="32" fillId="0" borderId="0" xfId="0" applyFont="1" applyBorder="1" applyAlignment="1" applyProtection="1">
      <alignment vertical="center"/>
      <protection locked="0"/>
    </xf>
    <xf numFmtId="187" fontId="123" fillId="0" borderId="0" xfId="0" applyNumberFormat="1" applyFont="1" applyAlignment="1" applyProtection="1">
      <alignment horizontal="right" vertical="center"/>
      <protection locked="0"/>
    </xf>
    <xf numFmtId="176" fontId="25" fillId="0" borderId="203" xfId="0" applyNumberFormat="1" applyFont="1" applyFill="1" applyBorder="1" applyAlignment="1" applyProtection="1">
      <alignment horizontal="right" vertical="center" wrapText="1"/>
      <protection locked="0"/>
    </xf>
    <xf numFmtId="176" fontId="25" fillId="0" borderId="204" xfId="0" applyNumberFormat="1" applyFont="1" applyFill="1" applyBorder="1" applyAlignment="1" applyProtection="1">
      <alignment horizontal="right" vertical="center" wrapText="1"/>
      <protection locked="0"/>
    </xf>
    <xf numFmtId="176" fontId="25" fillId="0" borderId="205" xfId="0" applyNumberFormat="1" applyFont="1" applyFill="1" applyBorder="1" applyAlignment="1" applyProtection="1">
      <alignment horizontal="right" vertical="center" wrapText="1"/>
      <protection locked="0"/>
    </xf>
    <xf numFmtId="176" fontId="25" fillId="0" borderId="136" xfId="0" applyNumberFormat="1" applyFont="1" applyFill="1" applyBorder="1" applyAlignment="1" applyProtection="1">
      <alignment horizontal="right" vertical="center" wrapText="1"/>
      <protection locked="0"/>
    </xf>
    <xf numFmtId="176" fontId="25" fillId="0" borderId="137" xfId="0" applyNumberFormat="1" applyFont="1" applyFill="1" applyBorder="1" applyAlignment="1" applyProtection="1">
      <alignment horizontal="right" vertical="center" wrapText="1"/>
      <protection locked="0"/>
    </xf>
    <xf numFmtId="176" fontId="25" fillId="0" borderId="150" xfId="0" applyNumberFormat="1" applyFont="1" applyFill="1" applyBorder="1" applyAlignment="1" applyProtection="1">
      <alignment horizontal="right" vertical="center" wrapText="1"/>
      <protection locked="0"/>
    </xf>
    <xf numFmtId="176" fontId="25" fillId="0" borderId="206" xfId="0" applyNumberFormat="1" applyFont="1" applyFill="1" applyBorder="1" applyAlignment="1" applyProtection="1">
      <alignment horizontal="right" vertical="center" wrapText="1"/>
      <protection locked="0"/>
    </xf>
    <xf numFmtId="176" fontId="25" fillId="0" borderId="207" xfId="0" applyNumberFormat="1" applyFont="1" applyFill="1" applyBorder="1" applyAlignment="1" applyProtection="1">
      <alignment horizontal="right" vertical="center" wrapText="1"/>
      <protection locked="0"/>
    </xf>
    <xf numFmtId="176" fontId="25" fillId="0" borderId="208" xfId="0" applyNumberFormat="1" applyFont="1" applyFill="1" applyBorder="1" applyAlignment="1" applyProtection="1">
      <alignment horizontal="right" vertical="center" wrapText="1"/>
      <protection locked="0"/>
    </xf>
    <xf numFmtId="176" fontId="25" fillId="0" borderId="209" xfId="0" applyNumberFormat="1" applyFont="1" applyFill="1" applyBorder="1" applyAlignment="1" applyProtection="1">
      <alignment horizontal="right" vertical="center" wrapText="1"/>
      <protection locked="0"/>
    </xf>
    <xf numFmtId="176" fontId="25" fillId="0" borderId="210" xfId="0" applyNumberFormat="1" applyFont="1" applyFill="1" applyBorder="1" applyAlignment="1" applyProtection="1">
      <alignment horizontal="right" vertical="center" wrapText="1"/>
      <protection locked="0"/>
    </xf>
    <xf numFmtId="176" fontId="25" fillId="0" borderId="211" xfId="0" applyNumberFormat="1" applyFont="1" applyFill="1" applyBorder="1" applyAlignment="1" applyProtection="1">
      <alignment horizontal="right" vertical="center" wrapText="1"/>
      <protection locked="0"/>
    </xf>
    <xf numFmtId="176" fontId="25" fillId="0" borderId="149" xfId="0" applyNumberFormat="1" applyFont="1" applyFill="1" applyBorder="1" applyAlignment="1" applyProtection="1">
      <alignment horizontal="right" vertical="center" wrapText="1"/>
      <protection locked="0"/>
    </xf>
    <xf numFmtId="176" fontId="25" fillId="0" borderId="20" xfId="0" applyNumberFormat="1" applyFont="1" applyFill="1" applyBorder="1" applyAlignment="1" applyProtection="1">
      <alignment horizontal="right" vertical="center" wrapText="1"/>
      <protection locked="0"/>
    </xf>
    <xf numFmtId="176" fontId="25" fillId="0" borderId="140" xfId="0" applyNumberFormat="1" applyFont="1" applyFill="1" applyBorder="1" applyAlignment="1" applyProtection="1">
      <alignment horizontal="right" vertical="center" wrapText="1"/>
      <protection locked="0"/>
    </xf>
    <xf numFmtId="0" fontId="0" fillId="14" borderId="0" xfId="0" applyFont="1" applyFill="1" applyAlignment="1" applyProtection="1">
      <alignment vertical="center"/>
      <protection locked="0"/>
    </xf>
    <xf numFmtId="0" fontId="94" fillId="36" borderId="0" xfId="0" applyFont="1" applyFill="1" applyAlignment="1" applyProtection="1">
      <alignment vertical="center"/>
      <protection locked="0"/>
    </xf>
    <xf numFmtId="0" fontId="94" fillId="37" borderId="0" xfId="0" applyFont="1" applyFill="1" applyAlignment="1" applyProtection="1">
      <alignment vertical="center"/>
      <protection locked="0"/>
    </xf>
    <xf numFmtId="0" fontId="112" fillId="8" borderId="0" xfId="0" applyFont="1" applyFill="1" applyAlignment="1" applyProtection="1">
      <alignment vertical="center"/>
      <protection locked="0"/>
    </xf>
    <xf numFmtId="0" fontId="94" fillId="38" borderId="0" xfId="0" applyFont="1" applyFill="1" applyAlignment="1" applyProtection="1">
      <alignment vertical="center"/>
      <protection locked="0"/>
    </xf>
    <xf numFmtId="0" fontId="11" fillId="0" borderId="42" xfId="0" applyFont="1" applyBorder="1" applyAlignment="1" applyProtection="1">
      <alignment horizontal="center" vertical="center" wrapText="1"/>
      <protection locked="0"/>
    </xf>
    <xf numFmtId="0" fontId="11" fillId="0" borderId="152" xfId="0" applyFont="1" applyBorder="1" applyAlignment="1" applyProtection="1">
      <alignment horizontal="center" vertical="center" wrapText="1"/>
      <protection locked="0"/>
    </xf>
    <xf numFmtId="176" fontId="25" fillId="0" borderId="103" xfId="0" applyNumberFormat="1" applyFont="1" applyFill="1" applyBorder="1" applyAlignment="1" applyProtection="1">
      <alignment horizontal="right" vertical="center" wrapText="1"/>
      <protection/>
    </xf>
    <xf numFmtId="176" fontId="25" fillId="0" borderId="103" xfId="0" applyNumberFormat="1" applyFont="1" applyFill="1" applyBorder="1" applyAlignment="1" applyProtection="1">
      <alignment horizontal="right" vertical="center" wrapText="1"/>
      <protection locked="0"/>
    </xf>
    <xf numFmtId="176" fontId="25" fillId="0" borderId="41" xfId="0" applyNumberFormat="1" applyFont="1" applyFill="1" applyBorder="1" applyAlignment="1" applyProtection="1">
      <alignment horizontal="right" vertical="center" wrapText="1"/>
      <protection locked="0"/>
    </xf>
    <xf numFmtId="0" fontId="7" fillId="33" borderId="120" xfId="0" applyFont="1" applyFill="1" applyBorder="1" applyAlignment="1" applyProtection="1">
      <alignment horizontal="left" vertical="center" shrinkToFit="1"/>
      <protection locked="0"/>
    </xf>
    <xf numFmtId="0" fontId="11" fillId="0" borderId="33" xfId="0" applyFont="1" applyBorder="1" applyAlignment="1" applyProtection="1">
      <alignment vertical="center" wrapText="1"/>
      <protection locked="0"/>
    </xf>
    <xf numFmtId="0" fontId="11" fillId="0" borderId="152" xfId="0" applyFont="1" applyBorder="1" applyAlignment="1" applyProtection="1">
      <alignment vertical="center" wrapText="1"/>
      <protection locked="0"/>
    </xf>
    <xf numFmtId="0" fontId="112" fillId="0" borderId="18" xfId="0" applyFont="1" applyBorder="1" applyAlignment="1" applyProtection="1">
      <alignment vertical="center"/>
      <protection locked="0"/>
    </xf>
    <xf numFmtId="0" fontId="7" fillId="33" borderId="18" xfId="0" applyFont="1" applyFill="1" applyBorder="1" applyAlignment="1" applyProtection="1">
      <alignment horizontal="left" vertical="center" shrinkToFit="1"/>
      <protection locked="0"/>
    </xf>
    <xf numFmtId="176" fontId="25" fillId="0" borderId="0" xfId="0" applyNumberFormat="1" applyFont="1" applyFill="1" applyBorder="1" applyAlignment="1" applyProtection="1">
      <alignment horizontal="right" vertical="center" wrapText="1"/>
      <protection/>
    </xf>
    <xf numFmtId="176" fontId="25" fillId="0" borderId="46" xfId="0" applyNumberFormat="1" applyFont="1" applyFill="1" applyBorder="1" applyAlignment="1" applyProtection="1">
      <alignment horizontal="right" vertical="center" wrapText="1"/>
      <protection/>
    </xf>
    <xf numFmtId="176" fontId="25" fillId="0" borderId="19" xfId="0" applyNumberFormat="1" applyFont="1" applyFill="1" applyBorder="1" applyAlignment="1" applyProtection="1">
      <alignment horizontal="right" vertical="center" wrapText="1"/>
      <protection/>
    </xf>
    <xf numFmtId="38" fontId="18" fillId="0" borderId="33" xfId="50" applyFont="1" applyFill="1" applyBorder="1" applyAlignment="1" applyProtection="1">
      <alignment vertical="center" wrapText="1"/>
      <protection locked="0"/>
    </xf>
    <xf numFmtId="38" fontId="18" fillId="0" borderId="152" xfId="50" applyFont="1" applyFill="1" applyBorder="1" applyAlignment="1" applyProtection="1">
      <alignment vertical="center" wrapText="1"/>
      <protection locked="0"/>
    </xf>
    <xf numFmtId="38" fontId="18" fillId="0" borderId="16" xfId="5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128" fillId="0" borderId="0" xfId="0" applyFont="1" applyAlignment="1" applyProtection="1">
      <alignment horizontal="left" vertical="center"/>
      <protection locked="0"/>
    </xf>
    <xf numFmtId="0" fontId="115" fillId="33" borderId="102" xfId="0" applyFont="1" applyFill="1" applyBorder="1" applyAlignment="1" applyProtection="1">
      <alignment horizontal="center" vertical="center"/>
      <protection locked="0"/>
    </xf>
    <xf numFmtId="196" fontId="115" fillId="33" borderId="37" xfId="0" applyNumberFormat="1" applyFont="1" applyFill="1" applyBorder="1" applyAlignment="1" applyProtection="1">
      <alignment horizontal="center" vertical="center"/>
      <protection locked="0"/>
    </xf>
    <xf numFmtId="0" fontId="115" fillId="33" borderId="21" xfId="0" applyFont="1" applyFill="1" applyBorder="1" applyAlignment="1" applyProtection="1">
      <alignment horizontal="center" vertical="center"/>
      <protection locked="0"/>
    </xf>
    <xf numFmtId="38" fontId="11" fillId="0" borderId="0" xfId="53" applyFont="1" applyFill="1" applyBorder="1" applyAlignment="1" applyProtection="1">
      <alignment horizontal="left" vertical="top" wrapText="1"/>
      <protection locked="0"/>
    </xf>
    <xf numFmtId="196" fontId="140" fillId="33" borderId="37" xfId="0" applyNumberFormat="1" applyFont="1" applyFill="1" applyBorder="1" applyAlignment="1" applyProtection="1">
      <alignment horizontal="center" vertical="center"/>
      <protection locked="0"/>
    </xf>
    <xf numFmtId="196" fontId="140" fillId="33" borderId="36"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7" fillId="0" borderId="0" xfId="0" applyFont="1" applyAlignment="1" applyProtection="1">
      <alignment vertical="center"/>
      <protection locked="0"/>
    </xf>
    <xf numFmtId="196" fontId="112" fillId="33" borderId="0" xfId="0" applyNumberFormat="1" applyFont="1" applyFill="1" applyBorder="1" applyAlignment="1" applyProtection="1">
      <alignment horizontal="left" vertical="center"/>
      <protection locked="0"/>
    </xf>
    <xf numFmtId="0" fontId="162" fillId="33" borderId="0" xfId="0" applyFont="1" applyFill="1" applyAlignment="1" applyProtection="1">
      <alignment vertical="center"/>
      <protection locked="0"/>
    </xf>
    <xf numFmtId="0" fontId="142" fillId="7" borderId="37"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94" fillId="0" borderId="0" xfId="0" applyFont="1" applyFill="1" applyAlignment="1" applyProtection="1">
      <alignment vertical="center"/>
      <protection locked="0"/>
    </xf>
    <xf numFmtId="0" fontId="0" fillId="0" borderId="0" xfId="0" applyAlignment="1" applyProtection="1">
      <alignment vertical="center"/>
      <protection/>
    </xf>
    <xf numFmtId="0" fontId="142" fillId="7" borderId="11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119"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63" fillId="0" borderId="0" xfId="0" applyFont="1" applyAlignment="1" applyProtection="1">
      <alignment vertical="center"/>
      <protection locked="0"/>
    </xf>
    <xf numFmtId="196" fontId="112" fillId="7" borderId="102" xfId="0" applyNumberFormat="1" applyFont="1" applyFill="1" applyBorder="1" applyAlignment="1" applyProtection="1">
      <alignment horizontal="left" vertical="center"/>
      <protection locked="0"/>
    </xf>
    <xf numFmtId="196" fontId="112" fillId="7" borderId="101" xfId="0" applyNumberFormat="1" applyFont="1" applyFill="1" applyBorder="1" applyAlignment="1" applyProtection="1">
      <alignment horizontal="left" vertical="center"/>
      <protection locked="0"/>
    </xf>
    <xf numFmtId="0" fontId="0" fillId="39" borderId="0" xfId="0" applyFill="1" applyAlignment="1" applyProtection="1">
      <alignment vertical="center"/>
      <protection locked="0"/>
    </xf>
    <xf numFmtId="0" fontId="0" fillId="9" borderId="0" xfId="0" applyFill="1" applyAlignment="1" applyProtection="1">
      <alignment vertical="center"/>
      <protection locked="0"/>
    </xf>
    <xf numFmtId="0" fontId="0" fillId="10" borderId="0" xfId="0" applyFill="1" applyAlignment="1" applyProtection="1">
      <alignment vertical="center"/>
      <protection locked="0"/>
    </xf>
    <xf numFmtId="0" fontId="0" fillId="11" borderId="0" xfId="0" applyFill="1" applyAlignment="1" applyProtection="1">
      <alignment vertical="center"/>
      <protection locked="0"/>
    </xf>
    <xf numFmtId="0" fontId="0" fillId="12" borderId="0" xfId="0" applyFill="1" applyAlignment="1" applyProtection="1">
      <alignment vertical="center"/>
      <protection locked="0"/>
    </xf>
    <xf numFmtId="0" fontId="0" fillId="13" borderId="0" xfId="0" applyFill="1" applyAlignment="1" applyProtection="1">
      <alignment vertical="center"/>
      <protection locked="0"/>
    </xf>
    <xf numFmtId="0" fontId="130" fillId="0" borderId="0" xfId="0" applyFont="1" applyBorder="1" applyAlignment="1" applyProtection="1">
      <alignment horizontal="center" vertical="center"/>
      <protection locked="0"/>
    </xf>
    <xf numFmtId="0" fontId="0" fillId="33" borderId="0" xfId="0" applyFill="1" applyAlignment="1" applyProtection="1">
      <alignment vertical="center"/>
      <protection locked="0"/>
    </xf>
    <xf numFmtId="0" fontId="0" fillId="33" borderId="101" xfId="0" applyFill="1" applyBorder="1" applyAlignment="1" applyProtection="1">
      <alignment horizontal="center" vertical="center"/>
      <protection locked="0"/>
    </xf>
    <xf numFmtId="0" fontId="113" fillId="0" borderId="0" xfId="0" applyFont="1" applyAlignment="1" applyProtection="1">
      <alignment horizontal="left" vertical="center"/>
      <protection locked="0"/>
    </xf>
    <xf numFmtId="0" fontId="113" fillId="0" borderId="124" xfId="0" applyFont="1" applyBorder="1" applyAlignment="1" applyProtection="1">
      <alignment horizontal="center" vertical="top" wrapText="1"/>
      <protection locked="0"/>
    </xf>
    <xf numFmtId="0" fontId="117" fillId="0" borderId="13" xfId="0" applyFont="1" applyBorder="1" applyAlignment="1" applyProtection="1">
      <alignment horizontal="center" vertical="center" wrapText="1"/>
      <protection locked="0"/>
    </xf>
    <xf numFmtId="0" fontId="164" fillId="33" borderId="11" xfId="0" applyFont="1" applyFill="1" applyBorder="1" applyAlignment="1" applyProtection="1">
      <alignment horizontal="center" vertical="center" wrapText="1"/>
      <protection locked="0"/>
    </xf>
    <xf numFmtId="0" fontId="137" fillId="33" borderId="11" xfId="0" applyFont="1" applyFill="1" applyBorder="1" applyAlignment="1" applyProtection="1">
      <alignment horizontal="center" vertical="center" wrapText="1"/>
      <protection locked="0"/>
    </xf>
    <xf numFmtId="0" fontId="165" fillId="33" borderId="11" xfId="0" applyFont="1" applyFill="1" applyBorder="1" applyAlignment="1" applyProtection="1">
      <alignment horizontal="center" vertical="center" wrapText="1"/>
      <protection locked="0"/>
    </xf>
    <xf numFmtId="0" fontId="117" fillId="0" borderId="124" xfId="0" applyFont="1" applyBorder="1" applyAlignment="1" applyProtection="1">
      <alignment horizontal="center" vertical="top" wrapText="1"/>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23" fillId="0" borderId="0" xfId="0" applyFont="1" applyAlignment="1" applyProtection="1">
      <alignment horizontal="center" vertical="center"/>
      <protection locked="0"/>
    </xf>
    <xf numFmtId="0" fontId="142" fillId="0" borderId="0" xfId="0" applyFont="1" applyAlignment="1" applyProtection="1">
      <alignment horizontal="left" vertical="center"/>
      <protection locked="0"/>
    </xf>
    <xf numFmtId="0" fontId="121" fillId="0" borderId="0" xfId="0" applyFont="1" applyAlignment="1" applyProtection="1">
      <alignment vertical="center"/>
      <protection locked="0"/>
    </xf>
    <xf numFmtId="176" fontId="25" fillId="0" borderId="212" xfId="0" applyNumberFormat="1" applyFont="1" applyFill="1" applyBorder="1" applyAlignment="1" applyProtection="1">
      <alignment horizontal="right" vertical="center" wrapText="1"/>
      <protection/>
    </xf>
    <xf numFmtId="176" fontId="25" fillId="0" borderId="178" xfId="0" applyNumberFormat="1" applyFont="1" applyFill="1" applyBorder="1" applyAlignment="1" applyProtection="1">
      <alignment horizontal="right" vertical="center" wrapText="1"/>
      <protection/>
    </xf>
    <xf numFmtId="176" fontId="25" fillId="0" borderId="180" xfId="0" applyNumberFormat="1" applyFont="1" applyFill="1" applyBorder="1" applyAlignment="1" applyProtection="1">
      <alignment horizontal="right" vertical="center" wrapText="1"/>
      <protection/>
    </xf>
    <xf numFmtId="176" fontId="25" fillId="0" borderId="177" xfId="0" applyNumberFormat="1" applyFont="1" applyFill="1" applyBorder="1" applyAlignment="1" applyProtection="1">
      <alignment horizontal="right" vertical="center" wrapText="1"/>
      <protection/>
    </xf>
    <xf numFmtId="176" fontId="25" fillId="0" borderId="213" xfId="0" applyNumberFormat="1" applyFont="1" applyFill="1" applyBorder="1" applyAlignment="1" applyProtection="1">
      <alignment horizontal="right" vertical="center" wrapText="1"/>
      <protection/>
    </xf>
    <xf numFmtId="176" fontId="25" fillId="0" borderId="214" xfId="0" applyNumberFormat="1" applyFont="1" applyFill="1" applyBorder="1" applyAlignment="1" applyProtection="1">
      <alignment horizontal="right" vertical="center" wrapText="1"/>
      <protection/>
    </xf>
    <xf numFmtId="176" fontId="25" fillId="0" borderId="215" xfId="0" applyNumberFormat="1" applyFont="1" applyFill="1" applyBorder="1" applyAlignment="1" applyProtection="1">
      <alignment horizontal="right" vertical="center" wrapText="1"/>
      <protection/>
    </xf>
    <xf numFmtId="176" fontId="25" fillId="0" borderId="18" xfId="0" applyNumberFormat="1" applyFont="1" applyFill="1" applyBorder="1" applyAlignment="1" applyProtection="1">
      <alignment horizontal="right" vertical="center" wrapText="1"/>
      <protection locked="0"/>
    </xf>
    <xf numFmtId="176" fontId="25" fillId="0" borderId="120" xfId="0" applyNumberFormat="1" applyFont="1" applyFill="1" applyBorder="1" applyAlignment="1" applyProtection="1">
      <alignment horizontal="right" vertical="center" wrapText="1"/>
      <protection locked="0"/>
    </xf>
    <xf numFmtId="0" fontId="7" fillId="33" borderId="120" xfId="0" applyFont="1" applyFill="1" applyBorder="1" applyAlignment="1" applyProtection="1">
      <alignment horizontal="left" vertical="center" shrinkToFit="1"/>
      <protection/>
    </xf>
    <xf numFmtId="38" fontId="18" fillId="0" borderId="16" xfId="50" applyFont="1" applyFill="1" applyBorder="1" applyAlignment="1" applyProtection="1">
      <alignment vertical="center" wrapText="1"/>
      <protection/>
    </xf>
    <xf numFmtId="0" fontId="18" fillId="0" borderId="124" xfId="0" applyFont="1" applyBorder="1" applyAlignment="1" applyProtection="1">
      <alignment horizontal="center" vertical="center"/>
      <protection locked="0"/>
    </xf>
    <xf numFmtId="0" fontId="18" fillId="0" borderId="216" xfId="0" applyFont="1" applyBorder="1" applyAlignment="1" applyProtection="1">
      <alignment horizontal="center" vertical="center"/>
      <protection locked="0"/>
    </xf>
    <xf numFmtId="0" fontId="130" fillId="0" borderId="0" xfId="0" applyFont="1" applyBorder="1" applyAlignment="1" applyProtection="1">
      <alignment horizontal="center" vertical="center"/>
      <protection locked="0"/>
    </xf>
    <xf numFmtId="0" fontId="18" fillId="0" borderId="42"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124" xfId="0" applyFont="1" applyBorder="1" applyAlignment="1" applyProtection="1">
      <alignment horizontal="center" vertical="center" wrapText="1"/>
      <protection locked="0"/>
    </xf>
    <xf numFmtId="0" fontId="18" fillId="0" borderId="129" xfId="0" applyFont="1" applyBorder="1" applyAlignment="1" applyProtection="1">
      <alignment horizontal="center" vertical="center" wrapText="1"/>
      <protection locked="0"/>
    </xf>
    <xf numFmtId="0" fontId="141" fillId="0" borderId="96" xfId="0" applyFont="1" applyBorder="1" applyAlignment="1" applyProtection="1">
      <alignment horizontal="center" vertical="center"/>
      <protection locked="0"/>
    </xf>
    <xf numFmtId="0" fontId="141" fillId="0" borderId="20" xfId="0" applyFont="1" applyBorder="1" applyAlignment="1" applyProtection="1">
      <alignment horizontal="center" vertical="center"/>
      <protection locked="0"/>
    </xf>
    <xf numFmtId="0" fontId="141" fillId="0" borderId="103" xfId="0" applyFont="1" applyBorder="1" applyAlignment="1" applyProtection="1">
      <alignment horizontal="center" vertical="center"/>
      <protection locked="0"/>
    </xf>
    <xf numFmtId="0" fontId="139" fillId="33" borderId="33" xfId="0" applyFont="1" applyFill="1" applyBorder="1" applyAlignment="1" applyProtection="1">
      <alignment horizontal="center" vertical="center"/>
      <protection locked="0"/>
    </xf>
    <xf numFmtId="0" fontId="139" fillId="33" borderId="16"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130" fillId="0" borderId="19" xfId="0" applyFont="1" applyBorder="1" applyAlignment="1" applyProtection="1">
      <alignment horizontal="center" vertical="center"/>
      <protection locked="0"/>
    </xf>
    <xf numFmtId="0" fontId="130" fillId="0" borderId="15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213" fontId="25" fillId="33" borderId="120" xfId="50" applyNumberFormat="1" applyFont="1" applyFill="1" applyBorder="1" applyAlignment="1" applyProtection="1">
      <alignment horizontal="left" vertical="center" wrapText="1"/>
      <protection/>
    </xf>
    <xf numFmtId="213" fontId="25" fillId="33" borderId="19" xfId="50" applyNumberFormat="1" applyFont="1" applyFill="1" applyBorder="1" applyAlignment="1" applyProtection="1">
      <alignment horizontal="left" vertical="center" wrapText="1"/>
      <protection/>
    </xf>
    <xf numFmtId="0" fontId="18" fillId="0" borderId="216" xfId="0" applyFont="1" applyBorder="1" applyAlignment="1" applyProtection="1">
      <alignment horizontal="center" vertical="center" wrapText="1"/>
      <protection locked="0"/>
    </xf>
    <xf numFmtId="0" fontId="130" fillId="0" borderId="0" xfId="0" applyFont="1" applyBorder="1" applyAlignment="1" applyProtection="1">
      <alignment horizontal="left" vertical="center"/>
      <protection/>
    </xf>
    <xf numFmtId="0" fontId="0" fillId="33" borderId="0" xfId="0" applyFill="1" applyAlignment="1" applyProtection="1">
      <alignment vertical="center" shrinkToFit="1"/>
      <protection locked="0"/>
    </xf>
    <xf numFmtId="0" fontId="0" fillId="33" borderId="0" xfId="0" applyFill="1" applyAlignment="1" applyProtection="1">
      <alignment vertical="center"/>
      <protection locked="0"/>
    </xf>
    <xf numFmtId="0" fontId="0" fillId="0" borderId="0" xfId="0" applyAlignment="1" applyProtection="1">
      <alignment vertical="center" shrinkToFit="1"/>
      <protection locked="0"/>
    </xf>
    <xf numFmtId="0" fontId="0" fillId="40" borderId="0" xfId="0" applyFill="1" applyAlignment="1" applyProtection="1">
      <alignment vertical="center"/>
      <protection locked="0"/>
    </xf>
    <xf numFmtId="0" fontId="0" fillId="33" borderId="101" xfId="0" applyFill="1" applyBorder="1" applyAlignment="1" applyProtection="1">
      <alignment horizontal="center" vertical="center"/>
      <protection locked="0"/>
    </xf>
    <xf numFmtId="0" fontId="0" fillId="33" borderId="102" xfId="0" applyFill="1" applyBorder="1" applyAlignment="1" applyProtection="1">
      <alignment horizontal="center" vertical="center"/>
      <protection locked="0"/>
    </xf>
    <xf numFmtId="0" fontId="0" fillId="41" borderId="0" xfId="0" applyFill="1" applyAlignment="1" applyProtection="1">
      <alignment vertical="center"/>
      <protection locked="0"/>
    </xf>
    <xf numFmtId="0" fontId="112" fillId="0" borderId="116" xfId="0" applyFont="1" applyBorder="1" applyAlignment="1" applyProtection="1">
      <alignment horizontal="center" vertical="center"/>
      <protection locked="0"/>
    </xf>
    <xf numFmtId="0" fontId="112" fillId="0" borderId="103" xfId="0" applyFont="1" applyBorder="1" applyAlignment="1" applyProtection="1">
      <alignment horizontal="center" vertical="center"/>
      <protection locked="0"/>
    </xf>
    <xf numFmtId="0" fontId="112" fillId="0" borderId="96" xfId="0" applyFont="1" applyBorder="1" applyAlignment="1" applyProtection="1">
      <alignment horizontal="center" vertical="center"/>
      <protection locked="0"/>
    </xf>
    <xf numFmtId="0" fontId="11" fillId="0" borderId="44"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120" xfId="0" applyFont="1" applyBorder="1" applyAlignment="1" applyProtection="1">
      <alignment horizontal="center" vertical="center" wrapText="1"/>
      <protection locked="0"/>
    </xf>
    <xf numFmtId="176" fontId="25" fillId="0" borderId="96" xfId="0" applyNumberFormat="1" applyFont="1" applyFill="1" applyBorder="1" applyAlignment="1" applyProtection="1">
      <alignment horizontal="right" vertical="center" wrapText="1"/>
      <protection/>
    </xf>
    <xf numFmtId="176" fontId="25" fillId="0" borderId="103" xfId="0" applyNumberFormat="1" applyFont="1" applyFill="1" applyBorder="1" applyAlignment="1" applyProtection="1">
      <alignment horizontal="right" vertical="center" wrapText="1"/>
      <protection/>
    </xf>
    <xf numFmtId="176" fontId="25" fillId="0" borderId="96" xfId="0" applyNumberFormat="1" applyFont="1" applyFill="1" applyBorder="1" applyAlignment="1" applyProtection="1">
      <alignment horizontal="right" vertical="center" wrapText="1"/>
      <protection locked="0"/>
    </xf>
    <xf numFmtId="176" fontId="25" fillId="0" borderId="103" xfId="0" applyNumberFormat="1" applyFont="1" applyFill="1" applyBorder="1" applyAlignment="1" applyProtection="1">
      <alignment horizontal="right" vertical="center" wrapText="1"/>
      <protection locked="0"/>
    </xf>
    <xf numFmtId="0" fontId="11" fillId="0" borderId="120" xfId="0" applyFont="1" applyFill="1" applyBorder="1" applyAlignment="1" applyProtection="1">
      <alignment horizontal="center" vertical="center" wrapText="1"/>
      <protection locked="0"/>
    </xf>
    <xf numFmtId="0" fontId="11" fillId="0" borderId="100" xfId="0" applyFont="1" applyFill="1" applyBorder="1" applyAlignment="1" applyProtection="1">
      <alignment horizontal="center" vertical="center" wrapText="1"/>
      <protection locked="0"/>
    </xf>
    <xf numFmtId="176" fontId="25" fillId="0" borderId="101" xfId="0" applyNumberFormat="1" applyFont="1" applyFill="1" applyBorder="1" applyAlignment="1" applyProtection="1">
      <alignment horizontal="right" vertical="center" wrapText="1"/>
      <protection/>
    </xf>
    <xf numFmtId="176" fontId="25" fillId="0" borderId="102" xfId="0" applyNumberFormat="1" applyFont="1" applyFill="1" applyBorder="1" applyAlignment="1" applyProtection="1">
      <alignment horizontal="right" vertical="center" wrapText="1"/>
      <protection/>
    </xf>
    <xf numFmtId="0" fontId="112" fillId="0" borderId="0" xfId="0" applyFont="1" applyAlignment="1" applyProtection="1">
      <alignment horizontal="right" vertical="center"/>
      <protection locked="0"/>
    </xf>
    <xf numFmtId="0" fontId="11" fillId="0" borderId="33" xfId="0" applyFont="1" applyBorder="1" applyAlignment="1" applyProtection="1">
      <alignment horizontal="center" vertical="center" wrapText="1"/>
      <protection locked="0"/>
    </xf>
    <xf numFmtId="0" fontId="11" fillId="0" borderId="15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2" fillId="0" borderId="19" xfId="0" applyFont="1" applyBorder="1" applyAlignment="1" applyProtection="1">
      <alignment horizontal="center" vertical="center"/>
      <protection locked="0"/>
    </xf>
    <xf numFmtId="0" fontId="112" fillId="0" borderId="44" xfId="0" applyFont="1" applyBorder="1" applyAlignment="1" applyProtection="1">
      <alignment horizontal="center" vertical="center"/>
      <protection locked="0"/>
    </xf>
    <xf numFmtId="0" fontId="112" fillId="0" borderId="41" xfId="0" applyFont="1" applyBorder="1" applyAlignment="1" applyProtection="1">
      <alignment horizontal="center" vertical="center"/>
      <protection locked="0"/>
    </xf>
    <xf numFmtId="0" fontId="112" fillId="0" borderId="42" xfId="0" applyFont="1" applyBorder="1" applyAlignment="1" applyProtection="1">
      <alignment horizontal="center" vertical="center"/>
      <protection locked="0"/>
    </xf>
    <xf numFmtId="0" fontId="112" fillId="0" borderId="49" xfId="0" applyFont="1" applyBorder="1" applyAlignment="1" applyProtection="1">
      <alignment horizontal="center" vertical="center"/>
      <protection locked="0"/>
    </xf>
    <xf numFmtId="0" fontId="112" fillId="0" borderId="120" xfId="0" applyFont="1" applyBorder="1" applyAlignment="1" applyProtection="1">
      <alignment horizontal="center" vertical="center"/>
      <protection locked="0"/>
    </xf>
    <xf numFmtId="0" fontId="112" fillId="0" borderId="100" xfId="0" applyFont="1" applyBorder="1" applyAlignment="1" applyProtection="1">
      <alignment horizontal="center" vertical="center"/>
      <protection locked="0"/>
    </xf>
    <xf numFmtId="0" fontId="11" fillId="0" borderId="44" xfId="0" applyFont="1" applyBorder="1" applyAlignment="1" applyProtection="1">
      <alignment horizontal="center" vertical="top" wrapText="1"/>
      <protection locked="0"/>
    </xf>
    <xf numFmtId="0" fontId="11" fillId="0" borderId="41" xfId="0" applyFont="1" applyBorder="1" applyAlignment="1" applyProtection="1">
      <alignment horizontal="center" vertical="top" wrapText="1"/>
      <protection locked="0"/>
    </xf>
    <xf numFmtId="0" fontId="11" fillId="0" borderId="100" xfId="0" applyFont="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8" fillId="0" borderId="16" xfId="0" applyNumberFormat="1" applyFont="1" applyBorder="1" applyAlignment="1" applyProtection="1">
      <alignment horizontal="center" vertical="center" wrapText="1"/>
      <protection locked="0"/>
    </xf>
    <xf numFmtId="0" fontId="118" fillId="0" borderId="16" xfId="0" applyFont="1" applyBorder="1" applyAlignment="1" applyProtection="1">
      <alignment horizontal="center" vertical="center" wrapText="1"/>
      <protection locked="0"/>
    </xf>
    <xf numFmtId="14" fontId="118" fillId="0" borderId="13" xfId="0" applyNumberFormat="1" applyFont="1" applyBorder="1" applyAlignment="1" applyProtection="1">
      <alignment horizontal="center" vertical="center" wrapText="1"/>
      <protection locked="0"/>
    </xf>
    <xf numFmtId="0" fontId="118" fillId="0" borderId="13" xfId="0" applyFont="1" applyBorder="1" applyAlignment="1" applyProtection="1">
      <alignment horizontal="center" vertical="center" wrapText="1"/>
      <protection locked="0"/>
    </xf>
    <xf numFmtId="0" fontId="164" fillId="33" borderId="101" xfId="0" applyFont="1" applyFill="1" applyBorder="1" applyAlignment="1" applyProtection="1">
      <alignment horizontal="center" vertical="center" wrapText="1"/>
      <protection locked="0"/>
    </xf>
    <xf numFmtId="0" fontId="164" fillId="33" borderId="135" xfId="0" applyFont="1" applyFill="1" applyBorder="1" applyAlignment="1" applyProtection="1">
      <alignment horizontal="center" vertical="center" wrapText="1"/>
      <protection locked="0"/>
    </xf>
    <xf numFmtId="0" fontId="113" fillId="0" borderId="0" xfId="0" applyFont="1" applyAlignment="1" applyProtection="1">
      <alignment horizontal="left" vertical="center"/>
      <protection locked="0"/>
    </xf>
    <xf numFmtId="0" fontId="117" fillId="0" borderId="217" xfId="0" applyFont="1" applyBorder="1" applyAlignment="1" applyProtection="1">
      <alignment horizontal="center" vertical="center" wrapText="1"/>
      <protection locked="0"/>
    </xf>
    <xf numFmtId="0" fontId="117" fillId="0" borderId="147" xfId="0" applyFont="1" applyBorder="1" applyAlignment="1" applyProtection="1">
      <alignment horizontal="center" vertical="center" wrapText="1"/>
      <protection locked="0"/>
    </xf>
    <xf numFmtId="0" fontId="113" fillId="0" borderId="129" xfId="0" applyFont="1" applyBorder="1" applyAlignment="1" applyProtection="1">
      <alignment horizontal="center" vertical="top" wrapText="1"/>
      <protection locked="0"/>
    </xf>
    <xf numFmtId="0" fontId="113" fillId="0" borderId="216" xfId="0" applyFont="1" applyBorder="1" applyAlignment="1" applyProtection="1">
      <alignment horizontal="center" vertical="top" wrapText="1"/>
      <protection locked="0"/>
    </xf>
    <xf numFmtId="0" fontId="113" fillId="0" borderId="124" xfId="0" applyFont="1" applyBorder="1" applyAlignment="1" applyProtection="1">
      <alignment horizontal="center" vertical="top" wrapText="1"/>
      <protection locked="0"/>
    </xf>
    <xf numFmtId="0" fontId="117" fillId="0" borderId="10" xfId="0" applyFont="1" applyBorder="1" applyAlignment="1" applyProtection="1">
      <alignment horizontal="center" vertical="center" wrapText="1"/>
      <protection locked="0"/>
    </xf>
    <xf numFmtId="0" fontId="117" fillId="0" borderId="13" xfId="0" applyFont="1" applyBorder="1" applyAlignment="1" applyProtection="1">
      <alignment horizontal="center" vertical="center" wrapText="1"/>
      <protection locked="0"/>
    </xf>
    <xf numFmtId="0" fontId="117" fillId="0" borderId="158" xfId="0" applyFont="1" applyBorder="1" applyAlignment="1" applyProtection="1">
      <alignment horizontal="center" vertical="center" wrapText="1"/>
      <protection locked="0"/>
    </xf>
    <xf numFmtId="0" fontId="117" fillId="0" borderId="184" xfId="0" applyFont="1" applyBorder="1" applyAlignment="1" applyProtection="1">
      <alignment horizontal="center" vertical="center" wrapText="1"/>
      <protection locked="0"/>
    </xf>
    <xf numFmtId="0" fontId="117" fillId="0" borderId="129" xfId="0" applyFont="1" applyBorder="1" applyAlignment="1" applyProtection="1">
      <alignment horizontal="center" vertical="top" wrapText="1"/>
      <protection locked="0"/>
    </xf>
    <xf numFmtId="0" fontId="117" fillId="0" borderId="216" xfId="0" applyFont="1" applyBorder="1" applyAlignment="1" applyProtection="1">
      <alignment horizontal="center" vertical="top" wrapText="1"/>
      <protection locked="0"/>
    </xf>
    <xf numFmtId="14" fontId="118" fillId="0" borderId="99" xfId="0" applyNumberFormat="1" applyFont="1" applyBorder="1" applyAlignment="1" applyProtection="1">
      <alignment horizontal="center" vertical="center" wrapText="1"/>
      <protection locked="0"/>
    </xf>
    <xf numFmtId="0" fontId="118" fillId="0" borderId="99" xfId="0" applyFont="1" applyBorder="1" applyAlignment="1" applyProtection="1">
      <alignment horizontal="center" vertical="center" wrapText="1"/>
      <protection locked="0"/>
    </xf>
    <xf numFmtId="0" fontId="164" fillId="33" borderId="141" xfId="0" applyFont="1" applyFill="1" applyBorder="1" applyAlignment="1" applyProtection="1">
      <alignment horizontal="center" vertical="center" wrapText="1"/>
      <protection locked="0"/>
    </xf>
    <xf numFmtId="0" fontId="164" fillId="33" borderId="11" xfId="0" applyFont="1" applyFill="1" applyBorder="1" applyAlignment="1" applyProtection="1">
      <alignment horizontal="center" vertical="center" wrapText="1"/>
      <protection locked="0"/>
    </xf>
    <xf numFmtId="0" fontId="118" fillId="0" borderId="120" xfId="0" applyFont="1" applyBorder="1" applyAlignment="1" applyProtection="1">
      <alignment horizontal="center" vertical="center" wrapText="1"/>
      <protection locked="0"/>
    </xf>
    <xf numFmtId="14" fontId="118" fillId="0" borderId="104" xfId="0" applyNumberFormat="1" applyFont="1" applyBorder="1" applyAlignment="1" applyProtection="1">
      <alignment horizontal="center" vertical="center" wrapText="1"/>
      <protection locked="0"/>
    </xf>
    <xf numFmtId="0" fontId="118" fillId="0" borderId="104" xfId="0" applyFont="1" applyBorder="1" applyAlignment="1" applyProtection="1">
      <alignment horizontal="center" vertical="center" wrapText="1"/>
      <protection locked="0"/>
    </xf>
    <xf numFmtId="0" fontId="137" fillId="33" borderId="141" xfId="0" applyFont="1" applyFill="1" applyBorder="1" applyAlignment="1" applyProtection="1">
      <alignment horizontal="center" vertical="center" wrapText="1"/>
      <protection locked="0"/>
    </xf>
    <xf numFmtId="0" fontId="137" fillId="33" borderId="11" xfId="0" applyFont="1" applyFill="1" applyBorder="1" applyAlignment="1" applyProtection="1">
      <alignment horizontal="center" vertical="center" wrapText="1"/>
      <protection locked="0"/>
    </xf>
    <xf numFmtId="0" fontId="165" fillId="33" borderId="141" xfId="0" applyFont="1" applyFill="1" applyBorder="1" applyAlignment="1" applyProtection="1">
      <alignment horizontal="center" vertical="center" wrapText="1"/>
      <protection locked="0"/>
    </xf>
    <xf numFmtId="0" fontId="165" fillId="33" borderId="11" xfId="0" applyFont="1" applyFill="1" applyBorder="1" applyAlignment="1" applyProtection="1">
      <alignment horizontal="center" vertical="center" wrapText="1"/>
      <protection locked="0"/>
    </xf>
    <xf numFmtId="0" fontId="117" fillId="0" borderId="124" xfId="0" applyFont="1" applyBorder="1" applyAlignment="1" applyProtection="1">
      <alignment horizontal="center" vertical="top" wrapText="1"/>
      <protection locked="0"/>
    </xf>
    <xf numFmtId="0" fontId="117" fillId="0" borderId="182" xfId="0" applyFont="1" applyBorder="1" applyAlignment="1" applyProtection="1">
      <alignment horizontal="center" vertical="center" wrapText="1"/>
      <protection locked="0"/>
    </xf>
    <xf numFmtId="0" fontId="117" fillId="0" borderId="162" xfId="0" applyFont="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23" fillId="0" borderId="0" xfId="0" applyFont="1" applyAlignment="1" applyProtection="1">
      <alignment horizontal="center" vertical="center"/>
      <protection locked="0"/>
    </xf>
    <xf numFmtId="0" fontId="106" fillId="0" borderId="19" xfId="0" applyFont="1" applyBorder="1" applyAlignment="1" applyProtection="1">
      <alignment vertical="center"/>
      <protection/>
    </xf>
    <xf numFmtId="0" fontId="113" fillId="33" borderId="218" xfId="0" applyFont="1" applyFill="1" applyBorder="1" applyAlignment="1" applyProtection="1">
      <alignment horizontal="center" vertical="center" wrapText="1"/>
      <protection locked="0"/>
    </xf>
    <xf numFmtId="0" fontId="113" fillId="33" borderId="219" xfId="0" applyFont="1" applyFill="1" applyBorder="1" applyAlignment="1" applyProtection="1">
      <alignment horizontal="center" vertical="center" wrapText="1"/>
      <protection locked="0"/>
    </xf>
    <xf numFmtId="0" fontId="119" fillId="33" borderId="220" xfId="0" applyFont="1" applyFill="1" applyBorder="1" applyAlignment="1" applyProtection="1">
      <alignment horizontal="center" vertical="center" wrapText="1"/>
      <protection locked="0"/>
    </xf>
    <xf numFmtId="0" fontId="119" fillId="33" borderId="221" xfId="0" applyFont="1" applyFill="1" applyBorder="1" applyAlignment="1" applyProtection="1">
      <alignment horizontal="center" vertical="center" wrapText="1"/>
      <protection locked="0"/>
    </xf>
    <xf numFmtId="0" fontId="113" fillId="33" borderId="222" xfId="0" applyFont="1" applyFill="1" applyBorder="1" applyAlignment="1" applyProtection="1">
      <alignment horizontal="justify" vertical="center" wrapText="1"/>
      <protection locked="0"/>
    </xf>
    <xf numFmtId="0" fontId="113" fillId="33" borderId="144" xfId="0" applyFont="1" applyFill="1" applyBorder="1" applyAlignment="1" applyProtection="1">
      <alignment horizontal="justify" vertical="center" wrapText="1"/>
      <protection locked="0"/>
    </xf>
    <xf numFmtId="0" fontId="142" fillId="33" borderId="220" xfId="0" applyFont="1" applyFill="1" applyBorder="1" applyAlignment="1" applyProtection="1">
      <alignment horizontal="center" vertical="center"/>
      <protection locked="0"/>
    </xf>
    <xf numFmtId="0" fontId="142" fillId="33" borderId="221" xfId="0" applyFont="1" applyFill="1" applyBorder="1" applyAlignment="1" applyProtection="1">
      <alignment horizontal="center" vertical="center"/>
      <protection locked="0"/>
    </xf>
    <xf numFmtId="0" fontId="113" fillId="33" borderId="223" xfId="0" applyFont="1" applyFill="1" applyBorder="1" applyAlignment="1" applyProtection="1">
      <alignment horizontal="justify" vertical="center" wrapText="1"/>
      <protection locked="0"/>
    </xf>
    <xf numFmtId="0" fontId="113" fillId="33" borderId="224" xfId="0" applyFont="1" applyFill="1" applyBorder="1" applyAlignment="1" applyProtection="1">
      <alignment horizontal="justify" vertical="center" wrapText="1"/>
      <protection locked="0"/>
    </xf>
    <xf numFmtId="0" fontId="142" fillId="33" borderId="225" xfId="0" applyFont="1" applyFill="1" applyBorder="1" applyAlignment="1" applyProtection="1">
      <alignment horizontal="left" vertical="center"/>
      <protection/>
    </xf>
    <xf numFmtId="0" fontId="142" fillId="33" borderId="226" xfId="0" applyFont="1" applyFill="1" applyBorder="1" applyAlignment="1" applyProtection="1">
      <alignment horizontal="left" vertical="center"/>
      <protection/>
    </xf>
    <xf numFmtId="0" fontId="142" fillId="33" borderId="227" xfId="0" applyFont="1" applyFill="1" applyBorder="1" applyAlignment="1" applyProtection="1">
      <alignment horizontal="left" vertical="center"/>
      <protection/>
    </xf>
    <xf numFmtId="0" fontId="142" fillId="33" borderId="228" xfId="0" applyFont="1" applyFill="1" applyBorder="1" applyAlignment="1" applyProtection="1">
      <alignment horizontal="left" vertical="center"/>
      <protection/>
    </xf>
    <xf numFmtId="0" fontId="142" fillId="0" borderId="0" xfId="0" applyFont="1" applyAlignment="1" applyProtection="1">
      <alignment horizontal="left" vertical="center"/>
      <protection locked="0"/>
    </xf>
    <xf numFmtId="0" fontId="142" fillId="33" borderId="0" xfId="0" applyFont="1" applyFill="1" applyAlignment="1" applyProtection="1">
      <alignment horizontal="left" vertical="center"/>
      <protection locked="0"/>
    </xf>
    <xf numFmtId="0" fontId="142" fillId="33" borderId="225" xfId="0" applyFont="1" applyFill="1" applyBorder="1" applyAlignment="1" applyProtection="1">
      <alignment horizontal="center" vertical="center"/>
      <protection locked="0"/>
    </xf>
    <xf numFmtId="0" fontId="142" fillId="33" borderId="226" xfId="0" applyFont="1" applyFill="1" applyBorder="1" applyAlignment="1" applyProtection="1">
      <alignment horizontal="center" vertical="center"/>
      <protection locked="0"/>
    </xf>
    <xf numFmtId="0" fontId="142" fillId="33" borderId="227" xfId="0" applyFont="1" applyFill="1" applyBorder="1" applyAlignment="1" applyProtection="1">
      <alignment horizontal="center" vertical="center"/>
      <protection locked="0"/>
    </xf>
    <xf numFmtId="38" fontId="142" fillId="33" borderId="228" xfId="0" applyNumberFormat="1" applyFont="1" applyFill="1" applyBorder="1" applyAlignment="1" applyProtection="1">
      <alignment horizontal="left" vertical="center"/>
      <protection/>
    </xf>
    <xf numFmtId="38" fontId="142" fillId="33" borderId="226" xfId="0" applyNumberFormat="1" applyFont="1" applyFill="1" applyBorder="1" applyAlignment="1" applyProtection="1">
      <alignment horizontal="left" vertical="center"/>
      <protection/>
    </xf>
    <xf numFmtId="38" fontId="142" fillId="33" borderId="227" xfId="0" applyNumberFormat="1" applyFont="1" applyFill="1" applyBorder="1" applyAlignment="1" applyProtection="1">
      <alignment horizontal="left" vertical="center"/>
      <protection/>
    </xf>
    <xf numFmtId="0" fontId="142" fillId="33" borderId="228" xfId="0" applyFont="1" applyFill="1" applyBorder="1" applyAlignment="1" applyProtection="1">
      <alignment horizontal="left" vertical="center" wrapText="1"/>
      <protection/>
    </xf>
    <xf numFmtId="0" fontId="142" fillId="33" borderId="226" xfId="0" applyFont="1" applyFill="1" applyBorder="1" applyAlignment="1" applyProtection="1">
      <alignment horizontal="left" vertical="center" wrapText="1"/>
      <protection/>
    </xf>
    <xf numFmtId="0" fontId="142" fillId="33" borderId="229" xfId="0" applyFont="1" applyFill="1" applyBorder="1" applyAlignment="1" applyProtection="1">
      <alignment horizontal="left" vertical="center" wrapText="1"/>
      <protection/>
    </xf>
    <xf numFmtId="0" fontId="142" fillId="33" borderId="229" xfId="0" applyFont="1" applyFill="1" applyBorder="1" applyAlignment="1" applyProtection="1">
      <alignment horizontal="left" vertical="center"/>
      <protection/>
    </xf>
    <xf numFmtId="0" fontId="113" fillId="33" borderId="142" xfId="0" applyFont="1" applyFill="1" applyBorder="1" applyAlignment="1" applyProtection="1">
      <alignment horizontal="justify" vertical="center" wrapText="1"/>
      <protection locked="0"/>
    </xf>
    <xf numFmtId="0" fontId="142" fillId="33" borderId="154" xfId="0" applyFont="1" applyFill="1" applyBorder="1" applyAlignment="1" applyProtection="1">
      <alignment horizontal="left" vertical="center"/>
      <protection/>
    </xf>
    <xf numFmtId="0" fontId="142" fillId="33" borderId="129" xfId="0" applyFont="1" applyFill="1" applyBorder="1" applyAlignment="1" applyProtection="1">
      <alignment horizontal="left" vertical="center"/>
      <protection/>
    </xf>
    <xf numFmtId="0" fontId="142" fillId="33" borderId="230" xfId="0" applyFont="1" applyFill="1" applyBorder="1" applyAlignment="1" applyProtection="1">
      <alignment horizontal="left" vertical="center"/>
      <protection/>
    </xf>
    <xf numFmtId="0" fontId="142" fillId="33" borderId="231" xfId="0" applyFont="1" applyFill="1" applyBorder="1" applyAlignment="1" applyProtection="1">
      <alignment horizontal="left" vertical="center"/>
      <protection/>
    </xf>
    <xf numFmtId="0" fontId="142" fillId="33" borderId="158" xfId="0" applyFont="1" applyFill="1" applyBorder="1" applyAlignment="1" applyProtection="1">
      <alignment horizontal="left" vertical="center"/>
      <protection/>
    </xf>
    <xf numFmtId="38" fontId="142" fillId="33" borderId="229" xfId="0" applyNumberFormat="1" applyFont="1" applyFill="1" applyBorder="1" applyAlignment="1" applyProtection="1">
      <alignment horizontal="left" vertical="center"/>
      <protection/>
    </xf>
    <xf numFmtId="201" fontId="122" fillId="33" borderId="154" xfId="50" applyNumberFormat="1" applyFont="1" applyFill="1" applyBorder="1" applyAlignment="1" applyProtection="1">
      <alignment horizontal="center" vertical="center"/>
      <protection/>
    </xf>
    <xf numFmtId="201" fontId="122" fillId="33" borderId="158" xfId="50" applyNumberFormat="1" applyFont="1" applyFill="1" applyBorder="1" applyAlignment="1" applyProtection="1">
      <alignment horizontal="center" vertical="center"/>
      <protection/>
    </xf>
    <xf numFmtId="201" fontId="122" fillId="33" borderId="141" xfId="50" applyNumberFormat="1" applyFont="1" applyFill="1" applyBorder="1" applyAlignment="1" applyProtection="1">
      <alignment horizontal="center" vertical="center"/>
      <protection/>
    </xf>
    <xf numFmtId="201" fontId="122" fillId="33" borderId="184" xfId="50" applyNumberFormat="1" applyFont="1" applyFill="1" applyBorder="1" applyAlignment="1" applyProtection="1">
      <alignment horizontal="center" vertical="center"/>
      <protection/>
    </xf>
    <xf numFmtId="0" fontId="0" fillId="0" borderId="114" xfId="0" applyBorder="1" applyAlignment="1" applyProtection="1">
      <alignment horizontal="center" vertical="center"/>
      <protection locked="0"/>
    </xf>
    <xf numFmtId="0" fontId="0" fillId="0" borderId="136" xfId="0" applyBorder="1" applyAlignment="1" applyProtection="1">
      <alignment horizontal="center" vertical="center"/>
      <protection locked="0"/>
    </xf>
    <xf numFmtId="38" fontId="122" fillId="33" borderId="101" xfId="50" applyFont="1" applyFill="1" applyBorder="1" applyAlignment="1" applyProtection="1">
      <alignment horizontal="center" vertical="center"/>
      <protection/>
    </xf>
    <xf numFmtId="38" fontId="122" fillId="33" borderId="135" xfId="50" applyFont="1" applyFill="1" applyBorder="1" applyAlignment="1" applyProtection="1">
      <alignment horizontal="center" vertical="center"/>
      <protection/>
    </xf>
    <xf numFmtId="38" fontId="122" fillId="33" borderId="102" xfId="5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locked="0"/>
    </xf>
    <xf numFmtId="194" fontId="141" fillId="33" borderId="101" xfId="50" applyNumberFormat="1" applyFont="1" applyFill="1" applyBorder="1" applyAlignment="1" applyProtection="1">
      <alignment horizontal="center" vertical="center"/>
      <protection/>
    </xf>
    <xf numFmtId="194" fontId="141" fillId="33" borderId="135" xfId="50" applyNumberFormat="1" applyFont="1" applyFill="1" applyBorder="1" applyAlignment="1" applyProtection="1">
      <alignment horizontal="center" vertical="center"/>
      <protection/>
    </xf>
    <xf numFmtId="194" fontId="141" fillId="33" borderId="102" xfId="50" applyNumberFormat="1" applyFont="1" applyFill="1" applyBorder="1" applyAlignment="1" applyProtection="1">
      <alignment horizontal="center" vertical="center"/>
      <protection/>
    </xf>
    <xf numFmtId="38" fontId="141" fillId="33" borderId="101" xfId="50" applyFont="1" applyFill="1" applyBorder="1" applyAlignment="1" applyProtection="1">
      <alignment horizontal="center" vertical="center"/>
      <protection/>
    </xf>
    <xf numFmtId="38" fontId="141" fillId="33" borderId="102" xfId="5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locked="0"/>
    </xf>
    <xf numFmtId="194" fontId="122" fillId="33" borderId="101" xfId="50" applyNumberFormat="1" applyFont="1" applyFill="1" applyBorder="1" applyAlignment="1" applyProtection="1">
      <alignment horizontal="center" vertical="center"/>
      <protection/>
    </xf>
    <xf numFmtId="194" fontId="122" fillId="33" borderId="102" xfId="50" applyNumberFormat="1" applyFont="1" applyFill="1" applyBorder="1" applyAlignment="1" applyProtection="1">
      <alignment horizontal="center" vertical="center"/>
      <protection/>
    </xf>
    <xf numFmtId="0" fontId="0" fillId="7" borderId="186" xfId="0" applyFill="1" applyBorder="1" applyAlignment="1" applyProtection="1">
      <alignment horizontal="center" vertical="center"/>
      <protection locked="0"/>
    </xf>
    <xf numFmtId="0" fontId="0" fillId="7" borderId="232" xfId="0" applyFill="1" applyBorder="1" applyAlignment="1" applyProtection="1">
      <alignment horizontal="center" vertical="center"/>
      <protection locked="0"/>
    </xf>
    <xf numFmtId="0" fontId="140" fillId="0" borderId="139" xfId="0" applyFont="1" applyBorder="1" applyAlignment="1" applyProtection="1">
      <alignment horizontal="center" vertical="center"/>
      <protection locked="0"/>
    </xf>
    <xf numFmtId="0" fontId="140" fillId="0" borderId="157" xfId="0" applyFont="1" applyBorder="1" applyAlignment="1" applyProtection="1">
      <alignment horizontal="center" vertical="center"/>
      <protection locked="0"/>
    </xf>
    <xf numFmtId="0" fontId="121" fillId="0" borderId="129" xfId="0" applyFont="1" applyBorder="1" applyAlignment="1" applyProtection="1">
      <alignment vertical="center"/>
      <protection locked="0"/>
    </xf>
    <xf numFmtId="0" fontId="121" fillId="0" borderId="11" xfId="0" applyFont="1" applyBorder="1" applyAlignment="1" applyProtection="1">
      <alignment vertical="center"/>
      <protection locked="0"/>
    </xf>
    <xf numFmtId="58" fontId="123" fillId="33" borderId="0" xfId="0" applyNumberFormat="1" applyFont="1" applyFill="1" applyAlignment="1" applyProtection="1">
      <alignment vertical="center"/>
      <protection locked="0"/>
    </xf>
    <xf numFmtId="0" fontId="140" fillId="0" borderId="141" xfId="0" applyFont="1" applyBorder="1" applyAlignment="1" applyProtection="1">
      <alignment horizontal="center" vertical="center"/>
      <protection locked="0"/>
    </xf>
    <xf numFmtId="0" fontId="140" fillId="0" borderId="184" xfId="0" applyFont="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33" xfId="0" applyFill="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7" borderId="234" xfId="0" applyFill="1" applyBorder="1" applyAlignment="1" applyProtection="1">
      <alignment horizontal="center" vertical="center"/>
      <protection locked="0"/>
    </xf>
    <xf numFmtId="0" fontId="0" fillId="7" borderId="235" xfId="0" applyFill="1" applyBorder="1" applyAlignment="1" applyProtection="1">
      <alignment horizontal="center" vertical="center"/>
      <protection locked="0"/>
    </xf>
    <xf numFmtId="0" fontId="106" fillId="0" borderId="20" xfId="0" applyFont="1" applyBorder="1" applyAlignment="1" applyProtection="1">
      <alignment vertical="center"/>
      <protection/>
    </xf>
    <xf numFmtId="0" fontId="121" fillId="0" borderId="0" xfId="0" applyFont="1" applyAlignment="1" applyProtection="1">
      <alignment vertical="center"/>
      <protection locked="0"/>
    </xf>
    <xf numFmtId="58" fontId="106" fillId="0" borderId="20" xfId="0" applyNumberFormat="1" applyFont="1" applyBorder="1" applyAlignment="1" applyProtection="1">
      <alignment horizontal="left" vertical="center"/>
      <protection/>
    </xf>
    <xf numFmtId="38" fontId="21" fillId="0" borderId="0" xfId="53" applyFont="1" applyAlignment="1">
      <alignment horizontal="left" vertical="center"/>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8" fillId="0" borderId="0" xfId="53" applyFont="1" applyAlignment="1">
      <alignment horizontal="left" vertical="center"/>
    </xf>
    <xf numFmtId="0" fontId="22" fillId="0" borderId="0" xfId="65" applyFont="1" applyAlignment="1">
      <alignment horizontal="left" vertical="center"/>
      <protection/>
    </xf>
    <xf numFmtId="38" fontId="20" fillId="0" borderId="0" xfId="53" applyFont="1" applyAlignment="1">
      <alignment horizontal="left" vertical="center"/>
    </xf>
    <xf numFmtId="190" fontId="3" fillId="0" borderId="236" xfId="53" applyNumberFormat="1" applyFont="1" applyFill="1" applyBorder="1" applyAlignment="1">
      <alignment vertical="center" wrapText="1" shrinkToFit="1"/>
    </xf>
    <xf numFmtId="190" fontId="3" fillId="0" borderId="236"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3" fillId="0" borderId="44" xfId="53" applyFont="1" applyFill="1" applyBorder="1" applyAlignment="1">
      <alignment horizontal="center" vertical="center"/>
    </xf>
    <xf numFmtId="38" fontId="3" fillId="0" borderId="45" xfId="53" applyFont="1" applyFill="1" applyBorder="1" applyAlignment="1" quotePrefix="1">
      <alignment horizontal="center" vertical="center"/>
    </xf>
    <xf numFmtId="38" fontId="3" fillId="0" borderId="120" xfId="53" applyFont="1" applyFill="1" applyBorder="1" applyAlignment="1" quotePrefix="1">
      <alignment horizontal="center" vertical="center"/>
    </xf>
    <xf numFmtId="38" fontId="3" fillId="0" borderId="237" xfId="53" applyFont="1" applyFill="1" applyBorder="1" applyAlignment="1" quotePrefix="1">
      <alignment horizontal="center" vertical="center"/>
    </xf>
    <xf numFmtId="38" fontId="3" fillId="0" borderId="43" xfId="53" applyFont="1" applyFill="1" applyBorder="1" applyAlignment="1" quotePrefix="1">
      <alignment horizontal="center" vertical="center"/>
    </xf>
    <xf numFmtId="38" fontId="3" fillId="0" borderId="47" xfId="53" applyFont="1" applyFill="1" applyBorder="1" applyAlignment="1" quotePrefix="1">
      <alignment horizontal="center" vertical="center"/>
    </xf>
    <xf numFmtId="38" fontId="3" fillId="0" borderId="238" xfId="53" applyFont="1" applyFill="1" applyBorder="1" applyAlignment="1" quotePrefix="1">
      <alignment horizontal="center" vertical="center"/>
    </xf>
    <xf numFmtId="38" fontId="3" fillId="0" borderId="239" xfId="53" applyFont="1" applyFill="1" applyBorder="1" applyAlignment="1" quotePrefix="1">
      <alignment horizontal="center" vertical="center"/>
    </xf>
    <xf numFmtId="38" fontId="3" fillId="0" borderId="46" xfId="53" applyFont="1" applyFill="1" applyBorder="1" applyAlignment="1">
      <alignment horizontal="center" vertical="center"/>
    </xf>
    <xf numFmtId="0" fontId="7" fillId="0" borderId="45" xfId="65" applyBorder="1" applyAlignment="1">
      <alignment horizontal="center" vertical="center"/>
      <protection/>
    </xf>
    <xf numFmtId="0" fontId="7" fillId="0" borderId="19" xfId="65" applyBorder="1" applyAlignment="1">
      <alignment horizontal="center" vertical="center"/>
      <protection/>
    </xf>
    <xf numFmtId="0" fontId="7" fillId="0" borderId="237" xfId="65" applyBorder="1" applyAlignment="1">
      <alignment horizontal="center" vertical="center"/>
      <protection/>
    </xf>
    <xf numFmtId="38" fontId="3" fillId="0" borderId="41" xfId="53" applyFont="1" applyFill="1" applyBorder="1" applyAlignment="1" quotePrefix="1">
      <alignment horizontal="center" vertical="center"/>
    </xf>
    <xf numFmtId="38" fontId="3" fillId="0" borderId="19" xfId="53" applyFont="1" applyFill="1" applyBorder="1" applyAlignment="1" quotePrefix="1">
      <alignment horizontal="center" vertical="center"/>
    </xf>
    <xf numFmtId="38" fontId="3" fillId="0" borderId="100" xfId="53" applyFont="1" applyFill="1" applyBorder="1" applyAlignment="1" quotePrefix="1">
      <alignment horizontal="center" vertical="center"/>
    </xf>
    <xf numFmtId="190" fontId="3" fillId="35" borderId="44" xfId="53" applyNumberFormat="1" applyFont="1" applyFill="1" applyBorder="1" applyAlignment="1">
      <alignment horizontal="center" vertical="center" wrapText="1"/>
    </xf>
    <xf numFmtId="190" fontId="3" fillId="35" borderId="46"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42"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50" xfId="53" applyNumberFormat="1" applyFont="1" applyFill="1" applyBorder="1" applyAlignment="1">
      <alignment horizontal="center" vertical="center" wrapText="1"/>
    </xf>
    <xf numFmtId="0" fontId="7" fillId="35" borderId="120" xfId="65" applyFill="1" applyBorder="1" applyAlignment="1">
      <alignment horizontal="center" vertical="center" wrapText="1"/>
      <protection/>
    </xf>
    <xf numFmtId="0" fontId="7" fillId="35" borderId="19" xfId="65" applyFill="1" applyBorder="1" applyAlignment="1">
      <alignment horizontal="center" vertical="center" wrapText="1"/>
      <protection/>
    </xf>
    <xf numFmtId="0" fontId="7" fillId="35" borderId="239" xfId="65" applyFill="1" applyBorder="1" applyAlignment="1">
      <alignment horizontal="center" vertical="center" wrapText="1"/>
      <protection/>
    </xf>
    <xf numFmtId="10" fontId="11" fillId="0" borderId="240" xfId="43" applyNumberFormat="1" applyFont="1" applyFill="1" applyBorder="1" applyAlignment="1" applyProtection="1" quotePrefix="1">
      <alignment horizontal="center" vertical="center"/>
      <protection locked="0"/>
    </xf>
    <xf numFmtId="10" fontId="11" fillId="0" borderId="241" xfId="43" applyNumberFormat="1" applyFont="1" applyFill="1" applyBorder="1" applyAlignment="1" applyProtection="1" quotePrefix="1">
      <alignment horizontal="center" vertical="center"/>
      <protection locked="0"/>
    </xf>
    <xf numFmtId="10" fontId="11" fillId="0" borderId="242" xfId="43" applyNumberFormat="1" applyFont="1" applyFill="1" applyBorder="1" applyAlignment="1" applyProtection="1" quotePrefix="1">
      <alignment horizontal="center" vertical="center"/>
      <protection locked="0"/>
    </xf>
    <xf numFmtId="10" fontId="11" fillId="0" borderId="120" xfId="43" applyNumberFormat="1" applyFont="1" applyFill="1" applyBorder="1" applyAlignment="1" applyProtection="1" quotePrefix="1">
      <alignment horizontal="center" vertical="center"/>
      <protection locked="0"/>
    </xf>
    <xf numFmtId="10" fontId="11" fillId="0" borderId="19" xfId="43" applyNumberFormat="1" applyFont="1" applyFill="1" applyBorder="1" applyAlignment="1" applyProtection="1" quotePrefix="1">
      <alignment horizontal="center" vertical="center"/>
      <protection locked="0"/>
    </xf>
    <xf numFmtId="10" fontId="11" fillId="0" borderId="100" xfId="43" applyNumberFormat="1" applyFont="1" applyFill="1" applyBorder="1" applyAlignment="1" applyProtection="1" quotePrefix="1">
      <alignment horizontal="center" vertical="center"/>
      <protection locked="0"/>
    </xf>
    <xf numFmtId="202" fontId="11" fillId="0" borderId="241" xfId="43" applyNumberFormat="1" applyFont="1" applyFill="1" applyBorder="1" applyAlignment="1" applyProtection="1" quotePrefix="1">
      <alignment horizontal="center" vertical="center"/>
      <protection locked="0"/>
    </xf>
    <xf numFmtId="202" fontId="11" fillId="0" borderId="243" xfId="43" applyNumberFormat="1" applyFont="1" applyFill="1" applyBorder="1" applyAlignment="1" applyProtection="1" quotePrefix="1">
      <alignment horizontal="center" vertical="center"/>
      <protection locked="0"/>
    </xf>
    <xf numFmtId="202" fontId="11" fillId="0" borderId="120" xfId="43" applyNumberFormat="1" applyFont="1" applyFill="1" applyBorder="1" applyAlignment="1" applyProtection="1" quotePrefix="1">
      <alignment horizontal="center" vertical="center"/>
      <protection locked="0"/>
    </xf>
    <xf numFmtId="202" fontId="11" fillId="0" borderId="19" xfId="43" applyNumberFormat="1" applyFont="1" applyFill="1" applyBorder="1" applyAlignment="1" applyProtection="1" quotePrefix="1">
      <alignment horizontal="center" vertical="center"/>
      <protection locked="0"/>
    </xf>
    <xf numFmtId="202" fontId="11" fillId="0" borderId="239"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49" xfId="43" applyNumberFormat="1" applyFont="1" applyFill="1" applyBorder="1" applyAlignment="1" applyProtection="1" quotePrefix="1">
      <alignment horizontal="center" vertical="center"/>
      <protection locked="0"/>
    </xf>
    <xf numFmtId="203" fontId="11" fillId="0" borderId="50" xfId="43" applyNumberFormat="1" applyFont="1" applyFill="1" applyBorder="1" applyAlignment="1" applyProtection="1" quotePrefix="1">
      <alignment horizontal="center" vertical="center"/>
      <protection locked="0"/>
    </xf>
    <xf numFmtId="38" fontId="3" fillId="0" borderId="244" xfId="53" applyFont="1" applyFill="1" applyBorder="1" applyAlignment="1">
      <alignment horizontal="center" vertical="center"/>
    </xf>
    <xf numFmtId="38" fontId="3" fillId="0" borderId="245" xfId="53" applyFont="1" applyFill="1" applyBorder="1" applyAlignment="1">
      <alignment horizontal="center" vertical="center"/>
    </xf>
    <xf numFmtId="38" fontId="3" fillId="0" borderId="246" xfId="53" applyFont="1" applyFill="1" applyBorder="1" applyAlignment="1">
      <alignment horizontal="center" vertical="center"/>
    </xf>
    <xf numFmtId="38" fontId="3" fillId="0" borderId="247" xfId="53" applyFont="1" applyFill="1" applyBorder="1" applyAlignment="1">
      <alignment horizontal="center" vertical="center"/>
    </xf>
    <xf numFmtId="38" fontId="3" fillId="0" borderId="248" xfId="53" applyFont="1" applyFill="1" applyBorder="1" applyAlignment="1">
      <alignment horizontal="center" vertical="center"/>
    </xf>
    <xf numFmtId="38" fontId="3" fillId="0" borderId="19" xfId="53" applyFont="1" applyFill="1" applyBorder="1" applyAlignment="1">
      <alignment horizontal="center" vertical="center"/>
    </xf>
    <xf numFmtId="38" fontId="3" fillId="0" borderId="41" xfId="53" applyFont="1" applyFill="1" applyBorder="1" applyAlignment="1">
      <alignment horizontal="center" vertical="center"/>
    </xf>
    <xf numFmtId="38" fontId="3" fillId="0" borderId="120" xfId="53" applyFont="1" applyFill="1" applyBorder="1" applyAlignment="1">
      <alignment horizontal="center" vertical="center"/>
    </xf>
    <xf numFmtId="38" fontId="3" fillId="0" borderId="100" xfId="53" applyFont="1" applyFill="1" applyBorder="1" applyAlignment="1">
      <alignment horizontal="center" vertical="center"/>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49" xfId="53" applyFont="1" applyFill="1" applyBorder="1" applyAlignment="1">
      <alignment horizontal="left" vertical="center" wrapText="1"/>
    </xf>
    <xf numFmtId="38" fontId="3" fillId="0" borderId="250" xfId="53" applyFont="1" applyFill="1" applyBorder="1" applyAlignment="1">
      <alignment horizontal="center" vertical="center"/>
    </xf>
    <xf numFmtId="38" fontId="3" fillId="0" borderId="236" xfId="53" applyFont="1" applyFill="1" applyBorder="1" applyAlignment="1">
      <alignment horizontal="center" vertical="center"/>
    </xf>
    <xf numFmtId="38" fontId="3" fillId="0" borderId="251" xfId="53" applyFont="1" applyFill="1" applyBorder="1" applyAlignment="1">
      <alignment horizontal="center" vertical="center"/>
    </xf>
    <xf numFmtId="38" fontId="3" fillId="0" borderId="51"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49" xfId="53" applyFont="1" applyFill="1" applyBorder="1" applyAlignment="1">
      <alignment horizontal="center" vertical="center"/>
    </xf>
    <xf numFmtId="38" fontId="3" fillId="35" borderId="252" xfId="53" applyFont="1" applyFill="1" applyBorder="1" applyAlignment="1">
      <alignment horizontal="center" vertical="center"/>
    </xf>
    <xf numFmtId="38" fontId="3" fillId="35" borderId="253" xfId="53" applyFont="1" applyFill="1" applyBorder="1" applyAlignment="1">
      <alignment horizontal="center" vertical="center"/>
    </xf>
    <xf numFmtId="38" fontId="3" fillId="35" borderId="254" xfId="53" applyFont="1" applyFill="1" applyBorder="1" applyAlignment="1">
      <alignment horizontal="center" vertical="center"/>
    </xf>
    <xf numFmtId="0" fontId="7" fillId="35" borderId="253" xfId="65" applyFill="1" applyBorder="1" applyAlignment="1">
      <alignment horizontal="center" vertical="center"/>
      <protection/>
    </xf>
    <xf numFmtId="0" fontId="7" fillId="35" borderId="254" xfId="65" applyFill="1" applyBorder="1" applyAlignment="1">
      <alignment horizontal="center" vertical="center"/>
      <protection/>
    </xf>
    <xf numFmtId="38" fontId="3" fillId="35" borderId="39" xfId="53" applyFont="1" applyFill="1" applyBorder="1" applyAlignment="1">
      <alignment horizontal="center" vertical="center" wrapText="1"/>
    </xf>
    <xf numFmtId="38" fontId="3" fillId="35" borderId="46" xfId="53" applyFont="1" applyFill="1" applyBorder="1" applyAlignment="1">
      <alignment horizontal="center" vertical="center" wrapText="1"/>
    </xf>
    <xf numFmtId="38" fontId="3" fillId="35" borderId="40" xfId="53" applyFont="1" applyFill="1" applyBorder="1" applyAlignment="1">
      <alignment horizontal="center" vertical="center" wrapText="1"/>
    </xf>
    <xf numFmtId="38" fontId="3" fillId="35" borderId="52"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53" xfId="53" applyFont="1" applyFill="1" applyBorder="1" applyAlignment="1">
      <alignment horizontal="center" vertical="center" wrapText="1"/>
    </xf>
    <xf numFmtId="38" fontId="3" fillId="35" borderId="248" xfId="53" applyFont="1" applyFill="1" applyBorder="1" applyAlignment="1">
      <alignment horizontal="center" vertical="center" wrapText="1"/>
    </xf>
    <xf numFmtId="38" fontId="3" fillId="35" borderId="19" xfId="53" applyFont="1" applyFill="1" applyBorder="1" applyAlignment="1">
      <alignment horizontal="center" vertical="center" wrapText="1"/>
    </xf>
    <xf numFmtId="38" fontId="3" fillId="35" borderId="255" xfId="53" applyFont="1" applyFill="1" applyBorder="1" applyAlignment="1">
      <alignment horizontal="center" vertical="center" wrapText="1"/>
    </xf>
    <xf numFmtId="190" fontId="3" fillId="35" borderId="39" xfId="53" applyNumberFormat="1" applyFont="1" applyFill="1" applyBorder="1" applyAlignment="1">
      <alignment horizontal="center" vertical="center" wrapText="1"/>
    </xf>
    <xf numFmtId="190" fontId="3" fillId="35" borderId="52" xfId="53" applyNumberFormat="1" applyFont="1" applyFill="1" applyBorder="1" applyAlignment="1">
      <alignment horizontal="center" vertical="center" wrapText="1"/>
    </xf>
    <xf numFmtId="190" fontId="3" fillId="35" borderId="248" xfId="53" applyNumberFormat="1" applyFont="1" applyFill="1" applyBorder="1" applyAlignment="1">
      <alignment horizontal="center" vertical="center" wrapText="1"/>
    </xf>
    <xf numFmtId="190" fontId="3" fillId="35" borderId="19" xfId="53" applyNumberFormat="1" applyFont="1" applyFill="1" applyBorder="1" applyAlignment="1">
      <alignment horizontal="center" vertical="center" wrapText="1"/>
    </xf>
    <xf numFmtId="190" fontId="3" fillId="35" borderId="239" xfId="53" applyNumberFormat="1" applyFont="1" applyFill="1" applyBorder="1" applyAlignment="1">
      <alignment horizontal="center" vertical="center" wrapText="1"/>
    </xf>
    <xf numFmtId="190" fontId="3" fillId="35" borderId="256" xfId="53" applyNumberFormat="1" applyFont="1" applyFill="1" applyBorder="1" applyAlignment="1">
      <alignment horizontal="center" vertical="center" wrapText="1"/>
    </xf>
    <xf numFmtId="190" fontId="3" fillId="35" borderId="41" xfId="53" applyNumberFormat="1" applyFont="1" applyFill="1" applyBorder="1" applyAlignment="1">
      <alignment horizontal="center" vertical="center" wrapText="1"/>
    </xf>
    <xf numFmtId="190" fontId="3" fillId="35" borderId="51" xfId="53" applyNumberFormat="1" applyFont="1" applyFill="1" applyBorder="1" applyAlignment="1">
      <alignment horizontal="center" vertical="center" wrapText="1"/>
    </xf>
    <xf numFmtId="190" fontId="3" fillId="35" borderId="49" xfId="53" applyNumberFormat="1" applyFont="1" applyFill="1" applyBorder="1" applyAlignment="1">
      <alignment horizontal="center" vertical="center" wrapText="1"/>
    </xf>
    <xf numFmtId="0" fontId="7" fillId="35" borderId="257" xfId="65" applyFill="1" applyBorder="1" applyAlignment="1">
      <alignment horizontal="center" vertical="center" wrapText="1"/>
      <protection/>
    </xf>
    <xf numFmtId="0" fontId="7" fillId="35" borderId="100" xfId="65" applyFill="1" applyBorder="1" applyAlignment="1">
      <alignment horizontal="center" vertical="center" wrapText="1"/>
      <protection/>
    </xf>
    <xf numFmtId="38" fontId="3" fillId="0" borderId="0" xfId="53" applyFont="1" applyAlignment="1" applyProtection="1">
      <alignment horizontal="left" vertical="center"/>
      <protection locked="0"/>
    </xf>
    <xf numFmtId="38" fontId="8"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3" fillId="0" borderId="193" xfId="53" applyFont="1" applyFill="1" applyBorder="1" applyAlignment="1" applyProtection="1" quotePrefix="1">
      <alignment horizontal="center" vertical="center"/>
      <protection locked="0"/>
    </xf>
    <xf numFmtId="38" fontId="3" fillId="0" borderId="258" xfId="53" applyFont="1" applyFill="1" applyBorder="1" applyAlignment="1" applyProtection="1" quotePrefix="1">
      <alignment horizontal="center" vertical="center"/>
      <protection locked="0"/>
    </xf>
    <xf numFmtId="38" fontId="3" fillId="0" borderId="259" xfId="53" applyFont="1" applyFill="1" applyBorder="1" applyAlignment="1" applyProtection="1">
      <alignment horizontal="center" vertical="center"/>
      <protection locked="0"/>
    </xf>
    <xf numFmtId="0" fontId="7" fillId="0" borderId="260" xfId="65" applyBorder="1" applyAlignment="1" applyProtection="1">
      <alignment horizontal="center" vertical="center"/>
      <protection locked="0"/>
    </xf>
    <xf numFmtId="38" fontId="3" fillId="0" borderId="41" xfId="53" applyFont="1" applyFill="1" applyBorder="1" applyAlignment="1" applyProtection="1">
      <alignment horizontal="center" vertical="center"/>
      <protection locked="0"/>
    </xf>
    <xf numFmtId="38" fontId="3" fillId="0" borderId="100" xfId="53" applyFont="1" applyFill="1" applyBorder="1" applyAlignment="1" applyProtection="1" quotePrefix="1">
      <alignment horizontal="center" vertical="center"/>
      <protection locked="0"/>
    </xf>
    <xf numFmtId="38" fontId="3" fillId="0" borderId="261" xfId="53" applyFont="1" applyFill="1" applyBorder="1" applyAlignment="1" applyProtection="1">
      <alignment horizontal="center" vertical="center"/>
      <protection locked="0"/>
    </xf>
    <xf numFmtId="0" fontId="7" fillId="0" borderId="262" xfId="65" applyBorder="1" applyAlignment="1" applyProtection="1">
      <alignment horizontal="center" vertical="center"/>
      <protection locked="0"/>
    </xf>
    <xf numFmtId="38" fontId="3" fillId="0" borderId="47" xfId="53" applyFont="1" applyFill="1" applyBorder="1" applyAlignment="1" applyProtection="1">
      <alignment horizontal="center" vertical="center"/>
      <protection locked="0"/>
    </xf>
    <xf numFmtId="38" fontId="3" fillId="0" borderId="239" xfId="53" applyFont="1" applyFill="1" applyBorder="1" applyAlignment="1" applyProtection="1" quotePrefix="1">
      <alignment horizontal="center" vertical="center"/>
      <protection locked="0"/>
    </xf>
    <xf numFmtId="190" fontId="3" fillId="0" borderId="236" xfId="53" applyNumberFormat="1" applyFont="1" applyFill="1" applyBorder="1" applyAlignment="1" applyProtection="1">
      <alignment vertical="center" wrapText="1" shrinkToFit="1"/>
      <protection locked="0"/>
    </xf>
    <xf numFmtId="190" fontId="3" fillId="0" borderId="236"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190" fontId="3" fillId="34" borderId="44"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42" xfId="53" applyNumberFormat="1" applyFont="1" applyFill="1" applyBorder="1" applyAlignment="1" applyProtection="1">
      <alignment horizontal="center" vertical="center" wrapText="1"/>
      <protection locked="0"/>
    </xf>
    <xf numFmtId="190" fontId="3" fillId="34" borderId="50" xfId="53" applyNumberFormat="1" applyFont="1" applyFill="1" applyBorder="1" applyAlignment="1" applyProtection="1">
      <alignment horizontal="center" vertical="center" wrapText="1"/>
      <protection locked="0"/>
    </xf>
    <xf numFmtId="0" fontId="7" fillId="34" borderId="120" xfId="65" applyFill="1" applyBorder="1" applyAlignment="1" applyProtection="1">
      <alignment horizontal="center" vertical="center" wrapText="1"/>
      <protection locked="0"/>
    </xf>
    <xf numFmtId="0" fontId="7" fillId="34" borderId="239" xfId="65" applyFill="1" applyBorder="1" applyAlignment="1" applyProtection="1">
      <alignment horizontal="center" vertical="center" wrapText="1"/>
      <protection locked="0"/>
    </xf>
    <xf numFmtId="10" fontId="11" fillId="0" borderId="240" xfId="43" applyNumberFormat="1" applyFont="1" applyFill="1" applyBorder="1" applyAlignment="1" applyProtection="1" quotePrefix="1">
      <alignment horizontal="center" vertical="center"/>
      <protection/>
    </xf>
    <xf numFmtId="202" fontId="11" fillId="0" borderId="243" xfId="43" applyNumberFormat="1" applyFont="1" applyFill="1" applyBorder="1" applyAlignment="1" applyProtection="1" quotePrefix="1">
      <alignment horizontal="center" vertical="center"/>
      <protection/>
    </xf>
    <xf numFmtId="202" fontId="11" fillId="0" borderId="120" xfId="43" applyNumberFormat="1" applyFont="1" applyFill="1" applyBorder="1" applyAlignment="1" applyProtection="1" quotePrefix="1">
      <alignment horizontal="center" vertical="center"/>
      <protection/>
    </xf>
    <xf numFmtId="202" fontId="11" fillId="0" borderId="239" xfId="43" applyNumberFormat="1" applyFont="1" applyFill="1" applyBorder="1" applyAlignment="1" applyProtection="1" quotePrefix="1">
      <alignment horizontal="center" vertical="center"/>
      <protection/>
    </xf>
    <xf numFmtId="203" fontId="11" fillId="0" borderId="256" xfId="43" applyNumberFormat="1" applyFont="1" applyFill="1" applyBorder="1" applyAlignment="1" applyProtection="1" quotePrefix="1">
      <alignment horizontal="center" vertical="center"/>
      <protection locked="0"/>
    </xf>
    <xf numFmtId="203" fontId="11" fillId="0" borderId="41" xfId="43" applyNumberFormat="1" applyFont="1" applyFill="1" applyBorder="1" applyAlignment="1" applyProtection="1" quotePrefix="1">
      <alignment horizontal="center" vertical="center"/>
      <protection locked="0"/>
    </xf>
    <xf numFmtId="203" fontId="11" fillId="0" borderId="51" xfId="43" applyNumberFormat="1" applyFont="1" applyFill="1" applyBorder="1" applyAlignment="1" applyProtection="1" quotePrefix="1">
      <alignment horizontal="center" vertical="center"/>
      <protection locked="0"/>
    </xf>
    <xf numFmtId="38" fontId="3" fillId="0" borderId="244" xfId="53" applyFont="1" applyFill="1" applyBorder="1" applyAlignment="1" applyProtection="1">
      <alignment horizontal="center" vertical="center"/>
      <protection locked="0"/>
    </xf>
    <xf numFmtId="38" fontId="3" fillId="0" borderId="245" xfId="53" applyFont="1" applyFill="1" applyBorder="1" applyAlignment="1" applyProtection="1">
      <alignment horizontal="center" vertical="center"/>
      <protection locked="0"/>
    </xf>
    <xf numFmtId="38" fontId="3" fillId="0" borderId="246" xfId="53" applyFont="1" applyFill="1" applyBorder="1" applyAlignment="1" applyProtection="1">
      <alignment horizontal="center" vertical="center"/>
      <protection locked="0"/>
    </xf>
    <xf numFmtId="38" fontId="3" fillId="0" borderId="248" xfId="53" applyFont="1" applyFill="1" applyBorder="1" applyAlignment="1" applyProtection="1">
      <alignment horizontal="center" vertical="center"/>
      <protection locked="0"/>
    </xf>
    <xf numFmtId="38" fontId="3" fillId="0" borderId="46" xfId="53" applyFont="1" applyFill="1" applyBorder="1" applyAlignment="1" applyProtection="1">
      <alignment horizontal="center" vertical="center"/>
      <protection locked="0"/>
    </xf>
    <xf numFmtId="38" fontId="3" fillId="0" borderId="19" xfId="53" applyFont="1" applyFill="1" applyBorder="1" applyAlignment="1" applyProtection="1" quotePrefix="1">
      <alignment horizontal="center" vertical="center"/>
      <protection locked="0"/>
    </xf>
    <xf numFmtId="38" fontId="3" fillId="0" borderId="188" xfId="53" applyFont="1" applyFill="1" applyBorder="1" applyAlignment="1" applyProtection="1" quotePrefix="1">
      <alignment horizontal="center" vertical="center"/>
      <protection locked="0"/>
    </xf>
    <xf numFmtId="38" fontId="3" fillId="0" borderId="263" xfId="53" applyFont="1" applyFill="1" applyBorder="1" applyAlignment="1" applyProtection="1" quotePrefix="1">
      <alignment horizontal="center" vertical="center"/>
      <protection locked="0"/>
    </xf>
    <xf numFmtId="38" fontId="3" fillId="0" borderId="44" xfId="53" applyFont="1" applyFill="1" applyBorder="1" applyAlignment="1" applyProtection="1">
      <alignment horizontal="center" vertical="center"/>
      <protection locked="0"/>
    </xf>
    <xf numFmtId="38" fontId="3" fillId="0" borderId="120" xfId="53" applyFont="1" applyFill="1" applyBorder="1" applyAlignment="1" applyProtection="1" quotePrefix="1">
      <alignment horizontal="center" vertical="center"/>
      <protection locked="0"/>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49" xfId="53" applyFont="1" applyFill="1" applyBorder="1" applyAlignment="1" applyProtection="1">
      <alignment horizontal="left" vertical="center" wrapText="1"/>
      <protection locked="0"/>
    </xf>
    <xf numFmtId="38" fontId="3" fillId="0" borderId="250" xfId="53" applyFont="1" applyFill="1" applyBorder="1" applyAlignment="1" applyProtection="1">
      <alignment horizontal="center" vertical="center"/>
      <protection locked="0"/>
    </xf>
    <xf numFmtId="38" fontId="3" fillId="0" borderId="236" xfId="53" applyFont="1" applyFill="1" applyBorder="1" applyAlignment="1" applyProtection="1">
      <alignment horizontal="center" vertical="center"/>
      <protection locked="0"/>
    </xf>
    <xf numFmtId="38" fontId="3" fillId="0" borderId="51"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264" xfId="53" applyFont="1" applyFill="1" applyBorder="1" applyAlignment="1" applyProtection="1">
      <alignment horizontal="center" vertical="center"/>
      <protection locked="0"/>
    </xf>
    <xf numFmtId="38" fontId="3" fillId="0" borderId="251" xfId="53" applyFont="1" applyFill="1" applyBorder="1" applyAlignment="1" applyProtection="1">
      <alignment horizontal="center" vertical="center"/>
      <protection locked="0"/>
    </xf>
    <xf numFmtId="38" fontId="3" fillId="0" borderId="42" xfId="53" applyFont="1" applyFill="1" applyBorder="1" applyAlignment="1" applyProtection="1">
      <alignment horizontal="center" vertical="center"/>
      <protection locked="0"/>
    </xf>
    <xf numFmtId="38" fontId="3" fillId="0" borderId="49" xfId="53" applyFont="1" applyFill="1" applyBorder="1" applyAlignment="1" applyProtection="1">
      <alignment horizontal="center" vertical="center"/>
      <protection locked="0"/>
    </xf>
    <xf numFmtId="38" fontId="3" fillId="0" borderId="120" xfId="53" applyFont="1" applyFill="1" applyBorder="1" applyAlignment="1" applyProtection="1">
      <alignment horizontal="center" vertical="center"/>
      <protection locked="0"/>
    </xf>
    <xf numFmtId="38" fontId="3" fillId="0" borderId="100" xfId="53" applyFont="1" applyFill="1" applyBorder="1" applyAlignment="1" applyProtection="1">
      <alignment horizontal="center" vertical="center"/>
      <protection locked="0"/>
    </xf>
    <xf numFmtId="38" fontId="3" fillId="34" borderId="253" xfId="53" applyFont="1" applyFill="1" applyBorder="1" applyAlignment="1" applyProtection="1">
      <alignment horizontal="center" vertical="center"/>
      <protection locked="0"/>
    </xf>
    <xf numFmtId="0" fontId="7" fillId="34" borderId="253" xfId="65" applyFill="1" applyBorder="1" applyAlignment="1" applyProtection="1">
      <alignment horizontal="center" vertical="center"/>
      <protection locked="0"/>
    </xf>
    <xf numFmtId="0" fontId="7" fillId="34" borderId="254" xfId="65" applyFill="1" applyBorder="1" applyAlignment="1" applyProtection="1">
      <alignment horizontal="center" vertical="center"/>
      <protection locked="0"/>
    </xf>
    <xf numFmtId="38" fontId="3" fillId="34" borderId="46"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19" xfId="53" applyFont="1" applyFill="1" applyBorder="1" applyAlignment="1" applyProtection="1">
      <alignment horizontal="center" vertical="center" wrapText="1"/>
      <protection locked="0"/>
    </xf>
    <xf numFmtId="190" fontId="3" fillId="34" borderId="39" xfId="53" applyNumberFormat="1" applyFont="1" applyFill="1" applyBorder="1" applyAlignment="1" applyProtection="1">
      <alignment horizontal="center" vertical="center" wrapText="1"/>
      <protection locked="0"/>
    </xf>
    <xf numFmtId="190" fontId="3" fillId="34" borderId="52" xfId="53" applyNumberFormat="1" applyFont="1" applyFill="1" applyBorder="1" applyAlignment="1" applyProtection="1">
      <alignment horizontal="center" vertical="center" wrapText="1"/>
      <protection locked="0"/>
    </xf>
    <xf numFmtId="190" fontId="3" fillId="34" borderId="248" xfId="53" applyNumberFormat="1" applyFont="1" applyFill="1" applyBorder="1" applyAlignment="1" applyProtection="1">
      <alignment horizontal="center" vertical="center" wrapText="1"/>
      <protection locked="0"/>
    </xf>
    <xf numFmtId="190" fontId="3" fillId="34" borderId="239" xfId="53" applyNumberFormat="1" applyFont="1" applyFill="1" applyBorder="1" applyAlignment="1" applyProtection="1">
      <alignment horizontal="center" vertical="center" wrapText="1"/>
      <protection locked="0"/>
    </xf>
    <xf numFmtId="190" fontId="3" fillId="34" borderId="46"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0" fontId="7" fillId="34" borderId="19" xfId="65" applyFill="1" applyBorder="1" applyAlignment="1" applyProtection="1">
      <alignment horizontal="center" vertical="center" wrapText="1"/>
      <protection locked="0"/>
    </xf>
    <xf numFmtId="38" fontId="3" fillId="0" borderId="45" xfId="53" applyFont="1" applyFill="1" applyBorder="1" applyAlignment="1" applyProtection="1" quotePrefix="1">
      <alignment horizontal="center" vertical="center"/>
      <protection locked="0"/>
    </xf>
    <xf numFmtId="38" fontId="3" fillId="0" borderId="237" xfId="53" applyFont="1" applyFill="1" applyBorder="1" applyAlignment="1" applyProtection="1" quotePrefix="1">
      <alignment horizontal="center" vertical="center"/>
      <protection locked="0"/>
    </xf>
    <xf numFmtId="38" fontId="3" fillId="0" borderId="43" xfId="53" applyFont="1" applyFill="1" applyBorder="1" applyAlignment="1" applyProtection="1" quotePrefix="1">
      <alignment horizontal="center" vertical="center"/>
      <protection locked="0"/>
    </xf>
    <xf numFmtId="38" fontId="3" fillId="0" borderId="47" xfId="53" applyFont="1" applyFill="1" applyBorder="1" applyAlignment="1" applyProtection="1" quotePrefix="1">
      <alignment horizontal="center" vertical="center"/>
      <protection locked="0"/>
    </xf>
    <xf numFmtId="38" fontId="3" fillId="0" borderId="238" xfId="53" applyFont="1" applyFill="1" applyBorder="1" applyAlignment="1" applyProtection="1" quotePrefix="1">
      <alignment horizontal="center" vertical="center"/>
      <protection locked="0"/>
    </xf>
    <xf numFmtId="0" fontId="7" fillId="0" borderId="45" xfId="65" applyBorder="1" applyAlignment="1" applyProtection="1">
      <alignment horizontal="center" vertical="center"/>
      <protection locked="0"/>
    </xf>
    <xf numFmtId="0" fontId="7" fillId="0" borderId="19" xfId="65" applyBorder="1" applyAlignment="1" applyProtection="1">
      <alignment horizontal="center" vertical="center"/>
      <protection locked="0"/>
    </xf>
    <xf numFmtId="0" fontId="7" fillId="0" borderId="237" xfId="65" applyBorder="1" applyAlignment="1" applyProtection="1">
      <alignment horizontal="center" vertical="center"/>
      <protection locked="0"/>
    </xf>
    <xf numFmtId="38" fontId="3" fillId="0" borderId="41" xfId="53" applyFont="1" applyFill="1" applyBorder="1" applyAlignment="1" applyProtection="1" quotePrefix="1">
      <alignment horizontal="center" vertical="center"/>
      <protection locked="0"/>
    </xf>
    <xf numFmtId="190" fontId="3" fillId="12" borderId="44" xfId="53" applyNumberFormat="1" applyFont="1" applyFill="1" applyBorder="1" applyAlignment="1" applyProtection="1">
      <alignment horizontal="center" vertical="center" wrapText="1"/>
      <protection locked="0"/>
    </xf>
    <xf numFmtId="190" fontId="3" fillId="12" borderId="46"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42"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50" xfId="53" applyNumberFormat="1" applyFont="1" applyFill="1" applyBorder="1" applyAlignment="1" applyProtection="1">
      <alignment horizontal="center" vertical="center" wrapText="1"/>
      <protection locked="0"/>
    </xf>
    <xf numFmtId="0" fontId="7" fillId="12" borderId="120" xfId="65" applyFill="1" applyBorder="1" applyAlignment="1" applyProtection="1">
      <alignment horizontal="center" vertical="center" wrapText="1"/>
      <protection locked="0"/>
    </xf>
    <xf numFmtId="0" fontId="7" fillId="12" borderId="19" xfId="65" applyFill="1" applyBorder="1" applyAlignment="1" applyProtection="1">
      <alignment horizontal="center" vertical="center" wrapText="1"/>
      <protection locked="0"/>
    </xf>
    <xf numFmtId="0" fontId="7" fillId="12" borderId="239" xfId="65" applyFill="1" applyBorder="1" applyAlignment="1" applyProtection="1">
      <alignment horizontal="center" vertical="center" wrapText="1"/>
      <protection locked="0"/>
    </xf>
    <xf numFmtId="202" fontId="11" fillId="0" borderId="241" xfId="43" applyNumberFormat="1" applyFont="1" applyFill="1" applyBorder="1" applyAlignment="1" applyProtection="1" quotePrefix="1">
      <alignment horizontal="center" vertical="center"/>
      <protection/>
    </xf>
    <xf numFmtId="202" fontId="11" fillId="0" borderId="19" xfId="43" applyNumberFormat="1" applyFont="1" applyFill="1" applyBorder="1" applyAlignment="1" applyProtection="1" quotePrefix="1">
      <alignment horizontal="center" vertical="center"/>
      <protection/>
    </xf>
    <xf numFmtId="38" fontId="3" fillId="0" borderId="247" xfId="53" applyFont="1" applyFill="1" applyBorder="1" applyAlignment="1" applyProtection="1">
      <alignment horizontal="center" vertical="center"/>
      <protection locked="0"/>
    </xf>
    <xf numFmtId="38" fontId="3" fillId="0" borderId="19" xfId="53" applyFont="1" applyFill="1" applyBorder="1" applyAlignment="1" applyProtection="1">
      <alignment horizontal="center" vertical="center"/>
      <protection locked="0"/>
    </xf>
    <xf numFmtId="38" fontId="3" fillId="12" borderId="252" xfId="53" applyFont="1" applyFill="1" applyBorder="1" applyAlignment="1" applyProtection="1">
      <alignment horizontal="center" vertical="center"/>
      <protection locked="0"/>
    </xf>
    <xf numFmtId="38" fontId="3" fillId="12" borderId="253" xfId="53" applyFont="1" applyFill="1" applyBorder="1" applyAlignment="1" applyProtection="1">
      <alignment horizontal="center" vertical="center"/>
      <protection locked="0"/>
    </xf>
    <xf numFmtId="38" fontId="3" fillId="12" borderId="254" xfId="53" applyFont="1" applyFill="1" applyBorder="1" applyAlignment="1" applyProtection="1">
      <alignment horizontal="center" vertical="center"/>
      <protection locked="0"/>
    </xf>
    <xf numFmtId="0" fontId="7" fillId="12" borderId="253" xfId="65" applyFill="1" applyBorder="1" applyAlignment="1" applyProtection="1">
      <alignment horizontal="center" vertical="center"/>
      <protection locked="0"/>
    </xf>
    <xf numFmtId="0" fontId="7" fillId="12" borderId="254" xfId="65" applyFill="1" applyBorder="1" applyAlignment="1" applyProtection="1">
      <alignment horizontal="center" vertical="center"/>
      <protection locked="0"/>
    </xf>
    <xf numFmtId="38" fontId="3" fillId="12" borderId="39" xfId="53" applyFont="1" applyFill="1" applyBorder="1" applyAlignment="1" applyProtection="1">
      <alignment horizontal="center" vertical="center" wrapText="1"/>
      <protection locked="0"/>
    </xf>
    <xf numFmtId="38" fontId="3" fillId="12" borderId="46" xfId="53" applyFont="1" applyFill="1" applyBorder="1" applyAlignment="1" applyProtection="1">
      <alignment horizontal="center" vertical="center" wrapText="1"/>
      <protection locked="0"/>
    </xf>
    <xf numFmtId="38" fontId="3" fillId="12" borderId="40" xfId="53" applyFont="1" applyFill="1" applyBorder="1" applyAlignment="1" applyProtection="1">
      <alignment horizontal="center" vertical="center" wrapText="1"/>
      <protection locked="0"/>
    </xf>
    <xf numFmtId="38" fontId="3" fillId="12" borderId="52"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53" xfId="53" applyFont="1" applyFill="1" applyBorder="1" applyAlignment="1" applyProtection="1">
      <alignment horizontal="center" vertical="center" wrapText="1"/>
      <protection locked="0"/>
    </xf>
    <xf numFmtId="38" fontId="3" fillId="12" borderId="248" xfId="53" applyFont="1" applyFill="1" applyBorder="1" applyAlignment="1" applyProtection="1">
      <alignment horizontal="center" vertical="center" wrapText="1"/>
      <protection locked="0"/>
    </xf>
    <xf numFmtId="38" fontId="3" fillId="12" borderId="19" xfId="53" applyFont="1" applyFill="1" applyBorder="1" applyAlignment="1" applyProtection="1">
      <alignment horizontal="center" vertical="center" wrapText="1"/>
      <protection locked="0"/>
    </xf>
    <xf numFmtId="38" fontId="3" fillId="12" borderId="255" xfId="53" applyFont="1" applyFill="1" applyBorder="1" applyAlignment="1" applyProtection="1">
      <alignment horizontal="center" vertical="center" wrapText="1"/>
      <protection locked="0"/>
    </xf>
    <xf numFmtId="190" fontId="3" fillId="12" borderId="39" xfId="53" applyNumberFormat="1" applyFont="1" applyFill="1" applyBorder="1" applyAlignment="1" applyProtection="1">
      <alignment horizontal="center" vertical="center" wrapText="1"/>
      <protection locked="0"/>
    </xf>
    <xf numFmtId="190" fontId="3" fillId="12" borderId="52" xfId="53" applyNumberFormat="1" applyFont="1" applyFill="1" applyBorder="1" applyAlignment="1" applyProtection="1">
      <alignment horizontal="center" vertical="center" wrapText="1"/>
      <protection locked="0"/>
    </xf>
    <xf numFmtId="190" fontId="3" fillId="12" borderId="248" xfId="53" applyNumberFormat="1" applyFont="1" applyFill="1" applyBorder="1" applyAlignment="1" applyProtection="1">
      <alignment horizontal="center" vertical="center" wrapText="1"/>
      <protection locked="0"/>
    </xf>
    <xf numFmtId="190" fontId="3" fillId="12" borderId="19" xfId="53" applyNumberFormat="1" applyFont="1" applyFill="1" applyBorder="1" applyAlignment="1" applyProtection="1">
      <alignment horizontal="center" vertical="center" wrapText="1"/>
      <protection locked="0"/>
    </xf>
    <xf numFmtId="190" fontId="3" fillId="12" borderId="239" xfId="53" applyNumberFormat="1" applyFont="1" applyFill="1" applyBorder="1" applyAlignment="1" applyProtection="1">
      <alignment horizontal="center" vertical="center" wrapText="1"/>
      <protection locked="0"/>
    </xf>
    <xf numFmtId="190" fontId="3" fillId="12" borderId="256" xfId="53" applyNumberFormat="1" applyFont="1" applyFill="1" applyBorder="1" applyAlignment="1" applyProtection="1">
      <alignment horizontal="center" vertical="center" wrapText="1"/>
      <protection locked="0"/>
    </xf>
    <xf numFmtId="190" fontId="3" fillId="12" borderId="41" xfId="53" applyNumberFormat="1" applyFont="1" applyFill="1" applyBorder="1" applyAlignment="1" applyProtection="1">
      <alignment horizontal="center" vertical="center" wrapText="1"/>
      <protection locked="0"/>
    </xf>
    <xf numFmtId="190" fontId="3" fillId="12" borderId="51" xfId="53" applyNumberFormat="1" applyFont="1" applyFill="1" applyBorder="1" applyAlignment="1" applyProtection="1">
      <alignment horizontal="center" vertical="center" wrapText="1"/>
      <protection locked="0"/>
    </xf>
    <xf numFmtId="190" fontId="3" fillId="12" borderId="49" xfId="53" applyNumberFormat="1" applyFont="1" applyFill="1" applyBorder="1" applyAlignment="1" applyProtection="1">
      <alignment horizontal="center" vertical="center" wrapText="1"/>
      <protection locked="0"/>
    </xf>
    <xf numFmtId="0" fontId="7" fillId="12" borderId="257" xfId="65" applyFill="1" applyBorder="1" applyAlignment="1" applyProtection="1">
      <alignment horizontal="center" vertical="center" wrapText="1"/>
      <protection locked="0"/>
    </xf>
    <xf numFmtId="0" fontId="7" fillId="12" borderId="100" xfId="65"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9">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31</xdr:row>
      <xdr:rowOff>0</xdr:rowOff>
    </xdr:from>
    <xdr:to>
      <xdr:col>20</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040850" y="12392025"/>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059900" y="12392025"/>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078950" y="1239202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67</xdr:row>
      <xdr:rowOff>19050</xdr:rowOff>
    </xdr:from>
    <xdr:to>
      <xdr:col>4</xdr:col>
      <xdr:colOff>238125</xdr:colOff>
      <xdr:row>72</xdr:row>
      <xdr:rowOff>133350</xdr:rowOff>
    </xdr:to>
    <xdr:sp>
      <xdr:nvSpPr>
        <xdr:cNvPr id="1" name="右中かっこ 1"/>
        <xdr:cNvSpPr>
          <a:spLocks/>
        </xdr:cNvSpPr>
      </xdr:nvSpPr>
      <xdr:spPr>
        <a:xfrm>
          <a:off x="3038475" y="13087350"/>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32</xdr:row>
      <xdr:rowOff>0</xdr:rowOff>
    </xdr:from>
    <xdr:to>
      <xdr:col>10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477500" y="10058400"/>
          <a:ext cx="9525" cy="9525"/>
        </a:xfrm>
        <a:prstGeom prst="rect">
          <a:avLst/>
        </a:prstGeom>
        <a:noFill/>
        <a:ln w="9525" cmpd="sng">
          <a:noFill/>
        </a:ln>
      </xdr:spPr>
    </xdr:pic>
    <xdr:clientData/>
  </xdr:twoCellAnchor>
  <xdr:twoCellAnchor editAs="oneCell">
    <xdr:from>
      <xdr:col>10</xdr:col>
      <xdr:colOff>0</xdr:colOff>
      <xdr:row>32</xdr:row>
      <xdr:rowOff>0</xdr:rowOff>
    </xdr:from>
    <xdr:to>
      <xdr:col>10</xdr:col>
      <xdr:colOff>9525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477500" y="10058400"/>
          <a:ext cx="9525" cy="9525"/>
        </a:xfrm>
        <a:prstGeom prst="rect">
          <a:avLst/>
        </a:prstGeom>
        <a:noFill/>
        <a:ln w="9525" cmpd="sng">
          <a:noFill/>
        </a:ln>
      </xdr:spPr>
    </xdr:pic>
    <xdr:clientData/>
  </xdr:twoCellAnchor>
  <xdr:twoCellAnchor editAs="oneCell">
    <xdr:from>
      <xdr:col>10</xdr:col>
      <xdr:colOff>0</xdr:colOff>
      <xdr:row>32</xdr:row>
      <xdr:rowOff>0</xdr:rowOff>
    </xdr:from>
    <xdr:to>
      <xdr:col>10</xdr:col>
      <xdr:colOff>9525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477500" y="100584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H50"/>
  <sheetViews>
    <sheetView showGridLines="0" zoomScale="66" zoomScaleNormal="66" zoomScaleSheetLayoutView="59" zoomScalePageLayoutView="66" workbookViewId="0" topLeftCell="A4">
      <selection activeCell="E19" sqref="E19"/>
    </sheetView>
  </sheetViews>
  <sheetFormatPr defaultColWidth="9.140625" defaultRowHeight="15"/>
  <cols>
    <col min="1" max="1" width="4.421875" style="116" customWidth="1"/>
    <col min="2" max="2" width="9.421875" style="116" customWidth="1"/>
    <col min="3" max="3" width="25.57421875" style="116" customWidth="1"/>
    <col min="4" max="4" width="19.28125" style="116" customWidth="1"/>
    <col min="5" max="5" width="21.28125" style="116" customWidth="1"/>
    <col min="6" max="6" width="27.57421875" style="116" bestFit="1" customWidth="1"/>
    <col min="7" max="7" width="9.00390625" style="116" customWidth="1"/>
    <col min="8" max="8" width="21.7109375" style="116" customWidth="1"/>
    <col min="9" max="9" width="18.00390625" style="116" customWidth="1"/>
    <col min="10" max="10" width="17.421875" style="116" customWidth="1"/>
    <col min="11" max="11" width="19.57421875" style="116" customWidth="1"/>
    <col min="12" max="12" width="18.421875" style="116" customWidth="1"/>
    <col min="13" max="13" width="11.57421875" style="116" customWidth="1"/>
    <col min="14" max="15" width="4.00390625" style="116" customWidth="1"/>
    <col min="16" max="16" width="10.421875" style="116" customWidth="1"/>
    <col min="17" max="17" width="25.00390625" style="653" customWidth="1"/>
    <col min="18" max="18" width="19.57421875" style="592" customWidth="1"/>
    <col min="19" max="19" width="19.28125" style="116" customWidth="1"/>
    <col min="20" max="20" width="25.00390625" style="116" customWidth="1"/>
    <col min="21" max="21" width="27.28125" style="116" customWidth="1"/>
    <col min="22" max="22" width="29.7109375" style="116" customWidth="1"/>
    <col min="23" max="23" width="19.00390625" style="116" customWidth="1"/>
    <col min="24" max="24" width="12.421875" style="116" customWidth="1"/>
    <col min="25" max="25" width="22.28125" style="116" customWidth="1"/>
    <col min="26" max="26" width="16.140625" style="116" bestFit="1" customWidth="1"/>
    <col min="27" max="27" width="16.7109375" style="116" customWidth="1"/>
    <col min="28" max="28" width="6.8515625" style="116" customWidth="1"/>
    <col min="29" max="29" width="12.8515625" style="116" customWidth="1"/>
    <col min="30" max="30" width="8.421875" style="116" customWidth="1"/>
    <col min="31" max="31" width="18.421875" style="116" customWidth="1"/>
    <col min="32" max="32" width="8.7109375" style="116" customWidth="1"/>
    <col min="33" max="33" width="16.8515625" style="116" customWidth="1"/>
    <col min="34" max="34" width="9.140625" style="116" bestFit="1" customWidth="1"/>
    <col min="35" max="16384" width="9.00390625" style="116" customWidth="1"/>
  </cols>
  <sheetData>
    <row r="1" spans="2:34" ht="39.75" customHeight="1">
      <c r="B1" s="647" t="s">
        <v>297</v>
      </c>
      <c r="C1" s="646"/>
      <c r="D1" s="646"/>
      <c r="E1" s="646"/>
      <c r="F1" s="646"/>
      <c r="G1" s="646"/>
      <c r="H1" s="646"/>
      <c r="I1" s="646"/>
      <c r="J1" s="646"/>
      <c r="K1" s="646"/>
      <c r="L1" s="646"/>
      <c r="M1" s="646"/>
      <c r="N1" s="646"/>
      <c r="P1" s="606"/>
      <c r="Q1" s="874" t="s">
        <v>225</v>
      </c>
      <c r="R1" s="595" t="s">
        <v>254</v>
      </c>
      <c r="S1" s="596" t="s">
        <v>280</v>
      </c>
      <c r="T1" s="594" t="s">
        <v>274</v>
      </c>
      <c r="U1" s="597" t="s">
        <v>266</v>
      </c>
      <c r="V1" s="596" t="s">
        <v>280</v>
      </c>
      <c r="W1" s="598" t="s">
        <v>291</v>
      </c>
      <c r="X1" s="598" t="s">
        <v>275</v>
      </c>
      <c r="Y1" s="595" t="s">
        <v>269</v>
      </c>
      <c r="Z1" s="596" t="s">
        <v>279</v>
      </c>
      <c r="AA1" s="599" t="s">
        <v>62</v>
      </c>
      <c r="AB1" s="600" t="s">
        <v>225</v>
      </c>
      <c r="AC1" s="600" t="s">
        <v>59</v>
      </c>
      <c r="AD1" s="600" t="s">
        <v>225</v>
      </c>
      <c r="AE1" s="600" t="s">
        <v>283</v>
      </c>
      <c r="AF1" s="600" t="s">
        <v>225</v>
      </c>
      <c r="AG1" s="600" t="s">
        <v>284</v>
      </c>
      <c r="AH1" s="600" t="s">
        <v>225</v>
      </c>
    </row>
    <row r="2" spans="2:34" ht="25.5">
      <c r="B2" s="888" t="s">
        <v>296</v>
      </c>
      <c r="C2" s="889"/>
      <c r="D2" s="890"/>
      <c r="E2" s="890"/>
      <c r="F2" s="891"/>
      <c r="G2" s="891" t="s">
        <v>355</v>
      </c>
      <c r="H2" s="891"/>
      <c r="I2" s="891"/>
      <c r="J2" s="891"/>
      <c r="K2" s="891"/>
      <c r="L2" s="819" t="s">
        <v>249</v>
      </c>
      <c r="M2" s="646"/>
      <c r="P2" s="606" t="s">
        <v>282</v>
      </c>
      <c r="Q2" s="875" t="e">
        <f>IF(R2-S2&gt;=0,"○","×")</f>
        <v>#REF!</v>
      </c>
      <c r="R2" s="602">
        <v>15000000</v>
      </c>
      <c r="S2" s="603" t="e">
        <f>J28</f>
        <v>#REF!</v>
      </c>
      <c r="T2" s="601" t="str">
        <f>IF($H$18&gt;=500000,"○","×")</f>
        <v>×</v>
      </c>
      <c r="U2" s="869" t="s">
        <v>276</v>
      </c>
      <c r="V2" s="603">
        <f>$H$18</f>
        <v>0</v>
      </c>
      <c r="W2" s="604">
        <f>$H$28-$H$18</f>
        <v>0</v>
      </c>
      <c r="X2" s="605" t="e">
        <f>IF($J$28-$J$18&lt;=5000000,"○","×")</f>
        <v>#REF!</v>
      </c>
      <c r="Y2" s="870" t="s">
        <v>270</v>
      </c>
      <c r="Z2" s="603" t="e">
        <f>$J$28-$J$18</f>
        <v>#REF!</v>
      </c>
      <c r="AA2" s="607">
        <f>$H$21</f>
        <v>0</v>
      </c>
      <c r="AB2" s="608" t="str">
        <f>IF($H$28/2-$H$21&gt;=0,"○","×")</f>
        <v>○</v>
      </c>
      <c r="AC2" s="609">
        <f>$H$22</f>
        <v>0</v>
      </c>
      <c r="AD2" s="608" t="str">
        <f>IF($H$28/2-$H$22&gt;=0,"○","×")</f>
        <v>○</v>
      </c>
      <c r="AE2" s="609">
        <f>AA2+AC2</f>
        <v>0</v>
      </c>
      <c r="AF2" s="608" t="str">
        <f>IF($H$28/2-($H$21+$H$22)&gt;=0,"○","×")</f>
        <v>○</v>
      </c>
      <c r="AG2" s="609">
        <f>$H$23</f>
        <v>0</v>
      </c>
      <c r="AH2" s="608" t="str">
        <f>IF($H$28/3-$H$23&gt;=0,"○","×")</f>
        <v>○</v>
      </c>
    </row>
    <row r="3" spans="2:34" ht="24">
      <c r="B3" s="1215" t="s">
        <v>225</v>
      </c>
      <c r="C3" s="848"/>
      <c r="D3" s="897"/>
      <c r="E3" s="736"/>
      <c r="G3" s="910" t="s">
        <v>225</v>
      </c>
      <c r="H3" s="1212" t="s">
        <v>287</v>
      </c>
      <c r="I3" s="1213"/>
      <c r="J3" s="1213"/>
      <c r="K3" s="1214"/>
      <c r="L3" s="819" t="s">
        <v>257</v>
      </c>
      <c r="P3" s="606" t="s">
        <v>264</v>
      </c>
      <c r="Q3" s="875" t="e">
        <f>IF(R3-S3&gt;=0,"○","×")</f>
        <v>#REF!</v>
      </c>
      <c r="R3" s="602">
        <v>10000000</v>
      </c>
      <c r="S3" s="603" t="e">
        <f>J28</f>
        <v>#REF!</v>
      </c>
      <c r="T3" s="601" t="str">
        <f>IF($H$18&gt;=500000,"○","×")</f>
        <v>×</v>
      </c>
      <c r="U3" s="869" t="s">
        <v>276</v>
      </c>
      <c r="V3" s="603">
        <f>$H$18</f>
        <v>0</v>
      </c>
      <c r="W3" s="604">
        <f>$H$28-$H$18</f>
        <v>0</v>
      </c>
      <c r="X3" s="605" t="e">
        <f>IF($J$28-$J$18&lt;=5000000,"○","×")</f>
        <v>#REF!</v>
      </c>
      <c r="Y3" s="871" t="s">
        <v>270</v>
      </c>
      <c r="Z3" s="603" t="e">
        <f>$J$28-$J$18</f>
        <v>#REF!</v>
      </c>
      <c r="AA3" s="607">
        <f>$H$21</f>
        <v>0</v>
      </c>
      <c r="AB3" s="608" t="str">
        <f>IF($H$28/2-$H$21&gt;=0,"○","×")</f>
        <v>○</v>
      </c>
      <c r="AC3" s="609">
        <f>$H$22</f>
        <v>0</v>
      </c>
      <c r="AD3" s="608" t="str">
        <f>IF($H$28/2-$H$22&gt;=0,"○","×")</f>
        <v>○</v>
      </c>
      <c r="AE3" s="609">
        <f>AA3+AC3</f>
        <v>0</v>
      </c>
      <c r="AF3" s="608" t="str">
        <f>IF($H$28/2-($H$21+$H$22)&gt;=0,"○","×")</f>
        <v>○</v>
      </c>
      <c r="AG3" s="609">
        <f>$H$23</f>
        <v>0</v>
      </c>
      <c r="AH3" s="608" t="str">
        <f>IF($H$28/3-$H$23&gt;=0,"○","×")</f>
        <v>○</v>
      </c>
    </row>
    <row r="4" spans="2:34" ht="35.25" thickBot="1">
      <c r="B4" s="1216"/>
      <c r="C4" s="585" t="s">
        <v>255</v>
      </c>
      <c r="D4" s="879" t="e">
        <f>IF(OR(#REF!="○",#REF!="○"),"成長分野型",IF(OR(#REF!="○",#REF!="○"),"一般型","小規模事業者型"))</f>
        <v>#REF!</v>
      </c>
      <c r="E4" s="824"/>
      <c r="F4" s="592"/>
      <c r="G4" s="862"/>
      <c r="H4" s="585" t="s">
        <v>286</v>
      </c>
      <c r="I4" s="126"/>
      <c r="J4" s="126"/>
      <c r="K4" s="666"/>
      <c r="L4" s="872"/>
      <c r="M4" s="872"/>
      <c r="N4" s="872"/>
      <c r="O4" s="872"/>
      <c r="P4" s="606" t="s">
        <v>265</v>
      </c>
      <c r="Q4" s="876" t="e">
        <f>IF(R4-S4&gt;=0,"○","×")</f>
        <v>#REF!</v>
      </c>
      <c r="R4" s="611">
        <v>7000000</v>
      </c>
      <c r="S4" s="612" t="e">
        <f>J28</f>
        <v>#REF!</v>
      </c>
      <c r="T4" s="610" t="str">
        <f>IF($H$18&lt;500000,"○","×")</f>
        <v>○</v>
      </c>
      <c r="U4" s="869" t="s">
        <v>277</v>
      </c>
      <c r="V4" s="612">
        <f>$H$18</f>
        <v>0</v>
      </c>
      <c r="W4" s="613">
        <f>E7</f>
        <v>0</v>
      </c>
      <c r="X4" s="614" t="s">
        <v>273</v>
      </c>
      <c r="Y4" s="615" t="s">
        <v>273</v>
      </c>
      <c r="Z4" s="616" t="s">
        <v>281</v>
      </c>
      <c r="AA4" s="607">
        <f>$H$21</f>
        <v>0</v>
      </c>
      <c r="AB4" s="608" t="str">
        <f>IF($H$28/2-$H$21&gt;=0,"○","×")</f>
        <v>○</v>
      </c>
      <c r="AC4" s="609">
        <f>$H$22</f>
        <v>0</v>
      </c>
      <c r="AD4" s="608" t="str">
        <f>IF($H$28/2-$H$22&gt;=0,"○","×")</f>
        <v>○</v>
      </c>
      <c r="AE4" s="609">
        <f>AA4+AC4</f>
        <v>0</v>
      </c>
      <c r="AF4" s="608" t="str">
        <f>IF($H$28/2-($H$21+$H$22)&gt;=0,"○","×")</f>
        <v>○</v>
      </c>
      <c r="AG4" s="609">
        <f>$H$23</f>
        <v>0</v>
      </c>
      <c r="AH4" s="608" t="str">
        <f>IF($H$28/3-$H$23&gt;=0,"○","×")</f>
        <v>○</v>
      </c>
    </row>
    <row r="5" spans="2:19" ht="23.25">
      <c r="B5" s="898"/>
      <c r="C5" s="849"/>
      <c r="D5" s="843"/>
      <c r="E5" s="899"/>
      <c r="F5" s="671"/>
      <c r="G5" s="873" t="e">
        <f>VLOOKUP($D$4,$P$2:$AH$4,13,0)</f>
        <v>#REF!</v>
      </c>
      <c r="H5" s="585"/>
      <c r="I5" s="846">
        <f>$AA$2</f>
        <v>0</v>
      </c>
      <c r="J5" s="656"/>
      <c r="K5" s="669"/>
      <c r="L5" s="658"/>
      <c r="M5" s="126"/>
      <c r="P5" s="653"/>
      <c r="Q5" s="116"/>
      <c r="R5" s="116"/>
      <c r="S5" s="617" t="s">
        <v>271</v>
      </c>
    </row>
    <row r="6" spans="2:34" ht="23.25">
      <c r="B6" s="845" t="e">
        <f>VLOOKUP($D$4,$P$2:$AH$4,2,0)</f>
        <v>#REF!</v>
      </c>
      <c r="C6" s="878" t="s">
        <v>254</v>
      </c>
      <c r="D6" s="656"/>
      <c r="E6" s="866" t="e">
        <f>ABS(IF(OR(#REF!="○",#REF!="○"),"15,000,000",IF(OR(#REF!="○",#REF!="○"),"10,000,000","7,000,000")))</f>
        <v>#REF!</v>
      </c>
      <c r="F6" s="867"/>
      <c r="G6" s="864"/>
      <c r="H6" s="848" t="s">
        <v>289</v>
      </c>
      <c r="I6" s="843"/>
      <c r="J6" s="850"/>
      <c r="K6" s="844"/>
      <c r="P6" s="653">
        <v>1</v>
      </c>
      <c r="Q6" s="116">
        <v>2</v>
      </c>
      <c r="R6" s="653">
        <v>3</v>
      </c>
      <c r="S6" s="116">
        <v>4</v>
      </c>
      <c r="T6" s="653">
        <v>5</v>
      </c>
      <c r="U6" s="116">
        <v>6</v>
      </c>
      <c r="V6" s="653">
        <v>7</v>
      </c>
      <c r="W6" s="116">
        <v>8</v>
      </c>
      <c r="X6" s="653">
        <v>9</v>
      </c>
      <c r="Y6" s="116">
        <v>10</v>
      </c>
      <c r="Z6" s="653">
        <v>11</v>
      </c>
      <c r="AA6" s="116">
        <v>12</v>
      </c>
      <c r="AB6" s="653">
        <v>13</v>
      </c>
      <c r="AC6" s="116">
        <v>14</v>
      </c>
      <c r="AD6" s="653">
        <v>15</v>
      </c>
      <c r="AE6" s="116">
        <v>16</v>
      </c>
      <c r="AF6" s="653">
        <v>17</v>
      </c>
      <c r="AG6" s="116">
        <v>18</v>
      </c>
      <c r="AH6" s="653">
        <v>19</v>
      </c>
    </row>
    <row r="7" spans="2:18" ht="23.25">
      <c r="B7" s="898"/>
      <c r="C7" s="847" t="s">
        <v>267</v>
      </c>
      <c r="D7" s="126"/>
      <c r="E7" s="900"/>
      <c r="F7" s="868"/>
      <c r="G7" s="873" t="e">
        <f>VLOOKUP($D$4,$P$2:$AH$4,15,0)</f>
        <v>#REF!</v>
      </c>
      <c r="H7" s="656"/>
      <c r="I7" s="846">
        <f>$AC$3</f>
        <v>0</v>
      </c>
      <c r="J7" s="656"/>
      <c r="K7" s="669"/>
      <c r="P7" s="653"/>
      <c r="Q7" s="116"/>
      <c r="R7" s="116"/>
    </row>
    <row r="8" spans="2:18" ht="36.75" customHeight="1">
      <c r="B8" s="845" t="e">
        <f>VLOOKUP($D$4,$P$2:$AH$4,5,0)</f>
        <v>#REF!</v>
      </c>
      <c r="C8" s="1221" t="e">
        <f>VLOOKUP($D$4,$P$2:$AH$4,6,0)</f>
        <v>#REF!</v>
      </c>
      <c r="D8" s="1222"/>
      <c r="E8" s="865" t="e">
        <f>VLOOKUP($D$4,$P$2:$AH$4,7,0)</f>
        <v>#REF!</v>
      </c>
      <c r="F8" s="671"/>
      <c r="G8" s="862"/>
      <c r="H8" s="848" t="s">
        <v>285</v>
      </c>
      <c r="I8" s="848"/>
      <c r="J8" s="843"/>
      <c r="K8" s="844"/>
      <c r="P8" s="653"/>
      <c r="Q8" s="116"/>
      <c r="R8" s="116"/>
    </row>
    <row r="9" spans="2:18" ht="36.75" customHeight="1">
      <c r="B9" s="901"/>
      <c r="C9" s="849" t="s">
        <v>268</v>
      </c>
      <c r="D9" s="843"/>
      <c r="E9" s="902"/>
      <c r="F9" s="643"/>
      <c r="G9" s="873" t="e">
        <f>VLOOKUP($D$4,$P$2:$AH$4,17,0)</f>
        <v>#REF!</v>
      </c>
      <c r="H9" s="656"/>
      <c r="I9" s="846">
        <f>$AE$2</f>
        <v>0</v>
      </c>
      <c r="J9" s="656"/>
      <c r="K9" s="669"/>
      <c r="P9" s="653"/>
      <c r="Q9" s="116"/>
      <c r="R9" s="116"/>
    </row>
    <row r="10" spans="2:18" ht="52.5" customHeight="1">
      <c r="B10" s="877" t="e">
        <f>VLOOKUP($D$4,$P$2:$AH$4,9,0)</f>
        <v>#REF!</v>
      </c>
      <c r="C10" s="1221" t="e">
        <f>VLOOKUP($D$4,$P$2:$AH$4,10,0)</f>
        <v>#REF!</v>
      </c>
      <c r="D10" s="1222"/>
      <c r="E10" s="863" t="e">
        <f>VLOOKUP($D$4,$P$2:$AH$4,11,0)</f>
        <v>#REF!</v>
      </c>
      <c r="G10" s="862"/>
      <c r="H10" s="585" t="s">
        <v>288</v>
      </c>
      <c r="I10" s="126"/>
      <c r="J10" s="126"/>
      <c r="K10" s="666"/>
      <c r="P10" s="653"/>
      <c r="Q10" s="116"/>
      <c r="R10" s="116"/>
    </row>
    <row r="11" spans="2:18" ht="38.25" customHeight="1">
      <c r="B11" s="642"/>
      <c r="D11" s="592"/>
      <c r="G11" s="873" t="e">
        <f>VLOOKUP($D$4,$P$2:$AH$4,19,0)</f>
        <v>#REF!</v>
      </c>
      <c r="H11" s="656"/>
      <c r="I11" s="846">
        <f>$AG$2</f>
        <v>0</v>
      </c>
      <c r="J11" s="656"/>
      <c r="K11" s="669"/>
      <c r="N11" s="621" t="s">
        <v>0</v>
      </c>
      <c r="P11" s="653"/>
      <c r="Q11" s="116"/>
      <c r="R11" s="116"/>
    </row>
    <row r="12" spans="2:18" ht="21" hidden="1">
      <c r="B12" s="642"/>
      <c r="D12" s="592"/>
      <c r="G12" s="644"/>
      <c r="H12" s="619"/>
      <c r="I12" s="619"/>
      <c r="J12" s="619"/>
      <c r="K12" s="619"/>
      <c r="L12" s="619"/>
      <c r="P12" s="653"/>
      <c r="Q12" s="116"/>
      <c r="R12" s="116"/>
    </row>
    <row r="13" spans="2:18" ht="45" customHeight="1" thickBot="1">
      <c r="B13" s="645"/>
      <c r="C13" s="821" t="s">
        <v>243</v>
      </c>
      <c r="D13" s="821"/>
      <c r="H13" s="620" t="s">
        <v>242</v>
      </c>
      <c r="I13" s="1224" t="e">
        <f>IF(#REF!="","",#REF!)</f>
        <v>#REF!</v>
      </c>
      <c r="J13" s="1224"/>
      <c r="K13" s="116" t="s">
        <v>362</v>
      </c>
      <c r="L13" s="116" t="s">
        <v>299</v>
      </c>
      <c r="P13" s="653"/>
      <c r="Q13" s="116"/>
      <c r="R13" s="116"/>
    </row>
    <row r="14" spans="2:22" ht="38.25" customHeight="1" hidden="1" thickBot="1">
      <c r="B14" s="642"/>
      <c r="C14" s="1220"/>
      <c r="D14" s="1220"/>
      <c r="E14" s="1220"/>
      <c r="F14" s="860"/>
      <c r="G14" s="861"/>
      <c r="H14" s="1207"/>
      <c r="I14" s="1207"/>
      <c r="J14" s="1207"/>
      <c r="K14" s="825"/>
      <c r="L14" s="126"/>
      <c r="M14" s="825"/>
      <c r="N14" s="126"/>
      <c r="P14" s="894"/>
      <c r="Q14" s="895"/>
      <c r="R14" s="588"/>
      <c r="S14" s="894"/>
      <c r="T14" s="588"/>
      <c r="U14" s="588"/>
      <c r="V14" s="588"/>
    </row>
    <row r="15" spans="2:22" ht="36">
      <c r="B15" s="642"/>
      <c r="C15" s="827" t="s">
        <v>28</v>
      </c>
      <c r="D15" s="1210" t="s">
        <v>292</v>
      </c>
      <c r="E15" s="1223"/>
      <c r="F15" s="828" t="s">
        <v>294</v>
      </c>
      <c r="G15" s="1205" t="s">
        <v>241</v>
      </c>
      <c r="H15" s="1206"/>
      <c r="I15" s="1210" t="s">
        <v>41</v>
      </c>
      <c r="J15" s="1211"/>
      <c r="K15" s="883" t="s">
        <v>300</v>
      </c>
      <c r="L15" s="737"/>
      <c r="M15" s="737"/>
      <c r="N15" s="884"/>
      <c r="P15" s="734" t="s">
        <v>225</v>
      </c>
      <c r="Q15" s="892" t="s">
        <v>28</v>
      </c>
      <c r="R15" s="880" t="s">
        <v>302</v>
      </c>
      <c r="S15" s="854" t="s">
        <v>224</v>
      </c>
      <c r="T15" s="853" t="s">
        <v>40</v>
      </c>
      <c r="U15" s="853" t="s">
        <v>41</v>
      </c>
      <c r="V15" s="852" t="s">
        <v>357</v>
      </c>
    </row>
    <row r="16" spans="3:22" ht="42" customHeight="1">
      <c r="C16" s="829"/>
      <c r="D16" s="1208" t="s">
        <v>244</v>
      </c>
      <c r="E16" s="1209"/>
      <c r="F16" s="674" t="s">
        <v>295</v>
      </c>
      <c r="G16" s="1208" t="s">
        <v>245</v>
      </c>
      <c r="H16" s="1209"/>
      <c r="I16" s="1208" t="s">
        <v>247</v>
      </c>
      <c r="J16" s="1217"/>
      <c r="K16" s="622"/>
      <c r="L16" s="1218" t="s">
        <v>301</v>
      </c>
      <c r="M16" s="1218"/>
      <c r="N16" s="1219"/>
      <c r="P16" s="735"/>
      <c r="Q16" s="893"/>
      <c r="R16" s="881" t="s">
        <v>358</v>
      </c>
      <c r="S16" s="854"/>
      <c r="T16" s="881" t="s">
        <v>358</v>
      </c>
      <c r="U16" s="881" t="s">
        <v>358</v>
      </c>
      <c r="V16" s="852"/>
    </row>
    <row r="17" spans="2:22" ht="27" customHeight="1">
      <c r="B17" s="659" t="e">
        <f>IF(AND(OR(#REF!=$L$2,#REF!=$L$2),E17&gt;0),"×","")</f>
        <v>#REF!</v>
      </c>
      <c r="C17" s="830" t="s">
        <v>345</v>
      </c>
      <c r="D17" s="633"/>
      <c r="E17" s="634">
        <f>'原材料費'!K30</f>
        <v>0</v>
      </c>
      <c r="F17" s="634">
        <f>'原材料費'!L30</f>
        <v>0</v>
      </c>
      <c r="G17" s="635"/>
      <c r="H17" s="634">
        <f>'原材料費'!M30</f>
        <v>0</v>
      </c>
      <c r="I17" s="635"/>
      <c r="J17" s="667" t="e">
        <f>$U$17</f>
        <v>#REF!</v>
      </c>
      <c r="K17" s="660" t="s">
        <v>314</v>
      </c>
      <c r="L17" s="625"/>
      <c r="M17" s="625"/>
      <c r="N17" s="831"/>
      <c r="P17" s="680" t="e">
        <f aca="true" t="shared" si="0" ref="P17:P27">IF(B17="×","×",IF(V17&lt;=0,"○","×"))</f>
        <v>#REF!</v>
      </c>
      <c r="Q17" s="882" t="s">
        <v>43</v>
      </c>
      <c r="R17" s="856">
        <f>ROUNDDOWN((IF(H17="","",ROUNDDOWN(H17*2/3,0))),0)</f>
        <v>0</v>
      </c>
      <c r="S17" s="904" t="e">
        <f>ROUNDDOWN((RANK(T17,$T$17:$T$27)),0)</f>
        <v>#REF!</v>
      </c>
      <c r="T17" s="856" t="e">
        <f>ROUNDDOWN(IF($T$18-$R$30&gt;=0,0,R17*$R$33/$R$29),0)</f>
        <v>#REF!</v>
      </c>
      <c r="U17" s="903" t="e">
        <f>IF($T$30-T17=0,T17+$T$33,T17)</f>
        <v>#REF!</v>
      </c>
      <c r="V17" s="676" t="e">
        <f>U17-R17</f>
        <v>#REF!</v>
      </c>
    </row>
    <row r="18" spans="2:22" ht="27" customHeight="1">
      <c r="B18" s="659" t="e">
        <f>IF(B8="×","×","")</f>
        <v>#REF!</v>
      </c>
      <c r="C18" s="832" t="s">
        <v>45</v>
      </c>
      <c r="D18" s="670"/>
      <c r="E18" s="636">
        <f>'機械装置費'!K30</f>
        <v>0</v>
      </c>
      <c r="F18" s="677">
        <f>'機械装置費'!L30</f>
        <v>0</v>
      </c>
      <c r="G18" s="637"/>
      <c r="H18" s="636">
        <f>'機械装置費'!M30</f>
        <v>0</v>
      </c>
      <c r="I18" s="637"/>
      <c r="J18" s="668" t="e">
        <f>ABS($U$18)</f>
        <v>#REF!</v>
      </c>
      <c r="K18" s="661" t="s">
        <v>304</v>
      </c>
      <c r="L18" s="662"/>
      <c r="M18" s="663"/>
      <c r="N18" s="833"/>
      <c r="P18" s="589" t="e">
        <f t="shared" si="0"/>
        <v>#REF!</v>
      </c>
      <c r="Q18" s="855" t="s">
        <v>45</v>
      </c>
      <c r="R18" s="856">
        <f>ABS(IF(H18="","",ROUNDDOWN(H18*2/3,0)))</f>
        <v>0</v>
      </c>
      <c r="S18" s="904" t="e">
        <f aca="true" t="shared" si="1" ref="S18:S27">ROUNDDOWN((RANK(T18,$T$17:$T$27)),0)</f>
        <v>#REF!</v>
      </c>
      <c r="T18" s="857" t="e">
        <f>ABS(ROUNDDOWN(IF(AND($D$4=$P$4,R18-333332&gt;0),ABS(0),IF($R$18-$R$30&lt;0,R18,$R$30)),0))</f>
        <v>#REF!</v>
      </c>
      <c r="U18" s="857" t="e">
        <f>IF(T18=0,0,IF(R18-R30&gt;0,R30,R18))</f>
        <v>#REF!</v>
      </c>
      <c r="V18" s="676" t="e">
        <f>U18-R18</f>
        <v>#REF!</v>
      </c>
    </row>
    <row r="19" spans="2:24" ht="27" customHeight="1">
      <c r="B19" s="659" t="e">
        <f>IF(AND(OR(#REF!=$L$2,#REF!=$L$2),E19&gt;0),"×","")</f>
        <v>#REF!</v>
      </c>
      <c r="C19" s="832" t="s">
        <v>346</v>
      </c>
      <c r="D19" s="638"/>
      <c r="E19" s="636">
        <f>'様式第６の別紙２　直接人件費支出明細書(2)'!G41</f>
        <v>0</v>
      </c>
      <c r="F19" s="677">
        <f>E19</f>
        <v>0</v>
      </c>
      <c r="G19" s="637"/>
      <c r="H19" s="636">
        <f>F19</f>
        <v>0</v>
      </c>
      <c r="I19" s="637"/>
      <c r="J19" s="677" t="e">
        <f>$U$19</f>
        <v>#REF!</v>
      </c>
      <c r="K19" s="664"/>
      <c r="L19" s="662"/>
      <c r="M19" s="663"/>
      <c r="N19" s="833"/>
      <c r="P19" s="589" t="e">
        <f t="shared" si="0"/>
        <v>#REF!</v>
      </c>
      <c r="Q19" s="855" t="s">
        <v>68</v>
      </c>
      <c r="R19" s="856">
        <f aca="true" t="shared" si="2" ref="R19:R27">ROUNDDOWN((IF(H19="","",ROUNDDOWN(H19*2/3,0))),0)</f>
        <v>0</v>
      </c>
      <c r="S19" s="904" t="e">
        <f t="shared" si="1"/>
        <v>#REF!</v>
      </c>
      <c r="T19" s="856" t="e">
        <f aca="true" t="shared" si="3" ref="T19:T27">ROUNDDOWN(IF($T$18-$R$30&gt;=0,0,R19*$R$33/$R$29),0)</f>
        <v>#REF!</v>
      </c>
      <c r="U19" s="903" t="e">
        <f>IF($T$30-T19=0,T19+$T$33,T19)</f>
        <v>#REF!</v>
      </c>
      <c r="V19" s="676" t="e">
        <f aca="true" t="shared" si="4" ref="V19:V27">U19-R19</f>
        <v>#REF!</v>
      </c>
      <c r="X19" s="126"/>
    </row>
    <row r="20" spans="3:24" ht="27" customHeight="1">
      <c r="C20" s="832" t="s">
        <v>58</v>
      </c>
      <c r="D20" s="638"/>
      <c r="E20" s="636">
        <f>'技術導入費'!K30</f>
        <v>0</v>
      </c>
      <c r="F20" s="677">
        <f>'技術導入費'!L30</f>
        <v>0</v>
      </c>
      <c r="G20" s="637"/>
      <c r="H20" s="636">
        <f>'技術導入費'!M30</f>
        <v>0</v>
      </c>
      <c r="I20" s="637"/>
      <c r="J20" s="668" t="e">
        <f>$U$20</f>
        <v>#REF!</v>
      </c>
      <c r="K20" s="704"/>
      <c r="L20" s="126"/>
      <c r="M20" s="126"/>
      <c r="N20" s="826"/>
      <c r="O20" s="126"/>
      <c r="P20" s="589" t="e">
        <f t="shared" si="0"/>
        <v>#REF!</v>
      </c>
      <c r="Q20" s="855" t="s">
        <v>58</v>
      </c>
      <c r="R20" s="856">
        <f t="shared" si="2"/>
        <v>0</v>
      </c>
      <c r="S20" s="904" t="e">
        <f t="shared" si="1"/>
        <v>#REF!</v>
      </c>
      <c r="T20" s="856" t="e">
        <f t="shared" si="3"/>
        <v>#REF!</v>
      </c>
      <c r="U20" s="903" t="e">
        <f aca="true" t="shared" si="5" ref="U20:U27">IF($T$30-T20=0,T20+$T$33,T20)</f>
        <v>#REF!</v>
      </c>
      <c r="V20" s="676" t="e">
        <f t="shared" si="4"/>
        <v>#REF!</v>
      </c>
      <c r="X20" s="126"/>
    </row>
    <row r="21" spans="2:28" ht="27" customHeight="1">
      <c r="B21" s="659" t="e">
        <f>IF(AND(OR(#REF!=$L$2,#REF!=$L$2),E21&gt;0),"×","")</f>
        <v>#REF!</v>
      </c>
      <c r="C21" s="832" t="s">
        <v>347</v>
      </c>
      <c r="D21" s="638"/>
      <c r="E21" s="636">
        <f>'外注加工費'!K30</f>
        <v>0</v>
      </c>
      <c r="F21" s="677">
        <f>'外注加工費'!L30</f>
        <v>0</v>
      </c>
      <c r="G21" s="675" t="e">
        <f>IF(OR(G5="×",G9=""),"×","")</f>
        <v>#REF!</v>
      </c>
      <c r="H21" s="636">
        <f>'外注加工費'!M30</f>
        <v>0</v>
      </c>
      <c r="I21" s="637"/>
      <c r="J21" s="677" t="e">
        <f>$U$21</f>
        <v>#REF!</v>
      </c>
      <c r="K21" s="661"/>
      <c r="L21" s="626"/>
      <c r="M21" s="626"/>
      <c r="N21" s="833"/>
      <c r="P21" s="589" t="e">
        <f t="shared" si="0"/>
        <v>#REF!</v>
      </c>
      <c r="Q21" s="855" t="s">
        <v>62</v>
      </c>
      <c r="R21" s="856">
        <f t="shared" si="2"/>
        <v>0</v>
      </c>
      <c r="S21" s="904" t="e">
        <f t="shared" si="1"/>
        <v>#REF!</v>
      </c>
      <c r="T21" s="856" t="e">
        <f t="shared" si="3"/>
        <v>#REF!</v>
      </c>
      <c r="U21" s="903" t="e">
        <f t="shared" si="5"/>
        <v>#REF!</v>
      </c>
      <c r="V21" s="676" t="e">
        <f t="shared" si="4"/>
        <v>#REF!</v>
      </c>
      <c r="W21" s="621"/>
      <c r="X21" s="126"/>
      <c r="Y21" s="126"/>
      <c r="AA21" s="126"/>
      <c r="AB21" s="126"/>
    </row>
    <row r="22" spans="2:28" ht="27" customHeight="1">
      <c r="B22" s="659" t="e">
        <f>IF(AND(OR(#REF!=$L$2,#REF!=$L$2),E22&gt;0),"×","")</f>
        <v>#REF!</v>
      </c>
      <c r="C22" s="832" t="s">
        <v>348</v>
      </c>
      <c r="D22" s="638"/>
      <c r="E22" s="636">
        <f>'委託費'!K30</f>
        <v>0</v>
      </c>
      <c r="F22" s="677">
        <f>'委託費'!L30</f>
        <v>0</v>
      </c>
      <c r="G22" s="675" t="e">
        <f>IF(OR(G7="×",G9="×"),"×","")</f>
        <v>#REF!</v>
      </c>
      <c r="H22" s="636">
        <f>'委託費'!M30</f>
        <v>0</v>
      </c>
      <c r="I22" s="637"/>
      <c r="J22" s="677" t="e">
        <f>$U$22</f>
        <v>#REF!</v>
      </c>
      <c r="K22" s="661"/>
      <c r="L22" s="626"/>
      <c r="M22" s="626"/>
      <c r="N22" s="834"/>
      <c r="P22" s="589" t="e">
        <f t="shared" si="0"/>
        <v>#REF!</v>
      </c>
      <c r="Q22" s="855" t="s">
        <v>59</v>
      </c>
      <c r="R22" s="856">
        <f t="shared" si="2"/>
        <v>0</v>
      </c>
      <c r="S22" s="904" t="e">
        <f t="shared" si="1"/>
        <v>#REF!</v>
      </c>
      <c r="T22" s="856" t="e">
        <f t="shared" si="3"/>
        <v>#REF!</v>
      </c>
      <c r="U22" s="903" t="e">
        <f t="shared" si="5"/>
        <v>#REF!</v>
      </c>
      <c r="V22" s="676" t="e">
        <f t="shared" si="4"/>
        <v>#REF!</v>
      </c>
      <c r="W22" s="672"/>
      <c r="Z22" s="126"/>
      <c r="AA22" s="126"/>
      <c r="AB22" s="126"/>
    </row>
    <row r="23" spans="2:28" ht="27" customHeight="1">
      <c r="B23" s="659" t="e">
        <f>IF(AND(OR(#REF!=$L$2,#REF!=$L$2),E23&gt;0),"×","")</f>
        <v>#REF!</v>
      </c>
      <c r="C23" s="832" t="s">
        <v>349</v>
      </c>
      <c r="D23" s="638"/>
      <c r="E23" s="636">
        <f>'知的財産権等関連経費'!K30</f>
        <v>0</v>
      </c>
      <c r="F23" s="677">
        <f>'知的財産権等関連経費'!L30</f>
        <v>0</v>
      </c>
      <c r="G23" s="675" t="e">
        <f>IF(G11="×","×","")</f>
        <v>#REF!</v>
      </c>
      <c r="H23" s="636">
        <f>'知的財産権等関連経費'!M30</f>
        <v>0</v>
      </c>
      <c r="I23" s="637"/>
      <c r="J23" s="677" t="e">
        <f>$U$23</f>
        <v>#REF!</v>
      </c>
      <c r="K23" s="661"/>
      <c r="L23" s="626"/>
      <c r="M23" s="626"/>
      <c r="N23" s="834"/>
      <c r="P23" s="589" t="e">
        <f t="shared" si="0"/>
        <v>#REF!</v>
      </c>
      <c r="Q23" s="855" t="s">
        <v>69</v>
      </c>
      <c r="R23" s="856">
        <f t="shared" si="2"/>
        <v>0</v>
      </c>
      <c r="S23" s="904" t="e">
        <f t="shared" si="1"/>
        <v>#REF!</v>
      </c>
      <c r="T23" s="856" t="e">
        <f t="shared" si="3"/>
        <v>#REF!</v>
      </c>
      <c r="U23" s="903" t="e">
        <f t="shared" si="5"/>
        <v>#REF!</v>
      </c>
      <c r="V23" s="676" t="e">
        <f t="shared" si="4"/>
        <v>#REF!</v>
      </c>
      <c r="W23" s="672"/>
      <c r="Z23" s="618"/>
      <c r="AA23" s="126"/>
      <c r="AB23" s="126"/>
    </row>
    <row r="24" spans="3:28" ht="27" customHeight="1">
      <c r="C24" s="832" t="s">
        <v>63</v>
      </c>
      <c r="D24" s="638"/>
      <c r="E24" s="636">
        <f>'運搬費'!K30</f>
        <v>0</v>
      </c>
      <c r="F24" s="677">
        <f>'運搬費'!L30</f>
        <v>0</v>
      </c>
      <c r="G24" s="637"/>
      <c r="H24" s="636">
        <f>'運搬費'!M30</f>
        <v>0</v>
      </c>
      <c r="I24" s="637"/>
      <c r="J24" s="668" t="e">
        <f>$U$24</f>
        <v>#REF!</v>
      </c>
      <c r="K24" s="661"/>
      <c r="L24" s="626"/>
      <c r="M24" s="626"/>
      <c r="N24" s="835"/>
      <c r="P24" s="589" t="e">
        <f t="shared" si="0"/>
        <v>#REF!</v>
      </c>
      <c r="Q24" s="855" t="s">
        <v>63</v>
      </c>
      <c r="R24" s="856">
        <f t="shared" si="2"/>
        <v>0</v>
      </c>
      <c r="S24" s="904" t="e">
        <f t="shared" si="1"/>
        <v>#REF!</v>
      </c>
      <c r="T24" s="856" t="e">
        <f t="shared" si="3"/>
        <v>#REF!</v>
      </c>
      <c r="U24" s="903" t="e">
        <f t="shared" si="5"/>
        <v>#REF!</v>
      </c>
      <c r="V24" s="676" t="e">
        <f t="shared" si="4"/>
        <v>#REF!</v>
      </c>
      <c r="W24" s="671"/>
      <c r="Z24" s="126"/>
      <c r="AA24" s="126"/>
      <c r="AB24" s="126"/>
    </row>
    <row r="25" spans="3:28" ht="27" customHeight="1">
      <c r="C25" s="832" t="s">
        <v>61</v>
      </c>
      <c r="D25" s="638"/>
      <c r="E25" s="636">
        <f>'専門家謝金'!K30</f>
        <v>0</v>
      </c>
      <c r="F25" s="677">
        <f>'専門家謝金'!L30</f>
        <v>0</v>
      </c>
      <c r="G25" s="637"/>
      <c r="H25" s="636">
        <f>'専門家謝金'!M30</f>
        <v>0</v>
      </c>
      <c r="I25" s="637"/>
      <c r="J25" s="668" t="e">
        <f>$U$25</f>
        <v>#REF!</v>
      </c>
      <c r="K25" s="661"/>
      <c r="L25" s="626"/>
      <c r="M25" s="626"/>
      <c r="N25" s="835"/>
      <c r="P25" s="589" t="e">
        <f t="shared" si="0"/>
        <v>#REF!</v>
      </c>
      <c r="Q25" s="855" t="s">
        <v>61</v>
      </c>
      <c r="R25" s="856">
        <f t="shared" si="2"/>
        <v>0</v>
      </c>
      <c r="S25" s="904" t="e">
        <f t="shared" si="1"/>
        <v>#REF!</v>
      </c>
      <c r="T25" s="856" t="e">
        <f t="shared" si="3"/>
        <v>#REF!</v>
      </c>
      <c r="U25" s="903" t="e">
        <f t="shared" si="5"/>
        <v>#REF!</v>
      </c>
      <c r="V25" s="676" t="e">
        <f t="shared" si="4"/>
        <v>#REF!</v>
      </c>
      <c r="W25" s="588"/>
      <c r="Z25" s="624"/>
      <c r="AA25" s="126"/>
      <c r="AB25" s="126"/>
    </row>
    <row r="26" spans="3:28" ht="27" customHeight="1">
      <c r="C26" s="832" t="s">
        <v>60</v>
      </c>
      <c r="D26" s="638"/>
      <c r="E26" s="636">
        <f>'専門家旅費'!K30</f>
        <v>0</v>
      </c>
      <c r="F26" s="677">
        <f>'専門家旅費'!L30</f>
        <v>0</v>
      </c>
      <c r="G26" s="637"/>
      <c r="H26" s="636">
        <f>'専門家旅費'!M30</f>
        <v>0</v>
      </c>
      <c r="I26" s="637"/>
      <c r="J26" s="668" t="e">
        <f>$U$26</f>
        <v>#REF!</v>
      </c>
      <c r="K26" s="661"/>
      <c r="L26" s="626"/>
      <c r="M26" s="626"/>
      <c r="N26" s="835"/>
      <c r="P26" s="589" t="e">
        <f t="shared" si="0"/>
        <v>#REF!</v>
      </c>
      <c r="Q26" s="855" t="s">
        <v>60</v>
      </c>
      <c r="R26" s="856">
        <f t="shared" si="2"/>
        <v>0</v>
      </c>
      <c r="S26" s="904" t="e">
        <f t="shared" si="1"/>
        <v>#REF!</v>
      </c>
      <c r="T26" s="856" t="e">
        <f t="shared" si="3"/>
        <v>#REF!</v>
      </c>
      <c r="U26" s="903" t="e">
        <f t="shared" si="5"/>
        <v>#REF!</v>
      </c>
      <c r="V26" s="676" t="e">
        <f t="shared" si="4"/>
        <v>#REF!</v>
      </c>
      <c r="W26" s="588"/>
      <c r="Z26" s="624"/>
      <c r="AA26" s="624"/>
      <c r="AB26" s="624"/>
    </row>
    <row r="27" spans="2:28" ht="27" customHeight="1">
      <c r="B27" s="659" t="e">
        <f>IF(AND(OR(#REF!=$L$2,#REF!=$L$2),E27&gt;0),"×","")</f>
        <v>#REF!</v>
      </c>
      <c r="C27" s="836" t="s">
        <v>350</v>
      </c>
      <c r="D27" s="639"/>
      <c r="E27" s="640">
        <f>'雑役務費'!K30</f>
        <v>0</v>
      </c>
      <c r="F27" s="677">
        <f>'雑役務費'!L30</f>
        <v>0</v>
      </c>
      <c r="G27" s="641"/>
      <c r="H27" s="640">
        <f>'雑役務費'!M30</f>
        <v>0</v>
      </c>
      <c r="I27" s="641"/>
      <c r="J27" s="678" t="e">
        <f>$U$27</f>
        <v>#REF!</v>
      </c>
      <c r="K27" s="622"/>
      <c r="L27" s="623"/>
      <c r="M27" s="623"/>
      <c r="N27" s="837"/>
      <c r="P27" s="589" t="e">
        <f t="shared" si="0"/>
        <v>#REF!</v>
      </c>
      <c r="Q27" s="855" t="s">
        <v>64</v>
      </c>
      <c r="R27" s="856">
        <f t="shared" si="2"/>
        <v>0</v>
      </c>
      <c r="S27" s="904" t="e">
        <f t="shared" si="1"/>
        <v>#REF!</v>
      </c>
      <c r="T27" s="856" t="e">
        <f t="shared" si="3"/>
        <v>#REF!</v>
      </c>
      <c r="U27" s="903" t="e">
        <f t="shared" si="5"/>
        <v>#REF!</v>
      </c>
      <c r="V27" s="676" t="e">
        <f t="shared" si="4"/>
        <v>#REF!</v>
      </c>
      <c r="W27" s="588"/>
      <c r="Z27" s="627"/>
      <c r="AA27" s="624"/>
      <c r="AB27" s="624"/>
    </row>
    <row r="28" spans="2:28" ht="42" customHeight="1" thickBot="1">
      <c r="B28" s="879">
        <f>IF(B5="×","×","")</f>
      </c>
      <c r="C28" s="838" t="s">
        <v>1</v>
      </c>
      <c r="D28" s="839" t="s">
        <v>251</v>
      </c>
      <c r="E28" s="840">
        <f>SUM(E17:E27)</f>
        <v>0</v>
      </c>
      <c r="F28" s="841">
        <f>SUM(F17:F27)</f>
        <v>0</v>
      </c>
      <c r="G28" s="839" t="s">
        <v>252</v>
      </c>
      <c r="H28" s="840">
        <f>SUM(H17:H27)</f>
        <v>0</v>
      </c>
      <c r="I28" s="839" t="s">
        <v>253</v>
      </c>
      <c r="J28" s="842" t="e">
        <f>SUM(J17:J27)</f>
        <v>#REF!</v>
      </c>
      <c r="K28" s="885"/>
      <c r="L28" s="886"/>
      <c r="M28" s="886"/>
      <c r="N28" s="887"/>
      <c r="P28" s="589">
        <f>+B28</f>
      </c>
      <c r="Q28" s="606" t="s">
        <v>56</v>
      </c>
      <c r="R28" s="856">
        <f>SUM(R17:R27)</f>
        <v>0</v>
      </c>
      <c r="S28" s="905"/>
      <c r="T28" s="681" t="e">
        <f>SUM(T17:T27)</f>
        <v>#REF!</v>
      </c>
      <c r="U28" s="856" t="e">
        <f>SUM(U17:U27)</f>
        <v>#REF!</v>
      </c>
      <c r="V28" s="858"/>
      <c r="W28" s="588"/>
      <c r="Z28" s="628"/>
      <c r="AA28" s="624"/>
      <c r="AB28" s="624"/>
    </row>
    <row r="29" spans="3:28" ht="51.75">
      <c r="C29" s="116" t="s">
        <v>303</v>
      </c>
      <c r="E29" s="630"/>
      <c r="F29" s="630"/>
      <c r="G29" s="630"/>
      <c r="H29" s="630"/>
      <c r="I29" s="630"/>
      <c r="J29" s="630"/>
      <c r="Q29" s="655" t="s">
        <v>310</v>
      </c>
      <c r="R29" s="856">
        <f>R28-R18</f>
        <v>0</v>
      </c>
      <c r="S29" s="655" t="s">
        <v>305</v>
      </c>
      <c r="T29" s="856" t="e">
        <f>VLOOKUP(2,S17:T27,2,0)</f>
        <v>#N/A</v>
      </c>
      <c r="U29" s="116" t="s">
        <v>272</v>
      </c>
      <c r="W29" s="588"/>
      <c r="Z29" s="628"/>
      <c r="AA29" s="126"/>
      <c r="AB29" s="126"/>
    </row>
    <row r="30" spans="3:28" ht="51.75" customHeight="1">
      <c r="C30" s="116" t="s">
        <v>246</v>
      </c>
      <c r="Q30" s="655" t="s">
        <v>290</v>
      </c>
      <c r="R30" s="856" t="e">
        <f>ABS(IF(R28-E6&gt;0,E6,R28))</f>
        <v>#REF!</v>
      </c>
      <c r="S30" s="655" t="s">
        <v>306</v>
      </c>
      <c r="T30" s="856">
        <f>ABS(SUMIF(T17:T27,T29))</f>
        <v>0</v>
      </c>
      <c r="U30" s="116" t="s">
        <v>315</v>
      </c>
      <c r="V30" s="629"/>
      <c r="W30" s="588"/>
      <c r="Z30" s="126"/>
      <c r="AA30" s="126"/>
      <c r="AB30" s="126"/>
    </row>
    <row r="31" spans="3:28" ht="51.75">
      <c r="C31" s="116" t="s">
        <v>316</v>
      </c>
      <c r="Q31" s="655" t="s">
        <v>250</v>
      </c>
      <c r="R31" s="856" t="e">
        <f>IF(R30-R18&lt;0,0,R30-R18)</f>
        <v>#REF!</v>
      </c>
      <c r="S31" s="655" t="s">
        <v>309</v>
      </c>
      <c r="T31" s="657" t="e">
        <f>MIN(R32-(T28-T18),R30-T28)</f>
        <v>#REF!</v>
      </c>
      <c r="V31" s="630"/>
      <c r="W31" s="588"/>
      <c r="X31" s="126"/>
      <c r="AA31" s="126"/>
      <c r="AB31" s="126"/>
    </row>
    <row r="32" spans="17:24" ht="34.5">
      <c r="Q32" s="655" t="s">
        <v>311</v>
      </c>
      <c r="R32" s="856" t="e">
        <f>IF(OR(D4="成長分野型",D4="一般型"),5000000,R30)</f>
        <v>#REF!</v>
      </c>
      <c r="S32" s="655" t="s">
        <v>307</v>
      </c>
      <c r="T32" s="679">
        <f>IF(ISERROR(T29/T30),0,T29/T30)</f>
        <v>0</v>
      </c>
      <c r="U32" s="107"/>
      <c r="V32" s="629"/>
      <c r="W32" s="588"/>
      <c r="X32" s="819"/>
    </row>
    <row r="33" spans="17:24" ht="51.75" customHeight="1">
      <c r="Q33" s="606" t="s">
        <v>308</v>
      </c>
      <c r="R33" s="856" t="e">
        <f>IF(T18=0,R32,ABS(MIN(R30,R31,R32)))</f>
        <v>#REF!</v>
      </c>
      <c r="S33" s="859" t="s">
        <v>226</v>
      </c>
      <c r="T33" s="657">
        <f>IF(ISERROR($T$31*$T$32),"",$T$31*$T$32)</f>
      </c>
      <c r="U33" s="107"/>
      <c r="W33" s="588"/>
      <c r="X33" s="621"/>
    </row>
    <row r="34" spans="1:22" ht="32.25" customHeight="1">
      <c r="A34" s="126"/>
      <c r="P34" s="653"/>
      <c r="Q34" s="592"/>
      <c r="R34" s="116"/>
      <c r="T34" s="631"/>
      <c r="V34" s="629"/>
    </row>
    <row r="35" spans="16:22" ht="21">
      <c r="P35" s="653"/>
      <c r="Q35" s="673"/>
      <c r="R35" s="116"/>
      <c r="V35" s="629"/>
    </row>
    <row r="36" spans="16:22" ht="21" customHeight="1">
      <c r="P36" s="653"/>
      <c r="Q36" s="592"/>
      <c r="R36" s="116"/>
      <c r="V36" s="629"/>
    </row>
    <row r="37" spans="16:22" ht="17.25">
      <c r="P37" s="653"/>
      <c r="Q37" s="592"/>
      <c r="R37" s="116"/>
      <c r="V37" s="629"/>
    </row>
    <row r="38" spans="16:25" ht="26.25" customHeight="1">
      <c r="P38" s="653"/>
      <c r="Q38" s="592"/>
      <c r="R38" s="116"/>
      <c r="V38" s="629"/>
      <c r="W38" s="629"/>
      <c r="Y38" s="126"/>
    </row>
    <row r="39" spans="16:22" ht="26.25" customHeight="1">
      <c r="P39" s="653"/>
      <c r="Q39" s="592"/>
      <c r="R39" s="116"/>
      <c r="V39" s="629"/>
    </row>
    <row r="40" spans="16:18" ht="26.25" customHeight="1">
      <c r="P40" s="653"/>
      <c r="Q40" s="592"/>
      <c r="R40" s="116"/>
    </row>
    <row r="41" spans="16:18" ht="26.25" customHeight="1">
      <c r="P41" s="653"/>
      <c r="Q41" s="592"/>
      <c r="R41" s="116"/>
    </row>
    <row r="42" spans="16:18" ht="26.25" customHeight="1">
      <c r="P42" s="653"/>
      <c r="Q42" s="592"/>
      <c r="R42" s="116"/>
    </row>
    <row r="44" ht="30.75" customHeight="1"/>
    <row r="45" ht="33.75" customHeight="1">
      <c r="W45" s="126"/>
    </row>
    <row r="46" ht="33.75" customHeight="1"/>
    <row r="47" ht="33.75" customHeight="1">
      <c r="X47" s="632"/>
    </row>
    <row r="48" ht="33.75" customHeight="1"/>
    <row r="49" ht="33.75" customHeight="1"/>
    <row r="50" ht="33.75" customHeight="1">
      <c r="X50" s="586"/>
    </row>
  </sheetData>
  <sheetProtection/>
  <mergeCells count="14">
    <mergeCell ref="L16:N16"/>
    <mergeCell ref="C14:E14"/>
    <mergeCell ref="C8:D8"/>
    <mergeCell ref="C10:D10"/>
    <mergeCell ref="D15:E15"/>
    <mergeCell ref="I13:J13"/>
    <mergeCell ref="D16:E16"/>
    <mergeCell ref="G15:H15"/>
    <mergeCell ref="H14:J14"/>
    <mergeCell ref="G16:H16"/>
    <mergeCell ref="I15:J15"/>
    <mergeCell ref="H3:K3"/>
    <mergeCell ref="B3:B4"/>
    <mergeCell ref="I16:J16"/>
  </mergeCells>
  <conditionalFormatting sqref="C8 Y4 Z23 AA28:AB28 Z3 R2:S4 AA3:AA4 Z2:AA2 AC2:AC4 AE2:AE4 AG2:AG4 I5 I7 V2:W4 E7:F7 I9 B9 E9:F9 H12 I11 Q35 T31:T33 E8 E10 B10:C10 E5:E6">
    <cfRule type="expression" priority="156" dxfId="0" stopIfTrue="1">
      <formula>#REF!</formula>
    </cfRule>
  </conditionalFormatting>
  <conditionalFormatting sqref="H28">
    <cfRule type="expression" priority="97" dxfId="0" stopIfTrue="1">
      <formula>($H$21+$H$22)&gt;$H$28/2</formula>
    </cfRule>
  </conditionalFormatting>
  <conditionalFormatting sqref="H20">
    <cfRule type="expression" priority="95" dxfId="16" stopIfTrue="1">
      <formula>$H$20&gt;$H$28/2</formula>
    </cfRule>
  </conditionalFormatting>
  <conditionalFormatting sqref="H17 J17 E17:F17">
    <cfRule type="expression" priority="32" dxfId="0" stopIfTrue="1">
      <formula>$B$17="×"</formula>
    </cfRule>
  </conditionalFormatting>
  <conditionalFormatting sqref="E19 H19 J19">
    <cfRule type="expression" priority="31" dxfId="0" stopIfTrue="1">
      <formula>$B$19="×"</formula>
    </cfRule>
  </conditionalFormatting>
  <conditionalFormatting sqref="E21 J21">
    <cfRule type="expression" priority="30" dxfId="0" stopIfTrue="1">
      <formula>$B$21="×"</formula>
    </cfRule>
  </conditionalFormatting>
  <conditionalFormatting sqref="E22 J22">
    <cfRule type="expression" priority="29" dxfId="0" stopIfTrue="1">
      <formula>$B$22="×"</formula>
    </cfRule>
  </conditionalFormatting>
  <conditionalFormatting sqref="E23 J23">
    <cfRule type="expression" priority="28" dxfId="0" stopIfTrue="1">
      <formula>$B$23="×"</formula>
    </cfRule>
  </conditionalFormatting>
  <conditionalFormatting sqref="E27 H27 J27">
    <cfRule type="expression" priority="27" dxfId="0" stopIfTrue="1">
      <formula>$B$27="×"</formula>
    </cfRule>
  </conditionalFormatting>
  <conditionalFormatting sqref="H18">
    <cfRule type="expression" priority="23" dxfId="0" stopIfTrue="1">
      <formula>$B$18="×"</formula>
    </cfRule>
    <cfRule type="expression" priority="24" dxfId="0" stopIfTrue="1">
      <formula>"$A$30=×"</formula>
    </cfRule>
  </conditionalFormatting>
  <conditionalFormatting sqref="H21">
    <cfRule type="expression" priority="168" dxfId="0" stopIfTrue="1">
      <formula>$G$21="×"</formula>
    </cfRule>
    <cfRule type="expression" priority="169" dxfId="0" stopIfTrue="1">
      <formula>$B$21="×"</formula>
    </cfRule>
  </conditionalFormatting>
  <conditionalFormatting sqref="H22">
    <cfRule type="expression" priority="170" dxfId="0" stopIfTrue="1">
      <formula>$G$22="×"</formula>
    </cfRule>
    <cfRule type="expression" priority="171" dxfId="0" stopIfTrue="1">
      <formula>$B$22="×"</formula>
    </cfRule>
  </conditionalFormatting>
  <conditionalFormatting sqref="H23">
    <cfRule type="expression" priority="172" dxfId="0" stopIfTrue="1">
      <formula>$G$23="×"</formula>
    </cfRule>
    <cfRule type="expression" priority="173" dxfId="0" stopIfTrue="1">
      <formula>$B$22="×"</formula>
    </cfRule>
  </conditionalFormatting>
  <conditionalFormatting sqref="E18">
    <cfRule type="expression" priority="176" dxfId="0" stopIfTrue="1">
      <formula>$B$18="×"</formula>
    </cfRule>
    <cfRule type="expression" priority="177" dxfId="0" stopIfTrue="1">
      <formula>$T$4=×</formula>
    </cfRule>
  </conditionalFormatting>
  <dataValidations count="2">
    <dataValidation allowBlank="1" showInputMessage="1" showErrorMessage="1" imeMode="halfAlpha" sqref="G17:G20 G24:G27 E17:F27 H17:J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legacyDrawing r:id="rId2"/>
</worksheet>
</file>

<file path=xl/worksheets/sheet10.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zoomScaleSheetLayoutView="100" zoomScalePageLayoutView="0" workbookViewId="0" topLeftCell="A17">
      <selection activeCell="N30" sqref="N30"/>
    </sheetView>
  </sheetViews>
  <sheetFormatPr defaultColWidth="9.140625" defaultRowHeight="15"/>
  <cols>
    <col min="1" max="1" width="3.140625" style="591" customWidth="1"/>
    <col min="2" max="3" width="2.57421875" style="591" customWidth="1"/>
    <col min="4" max="4" width="3.8515625" style="591" customWidth="1"/>
    <col min="5" max="5" width="15.28125" style="27" customWidth="1"/>
    <col min="6" max="6" width="15.57421875" style="27" customWidth="1"/>
    <col min="7" max="7" width="9.421875" style="591" customWidth="1"/>
    <col min="8" max="8" width="6.7109375" style="591" customWidth="1"/>
    <col min="9" max="9" width="9.8515625" style="591" customWidth="1"/>
    <col min="10" max="10" width="11.140625" style="591" customWidth="1"/>
    <col min="11" max="12" width="11.28125" style="591" bestFit="1" customWidth="1"/>
    <col min="13" max="13" width="12.421875" style="591" bestFit="1" customWidth="1"/>
    <col min="14" max="14" width="3.140625" style="3" customWidth="1"/>
    <col min="15" max="15" width="3.7109375" style="3" customWidth="1"/>
    <col min="16" max="16384" width="9.00390625" style="591" customWidth="1"/>
  </cols>
  <sheetData>
    <row r="1" spans="1:6" ht="13.5" customHeight="1">
      <c r="A1" s="1269" t="s">
        <v>29</v>
      </c>
      <c r="B1" s="1269"/>
      <c r="C1" s="1269"/>
      <c r="D1" s="1269"/>
      <c r="E1" s="1269"/>
      <c r="F1" s="3"/>
    </row>
    <row r="2" spans="1:14" ht="13.5" customHeight="1">
      <c r="A2" s="4"/>
      <c r="B2" s="4"/>
      <c r="C2" s="4"/>
      <c r="D2" s="4"/>
      <c r="E2" s="1182"/>
      <c r="F2" s="3"/>
      <c r="N2" s="4"/>
    </row>
    <row r="3" spans="1:14" ht="13.5" customHeight="1">
      <c r="A3" s="4"/>
      <c r="B3" s="4" t="s">
        <v>30</v>
      </c>
      <c r="C3" s="1182" t="s">
        <v>34</v>
      </c>
      <c r="D3" s="4"/>
      <c r="E3" s="1182"/>
      <c r="F3" s="1190" t="s">
        <v>28</v>
      </c>
      <c r="N3" s="4"/>
    </row>
    <row r="4" spans="1:14" ht="13.5" customHeight="1">
      <c r="A4" s="4"/>
      <c r="B4" s="4"/>
      <c r="C4" s="4"/>
      <c r="D4" s="4"/>
      <c r="E4" s="1182"/>
      <c r="F4" s="1190" t="s">
        <v>63</v>
      </c>
      <c r="N4" s="4"/>
    </row>
    <row r="5" spans="1:15" ht="13.5" customHeight="1">
      <c r="A5" s="4"/>
      <c r="B5" s="4"/>
      <c r="C5" s="4"/>
      <c r="D5" s="4"/>
      <c r="E5" s="1182"/>
      <c r="F5" s="3"/>
      <c r="M5" s="591" t="s">
        <v>38</v>
      </c>
      <c r="N5" s="4"/>
      <c r="O5" s="555"/>
    </row>
    <row r="6" spans="1:14" ht="13.5" customHeight="1">
      <c r="A6" s="6"/>
      <c r="F6" s="3"/>
      <c r="I6" s="8"/>
      <c r="J6" s="9"/>
      <c r="K6" s="8" t="s">
        <v>195</v>
      </c>
      <c r="L6" s="105" t="str">
        <f>IF('使い方'!$E$6="","",'使い方'!$E$6)</f>
        <v>Ｂ金属株式会社</v>
      </c>
      <c r="M6" s="621"/>
      <c r="N6" s="4"/>
    </row>
    <row r="7" spans="1:14" ht="13.5" customHeight="1" thickBot="1">
      <c r="A7" s="6"/>
      <c r="F7" s="3"/>
      <c r="I7" s="10"/>
      <c r="J7" s="10"/>
      <c r="N7" s="4"/>
    </row>
    <row r="8" spans="1:15" ht="27" customHeight="1">
      <c r="A8" s="1270" t="s">
        <v>13</v>
      </c>
      <c r="B8" s="1272" t="s">
        <v>14</v>
      </c>
      <c r="C8" s="1272"/>
      <c r="D8" s="1273"/>
      <c r="E8" s="12" t="s">
        <v>15</v>
      </c>
      <c r="F8" s="12" t="s">
        <v>16</v>
      </c>
      <c r="G8" s="12" t="s">
        <v>17</v>
      </c>
      <c r="H8" s="12" t="s">
        <v>18</v>
      </c>
      <c r="I8" s="12" t="s">
        <v>7</v>
      </c>
      <c r="J8" s="12" t="s">
        <v>7</v>
      </c>
      <c r="K8" s="1274" t="s">
        <v>19</v>
      </c>
      <c r="L8" s="1273"/>
      <c r="M8" s="12" t="s">
        <v>20</v>
      </c>
      <c r="N8" s="1275" t="s">
        <v>13</v>
      </c>
      <c r="O8" s="1277" t="s">
        <v>227</v>
      </c>
    </row>
    <row r="9" spans="1:15" ht="42" customHeight="1" thickBot="1">
      <c r="A9" s="1271"/>
      <c r="B9" s="13" t="s">
        <v>21</v>
      </c>
      <c r="C9" s="13" t="s">
        <v>22</v>
      </c>
      <c r="D9" s="14" t="s">
        <v>23</v>
      </c>
      <c r="E9" s="102"/>
      <c r="F9" s="16"/>
      <c r="G9" s="17"/>
      <c r="H9" s="17"/>
      <c r="I9" s="17" t="s">
        <v>24</v>
      </c>
      <c r="J9" s="17" t="s">
        <v>44</v>
      </c>
      <c r="K9" s="17" t="s">
        <v>25</v>
      </c>
      <c r="L9" s="18" t="s">
        <v>42</v>
      </c>
      <c r="M9" s="17" t="s">
        <v>26</v>
      </c>
      <c r="N9" s="1276"/>
      <c r="O9" s="1278"/>
    </row>
    <row r="10" spans="1:15" ht="30.75" customHeight="1">
      <c r="A10" s="352">
        <v>1</v>
      </c>
      <c r="B10" s="1281"/>
      <c r="C10" s="1282"/>
      <c r="D10" s="1282"/>
      <c r="E10" s="954"/>
      <c r="F10" s="20"/>
      <c r="G10" s="366"/>
      <c r="H10" s="367"/>
      <c r="I10" s="335">
        <f>IF(G10="","",ROUNDDOWN(J10*(1+O10/100),0))</f>
      </c>
      <c r="J10" s="377"/>
      <c r="K10" s="335">
        <f>IF(I10="","",ROUNDDOWN(L10*(1+O10/100),0))</f>
      </c>
      <c r="L10" s="335">
        <f aca="true" t="shared" si="0" ref="L10:L29">IF(J10="","",ROUNDDOWN(J10*G10,0))</f>
      </c>
      <c r="M10" s="343">
        <f aca="true" t="shared" si="1" ref="M10:M29">L10</f>
      </c>
      <c r="N10" s="361">
        <v>1</v>
      </c>
      <c r="O10" s="938">
        <v>8</v>
      </c>
    </row>
    <row r="11" spans="1:15" ht="30.75" customHeight="1">
      <c r="A11" s="357">
        <v>2</v>
      </c>
      <c r="B11" s="1263"/>
      <c r="C11" s="1264"/>
      <c r="D11" s="1264"/>
      <c r="E11" s="955"/>
      <c r="F11" s="25"/>
      <c r="G11" s="366"/>
      <c r="H11" s="367"/>
      <c r="I11" s="335">
        <f aca="true" t="shared" si="2" ref="I11:I29">IF(G11="","",ROUNDDOWN(J11*(1+O11/100),0))</f>
      </c>
      <c r="J11" s="377"/>
      <c r="K11" s="335">
        <f aca="true" t="shared" si="3" ref="K11:K29">IF(I11="","",ROUNDDOWN(L11*(1+O11/100),0))</f>
      </c>
      <c r="L11" s="335">
        <f t="shared" si="0"/>
      </c>
      <c r="M11" s="343">
        <f t="shared" si="1"/>
      </c>
      <c r="N11" s="362">
        <v>2</v>
      </c>
      <c r="O11" s="938">
        <v>8</v>
      </c>
    </row>
    <row r="12" spans="1:15" ht="30.75" customHeight="1">
      <c r="A12" s="357">
        <v>3</v>
      </c>
      <c r="B12" s="1263"/>
      <c r="C12" s="1264"/>
      <c r="D12" s="1264"/>
      <c r="E12" s="955"/>
      <c r="F12" s="25"/>
      <c r="G12" s="366"/>
      <c r="H12" s="367"/>
      <c r="I12" s="335">
        <f t="shared" si="2"/>
      </c>
      <c r="J12" s="377"/>
      <c r="K12" s="335">
        <f t="shared" si="3"/>
      </c>
      <c r="L12" s="335">
        <f t="shared" si="0"/>
      </c>
      <c r="M12" s="343">
        <f t="shared" si="1"/>
      </c>
      <c r="N12" s="361">
        <v>3</v>
      </c>
      <c r="O12" s="938">
        <v>8</v>
      </c>
    </row>
    <row r="13" spans="1:15" ht="30.75" customHeight="1">
      <c r="A13" s="357">
        <v>4</v>
      </c>
      <c r="B13" s="1263"/>
      <c r="C13" s="1264"/>
      <c r="D13" s="1264"/>
      <c r="E13" s="955"/>
      <c r="F13" s="25"/>
      <c r="G13" s="366"/>
      <c r="H13" s="367"/>
      <c r="I13" s="335">
        <f t="shared" si="2"/>
      </c>
      <c r="J13" s="377"/>
      <c r="K13" s="335">
        <f t="shared" si="3"/>
      </c>
      <c r="L13" s="335">
        <f t="shared" si="0"/>
      </c>
      <c r="M13" s="343">
        <f t="shared" si="1"/>
      </c>
      <c r="N13" s="362">
        <v>4</v>
      </c>
      <c r="O13" s="938">
        <v>8</v>
      </c>
    </row>
    <row r="14" spans="1:15" ht="30.75" customHeight="1">
      <c r="A14" s="357">
        <v>5</v>
      </c>
      <c r="B14" s="1263"/>
      <c r="C14" s="1264"/>
      <c r="D14" s="1264"/>
      <c r="E14" s="956"/>
      <c r="F14" s="25"/>
      <c r="G14" s="366"/>
      <c r="H14" s="367"/>
      <c r="I14" s="335">
        <f t="shared" si="2"/>
      </c>
      <c r="J14" s="377"/>
      <c r="K14" s="335">
        <f t="shared" si="3"/>
      </c>
      <c r="L14" s="335">
        <f t="shared" si="0"/>
      </c>
      <c r="M14" s="343">
        <f t="shared" si="1"/>
      </c>
      <c r="N14" s="361">
        <v>5</v>
      </c>
      <c r="O14" s="938">
        <v>8</v>
      </c>
    </row>
    <row r="15" spans="1:15" ht="30.75" customHeight="1">
      <c r="A15" s="357">
        <v>6</v>
      </c>
      <c r="B15" s="1263"/>
      <c r="C15" s="1264"/>
      <c r="D15" s="1264"/>
      <c r="E15" s="956"/>
      <c r="F15" s="25"/>
      <c r="G15" s="366"/>
      <c r="H15" s="367"/>
      <c r="I15" s="335">
        <f t="shared" si="2"/>
      </c>
      <c r="J15" s="377"/>
      <c r="K15" s="335">
        <f t="shared" si="3"/>
      </c>
      <c r="L15" s="335">
        <f t="shared" si="0"/>
      </c>
      <c r="M15" s="343">
        <f t="shared" si="1"/>
      </c>
      <c r="N15" s="362">
        <v>6</v>
      </c>
      <c r="O15" s="938">
        <v>8</v>
      </c>
    </row>
    <row r="16" spans="1:15" ht="30.75" customHeight="1">
      <c r="A16" s="357">
        <v>7</v>
      </c>
      <c r="B16" s="1263"/>
      <c r="C16" s="1264"/>
      <c r="D16" s="1264"/>
      <c r="E16" s="956"/>
      <c r="F16" s="28"/>
      <c r="G16" s="366"/>
      <c r="H16" s="367"/>
      <c r="I16" s="335">
        <f t="shared" si="2"/>
      </c>
      <c r="J16" s="377"/>
      <c r="K16" s="335">
        <f t="shared" si="3"/>
      </c>
      <c r="L16" s="335">
        <f t="shared" si="0"/>
      </c>
      <c r="M16" s="343">
        <f t="shared" si="1"/>
      </c>
      <c r="N16" s="361">
        <v>7</v>
      </c>
      <c r="O16" s="938">
        <v>8</v>
      </c>
    </row>
    <row r="17" spans="1:15" ht="30.75" customHeight="1">
      <c r="A17" s="357">
        <v>8</v>
      </c>
      <c r="B17" s="1263"/>
      <c r="C17" s="1264"/>
      <c r="D17" s="1264"/>
      <c r="E17" s="955"/>
      <c r="F17" s="337"/>
      <c r="G17" s="366"/>
      <c r="H17" s="367"/>
      <c r="I17" s="335">
        <f t="shared" si="2"/>
      </c>
      <c r="J17" s="377"/>
      <c r="K17" s="335">
        <f t="shared" si="3"/>
      </c>
      <c r="L17" s="335">
        <f t="shared" si="0"/>
      </c>
      <c r="M17" s="343">
        <f t="shared" si="1"/>
      </c>
      <c r="N17" s="362">
        <v>8</v>
      </c>
      <c r="O17" s="938">
        <v>8</v>
      </c>
    </row>
    <row r="18" spans="1:15" ht="30.75" customHeight="1">
      <c r="A18" s="357">
        <v>9</v>
      </c>
      <c r="B18" s="1263"/>
      <c r="C18" s="1264"/>
      <c r="D18" s="1264"/>
      <c r="E18" s="956"/>
      <c r="F18" s="25"/>
      <c r="G18" s="366"/>
      <c r="H18" s="367"/>
      <c r="I18" s="335">
        <f t="shared" si="2"/>
      </c>
      <c r="J18" s="377"/>
      <c r="K18" s="335">
        <f t="shared" si="3"/>
      </c>
      <c r="L18" s="335">
        <f t="shared" si="0"/>
      </c>
      <c r="M18" s="343">
        <f t="shared" si="1"/>
      </c>
      <c r="N18" s="361">
        <v>9</v>
      </c>
      <c r="O18" s="938">
        <v>8</v>
      </c>
    </row>
    <row r="19" spans="1:15" ht="30.75" customHeight="1">
      <c r="A19" s="357">
        <v>10</v>
      </c>
      <c r="B19" s="1263"/>
      <c r="C19" s="1264"/>
      <c r="D19" s="1264"/>
      <c r="E19" s="956"/>
      <c r="F19" s="25"/>
      <c r="G19" s="366"/>
      <c r="H19" s="367"/>
      <c r="I19" s="335">
        <f t="shared" si="2"/>
      </c>
      <c r="J19" s="377"/>
      <c r="K19" s="335">
        <f t="shared" si="3"/>
      </c>
      <c r="L19" s="335">
        <f t="shared" si="0"/>
      </c>
      <c r="M19" s="343">
        <f t="shared" si="1"/>
      </c>
      <c r="N19" s="362">
        <v>10</v>
      </c>
      <c r="O19" s="938">
        <v>8</v>
      </c>
    </row>
    <row r="20" spans="1:15" ht="30.75" customHeight="1">
      <c r="A20" s="357">
        <v>11</v>
      </c>
      <c r="B20" s="1263"/>
      <c r="C20" s="1264"/>
      <c r="D20" s="1264"/>
      <c r="E20" s="956"/>
      <c r="F20" s="25"/>
      <c r="G20" s="366"/>
      <c r="H20" s="367"/>
      <c r="I20" s="335">
        <f t="shared" si="2"/>
      </c>
      <c r="J20" s="377"/>
      <c r="K20" s="335">
        <f t="shared" si="3"/>
      </c>
      <c r="L20" s="335">
        <f t="shared" si="0"/>
      </c>
      <c r="M20" s="343">
        <f t="shared" si="1"/>
      </c>
      <c r="N20" s="361">
        <v>11</v>
      </c>
      <c r="O20" s="938">
        <v>8</v>
      </c>
    </row>
    <row r="21" spans="1:15" ht="30.75" customHeight="1">
      <c r="A21" s="357">
        <v>12</v>
      </c>
      <c r="B21" s="1263"/>
      <c r="C21" s="1264"/>
      <c r="D21" s="1264"/>
      <c r="E21" s="956"/>
      <c r="F21" s="25"/>
      <c r="G21" s="366"/>
      <c r="H21" s="367"/>
      <c r="I21" s="335">
        <f t="shared" si="2"/>
      </c>
      <c r="J21" s="377"/>
      <c r="K21" s="335">
        <f t="shared" si="3"/>
      </c>
      <c r="L21" s="335">
        <f t="shared" si="0"/>
      </c>
      <c r="M21" s="343">
        <f t="shared" si="1"/>
      </c>
      <c r="N21" s="362">
        <v>12</v>
      </c>
      <c r="O21" s="938">
        <v>8</v>
      </c>
    </row>
    <row r="22" spans="1:15" ht="30.75" customHeight="1">
      <c r="A22" s="357">
        <v>13</v>
      </c>
      <c r="B22" s="1263"/>
      <c r="C22" s="1264"/>
      <c r="D22" s="1264"/>
      <c r="E22" s="956"/>
      <c r="F22" s="25"/>
      <c r="G22" s="366"/>
      <c r="H22" s="367"/>
      <c r="I22" s="335">
        <f t="shared" si="2"/>
      </c>
      <c r="J22" s="377"/>
      <c r="K22" s="335">
        <f t="shared" si="3"/>
      </c>
      <c r="L22" s="335">
        <f t="shared" si="0"/>
      </c>
      <c r="M22" s="343">
        <f t="shared" si="1"/>
      </c>
      <c r="N22" s="361">
        <v>13</v>
      </c>
      <c r="O22" s="938">
        <v>8</v>
      </c>
    </row>
    <row r="23" spans="1:15" ht="30.75" customHeight="1">
      <c r="A23" s="357">
        <v>14</v>
      </c>
      <c r="B23" s="1263"/>
      <c r="C23" s="1264"/>
      <c r="D23" s="1264"/>
      <c r="E23" s="957"/>
      <c r="F23" s="25"/>
      <c r="G23" s="366"/>
      <c r="H23" s="367"/>
      <c r="I23" s="335">
        <f t="shared" si="2"/>
      </c>
      <c r="J23" s="377"/>
      <c r="K23" s="335">
        <f t="shared" si="3"/>
      </c>
      <c r="L23" s="335">
        <f t="shared" si="0"/>
      </c>
      <c r="M23" s="343">
        <f t="shared" si="1"/>
      </c>
      <c r="N23" s="362">
        <v>14</v>
      </c>
      <c r="O23" s="938">
        <v>8</v>
      </c>
    </row>
    <row r="24" spans="1:15" ht="30.75" customHeight="1">
      <c r="A24" s="357">
        <v>15</v>
      </c>
      <c r="B24" s="1263"/>
      <c r="C24" s="1264"/>
      <c r="D24" s="1264"/>
      <c r="E24" s="957"/>
      <c r="F24" s="25"/>
      <c r="G24" s="366"/>
      <c r="H24" s="367"/>
      <c r="I24" s="335">
        <f t="shared" si="2"/>
      </c>
      <c r="J24" s="377"/>
      <c r="K24" s="335">
        <f t="shared" si="3"/>
      </c>
      <c r="L24" s="335">
        <f t="shared" si="0"/>
      </c>
      <c r="M24" s="343">
        <f t="shared" si="1"/>
      </c>
      <c r="N24" s="361">
        <v>15</v>
      </c>
      <c r="O24" s="938">
        <v>8</v>
      </c>
    </row>
    <row r="25" spans="1:15" ht="30.75" customHeight="1">
      <c r="A25" s="357">
        <v>16</v>
      </c>
      <c r="B25" s="1263"/>
      <c r="C25" s="1264"/>
      <c r="D25" s="1264"/>
      <c r="E25" s="956"/>
      <c r="F25" s="25"/>
      <c r="G25" s="366"/>
      <c r="H25" s="367"/>
      <c r="I25" s="335">
        <f t="shared" si="2"/>
      </c>
      <c r="J25" s="377"/>
      <c r="K25" s="335">
        <f t="shared" si="3"/>
      </c>
      <c r="L25" s="335">
        <f t="shared" si="0"/>
      </c>
      <c r="M25" s="343">
        <f t="shared" si="1"/>
      </c>
      <c r="N25" s="362">
        <v>16</v>
      </c>
      <c r="O25" s="938">
        <v>8</v>
      </c>
    </row>
    <row r="26" spans="1:15" ht="30.75" customHeight="1">
      <c r="A26" s="357">
        <v>17</v>
      </c>
      <c r="B26" s="1263"/>
      <c r="C26" s="1264"/>
      <c r="D26" s="1264"/>
      <c r="E26" s="956"/>
      <c r="F26" s="25"/>
      <c r="G26" s="366"/>
      <c r="H26" s="367"/>
      <c r="I26" s="335">
        <f t="shared" si="2"/>
      </c>
      <c r="J26" s="377"/>
      <c r="K26" s="335">
        <f t="shared" si="3"/>
      </c>
      <c r="L26" s="335">
        <f t="shared" si="0"/>
      </c>
      <c r="M26" s="343">
        <f t="shared" si="1"/>
      </c>
      <c r="N26" s="361">
        <v>17</v>
      </c>
      <c r="O26" s="938">
        <v>8</v>
      </c>
    </row>
    <row r="27" spans="1:15" ht="30.75" customHeight="1">
      <c r="A27" s="357">
        <v>18</v>
      </c>
      <c r="B27" s="1263"/>
      <c r="C27" s="1264"/>
      <c r="D27" s="1264"/>
      <c r="E27" s="956"/>
      <c r="F27" s="25"/>
      <c r="G27" s="366"/>
      <c r="H27" s="367"/>
      <c r="I27" s="335">
        <f t="shared" si="2"/>
      </c>
      <c r="J27" s="377"/>
      <c r="K27" s="335">
        <f t="shared" si="3"/>
      </c>
      <c r="L27" s="335">
        <f t="shared" si="0"/>
      </c>
      <c r="M27" s="343">
        <f t="shared" si="1"/>
      </c>
      <c r="N27" s="362">
        <v>18</v>
      </c>
      <c r="O27" s="938">
        <v>8</v>
      </c>
    </row>
    <row r="28" spans="1:15" ht="30.75" customHeight="1">
      <c r="A28" s="357">
        <v>19</v>
      </c>
      <c r="B28" s="1263"/>
      <c r="C28" s="1264"/>
      <c r="D28" s="1264"/>
      <c r="E28" s="957"/>
      <c r="F28" s="25"/>
      <c r="G28" s="366"/>
      <c r="H28" s="367"/>
      <c r="I28" s="335">
        <f t="shared" si="2"/>
      </c>
      <c r="J28" s="377"/>
      <c r="K28" s="335">
        <f t="shared" si="3"/>
      </c>
      <c r="L28" s="335">
        <f t="shared" si="0"/>
      </c>
      <c r="M28" s="343">
        <f t="shared" si="1"/>
      </c>
      <c r="N28" s="361">
        <v>19</v>
      </c>
      <c r="O28" s="938">
        <v>8</v>
      </c>
    </row>
    <row r="29" spans="1:15" ht="30.75" customHeight="1" thickBot="1">
      <c r="A29" s="959">
        <v>20</v>
      </c>
      <c r="B29" s="1265"/>
      <c r="C29" s="1266"/>
      <c r="D29" s="1266"/>
      <c r="E29" s="958"/>
      <c r="F29" s="581"/>
      <c r="G29" s="951"/>
      <c r="H29" s="952"/>
      <c r="I29" s="942">
        <f t="shared" si="2"/>
      </c>
      <c r="J29" s="953"/>
      <c r="K29" s="942">
        <f t="shared" si="3"/>
      </c>
      <c r="L29" s="942">
        <f t="shared" si="0"/>
      </c>
      <c r="M29" s="943">
        <f t="shared" si="1"/>
      </c>
      <c r="N29" s="944">
        <v>20</v>
      </c>
      <c r="O29" s="945">
        <v>8</v>
      </c>
    </row>
    <row r="30" spans="1:14" ht="21" customHeight="1" thickBot="1">
      <c r="A30" s="1288" t="s">
        <v>27</v>
      </c>
      <c r="B30" s="1289"/>
      <c r="C30" s="1289"/>
      <c r="D30" s="1289"/>
      <c r="E30" s="1289"/>
      <c r="F30" s="1289"/>
      <c r="G30" s="1289"/>
      <c r="H30" s="1289"/>
      <c r="I30" s="1289"/>
      <c r="J30" s="1186"/>
      <c r="K30" s="1038">
        <f>SUM(K10:K29)</f>
        <v>0</v>
      </c>
      <c r="L30" s="1037">
        <f>SUM(L10:L29)</f>
        <v>0</v>
      </c>
      <c r="M30" s="1036">
        <f>SUM(M10:M29)</f>
        <v>0</v>
      </c>
      <c r="N30" s="363"/>
    </row>
    <row r="31" spans="1:14" ht="13.5" customHeight="1">
      <c r="A31" s="6"/>
      <c r="N31" s="4"/>
    </row>
    <row r="32" spans="1:14" ht="13.5" customHeight="1">
      <c r="A32" s="6"/>
      <c r="B32" s="591" t="s">
        <v>35</v>
      </c>
      <c r="D32" s="6"/>
      <c r="E32" s="27" t="s">
        <v>196</v>
      </c>
      <c r="N32" s="4"/>
    </row>
    <row r="33" ht="13.5" customHeight="1">
      <c r="E33" s="27" t="s">
        <v>197</v>
      </c>
    </row>
    <row r="34" spans="2:5" ht="13.5" customHeight="1">
      <c r="B34" s="591" t="s">
        <v>36</v>
      </c>
      <c r="E34" s="27" t="s">
        <v>198</v>
      </c>
    </row>
    <row r="35" spans="2:5" ht="13.5" customHeight="1">
      <c r="B35" s="591" t="s">
        <v>37</v>
      </c>
      <c r="E35" s="27" t="s">
        <v>199</v>
      </c>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zoomScaleSheetLayoutView="100" zoomScalePageLayoutView="0" workbookViewId="0" topLeftCell="A16">
      <selection activeCell="M30" sqref="M30"/>
    </sheetView>
  </sheetViews>
  <sheetFormatPr defaultColWidth="9.140625" defaultRowHeight="15"/>
  <cols>
    <col min="1" max="1" width="3.140625" style="591" customWidth="1"/>
    <col min="2" max="3" width="2.57421875" style="591" customWidth="1"/>
    <col min="4" max="4" width="5.7109375" style="591" customWidth="1"/>
    <col min="5" max="5" width="15.57421875" style="27" customWidth="1"/>
    <col min="6" max="6" width="17.00390625" style="27" bestFit="1" customWidth="1"/>
    <col min="7" max="7" width="9.421875" style="591" customWidth="1"/>
    <col min="8" max="8" width="5.140625" style="591" customWidth="1"/>
    <col min="9" max="9" width="9.8515625" style="591" customWidth="1"/>
    <col min="10" max="10" width="11.140625" style="591" customWidth="1"/>
    <col min="11" max="11" width="11.57421875" style="591" customWidth="1"/>
    <col min="12" max="12" width="11.7109375" style="591" customWidth="1"/>
    <col min="13" max="13" width="12.28125" style="591" bestFit="1" customWidth="1"/>
    <col min="14" max="14" width="3.140625" style="3" customWidth="1"/>
    <col min="15" max="15" width="4.421875" style="3" customWidth="1"/>
    <col min="16" max="16384" width="9.00390625" style="591" customWidth="1"/>
  </cols>
  <sheetData>
    <row r="1" spans="1:6" ht="13.5" customHeight="1">
      <c r="A1" s="1269" t="s">
        <v>29</v>
      </c>
      <c r="B1" s="1269"/>
      <c r="C1" s="1269"/>
      <c r="D1" s="1269"/>
      <c r="E1" s="1269"/>
      <c r="F1" s="3"/>
    </row>
    <row r="2" spans="1:14" ht="13.5" customHeight="1">
      <c r="A2" s="4"/>
      <c r="B2" s="4"/>
      <c r="C2" s="4"/>
      <c r="D2" s="4"/>
      <c r="E2" s="1182"/>
      <c r="F2" s="3"/>
      <c r="N2" s="4"/>
    </row>
    <row r="3" spans="1:14" ht="13.5" customHeight="1">
      <c r="A3" s="4"/>
      <c r="B3" s="4" t="s">
        <v>30</v>
      </c>
      <c r="C3" s="1182" t="s">
        <v>34</v>
      </c>
      <c r="D3" s="4"/>
      <c r="E3" s="1182"/>
      <c r="F3" s="1190" t="s">
        <v>28</v>
      </c>
      <c r="N3" s="4"/>
    </row>
    <row r="4" spans="1:14" ht="13.5" customHeight="1">
      <c r="A4" s="4"/>
      <c r="B4" s="4"/>
      <c r="C4" s="4"/>
      <c r="D4" s="4"/>
      <c r="E4" s="1182"/>
      <c r="F4" s="1190" t="s">
        <v>61</v>
      </c>
      <c r="N4" s="4"/>
    </row>
    <row r="5" spans="1:15" ht="13.5" customHeight="1">
      <c r="A5" s="4"/>
      <c r="B5" s="4"/>
      <c r="C5" s="4"/>
      <c r="D5" s="4"/>
      <c r="E5" s="1182"/>
      <c r="F5" s="3"/>
      <c r="M5" s="591" t="s">
        <v>38</v>
      </c>
      <c r="N5" s="4"/>
      <c r="O5" s="555"/>
    </row>
    <row r="6" spans="1:14" ht="13.5" customHeight="1">
      <c r="A6" s="6"/>
      <c r="F6" s="3"/>
      <c r="I6" s="8"/>
      <c r="J6" s="9"/>
      <c r="K6" s="8" t="s">
        <v>195</v>
      </c>
      <c r="L6" s="105" t="str">
        <f>IF('使い方'!$E$6="","",'使い方'!$E$6)</f>
        <v>Ｂ金属株式会社</v>
      </c>
      <c r="M6" s="621"/>
      <c r="N6" s="4"/>
    </row>
    <row r="7" spans="1:14" ht="13.5" customHeight="1" thickBot="1">
      <c r="A7" s="6"/>
      <c r="F7" s="3"/>
      <c r="I7" s="10"/>
      <c r="J7" s="10"/>
      <c r="N7" s="4"/>
    </row>
    <row r="8" spans="1:15" ht="27" customHeight="1">
      <c r="A8" s="1270" t="s">
        <v>13</v>
      </c>
      <c r="B8" s="1272" t="s">
        <v>14</v>
      </c>
      <c r="C8" s="1272"/>
      <c r="D8" s="1273"/>
      <c r="E8" s="12" t="s">
        <v>15</v>
      </c>
      <c r="F8" s="12" t="s">
        <v>16</v>
      </c>
      <c r="G8" s="12" t="s">
        <v>17</v>
      </c>
      <c r="H8" s="12" t="s">
        <v>18</v>
      </c>
      <c r="I8" s="12" t="s">
        <v>7</v>
      </c>
      <c r="J8" s="12" t="s">
        <v>7</v>
      </c>
      <c r="K8" s="1274" t="s">
        <v>19</v>
      </c>
      <c r="L8" s="1273"/>
      <c r="M8" s="12" t="s">
        <v>20</v>
      </c>
      <c r="N8" s="1275" t="s">
        <v>13</v>
      </c>
      <c r="O8" s="1277" t="s">
        <v>227</v>
      </c>
    </row>
    <row r="9" spans="1:15" ht="42" customHeight="1" thickBot="1">
      <c r="A9" s="1271"/>
      <c r="B9" s="13" t="s">
        <v>21</v>
      </c>
      <c r="C9" s="13" t="s">
        <v>22</v>
      </c>
      <c r="D9" s="14" t="s">
        <v>23</v>
      </c>
      <c r="E9" s="102"/>
      <c r="F9" s="16"/>
      <c r="G9" s="17"/>
      <c r="H9" s="17"/>
      <c r="I9" s="17" t="s">
        <v>24</v>
      </c>
      <c r="J9" s="17" t="s">
        <v>44</v>
      </c>
      <c r="K9" s="17" t="s">
        <v>25</v>
      </c>
      <c r="L9" s="18" t="s">
        <v>42</v>
      </c>
      <c r="M9" s="17" t="s">
        <v>26</v>
      </c>
      <c r="N9" s="1276"/>
      <c r="O9" s="1278"/>
    </row>
    <row r="10" spans="1:15" ht="30.75" customHeight="1">
      <c r="A10" s="36">
        <v>1</v>
      </c>
      <c r="B10" s="1281"/>
      <c r="C10" s="1282"/>
      <c r="D10" s="1282"/>
      <c r="E10" s="954"/>
      <c r="F10" s="20"/>
      <c r="G10" s="366"/>
      <c r="H10" s="367"/>
      <c r="I10" s="335">
        <f>IF(G10="","",ROUNDDOWN(J10*(1+O10/100),0))</f>
      </c>
      <c r="J10" s="377"/>
      <c r="K10" s="335">
        <f>IF(I10="","",ROUNDDOWN(L10*(1+O10/100),0))</f>
      </c>
      <c r="L10" s="335">
        <f aca="true" t="shared" si="0" ref="L10:L29">IF(J10="","",ROUNDDOWN(J10*G10,0))</f>
      </c>
      <c r="M10" s="343">
        <f aca="true" t="shared" si="1" ref="M10:M29">L10</f>
      </c>
      <c r="N10" s="968">
        <v>1</v>
      </c>
      <c r="O10" s="938">
        <v>8</v>
      </c>
    </row>
    <row r="11" spans="1:15" ht="30.75" customHeight="1">
      <c r="A11" s="37">
        <v>2</v>
      </c>
      <c r="B11" s="1263"/>
      <c r="C11" s="1264"/>
      <c r="D11" s="1264"/>
      <c r="E11" s="955"/>
      <c r="F11" s="25"/>
      <c r="G11" s="366"/>
      <c r="H11" s="367"/>
      <c r="I11" s="335">
        <f aca="true" t="shared" si="2" ref="I11:I29">IF(G11="","",ROUNDDOWN(J11*(1+O11/100),0))</f>
      </c>
      <c r="J11" s="377"/>
      <c r="K11" s="335">
        <f aca="true" t="shared" si="3" ref="K11:K29">IF(I11="","",ROUNDDOWN(L11*(1+O11/100),0))</f>
      </c>
      <c r="L11" s="335">
        <f t="shared" si="0"/>
      </c>
      <c r="M11" s="343">
        <f t="shared" si="1"/>
      </c>
      <c r="N11" s="969">
        <v>2</v>
      </c>
      <c r="O11" s="938">
        <v>8</v>
      </c>
    </row>
    <row r="12" spans="1:15" ht="30.75" customHeight="1">
      <c r="A12" s="37">
        <v>3</v>
      </c>
      <c r="B12" s="1263"/>
      <c r="C12" s="1264"/>
      <c r="D12" s="1264"/>
      <c r="E12" s="955"/>
      <c r="F12" s="25"/>
      <c r="G12" s="366"/>
      <c r="H12" s="367"/>
      <c r="I12" s="335">
        <f t="shared" si="2"/>
      </c>
      <c r="J12" s="377"/>
      <c r="K12" s="335">
        <f t="shared" si="3"/>
      </c>
      <c r="L12" s="335">
        <f t="shared" si="0"/>
      </c>
      <c r="M12" s="343">
        <f t="shared" si="1"/>
      </c>
      <c r="N12" s="968">
        <v>3</v>
      </c>
      <c r="O12" s="938">
        <v>8</v>
      </c>
    </row>
    <row r="13" spans="1:15" ht="30.75" customHeight="1">
      <c r="A13" s="37">
        <v>4</v>
      </c>
      <c r="B13" s="1263"/>
      <c r="C13" s="1264"/>
      <c r="D13" s="1264"/>
      <c r="E13" s="955"/>
      <c r="F13" s="25"/>
      <c r="G13" s="366"/>
      <c r="H13" s="367"/>
      <c r="I13" s="335">
        <f t="shared" si="2"/>
      </c>
      <c r="J13" s="377"/>
      <c r="K13" s="335">
        <f t="shared" si="3"/>
      </c>
      <c r="L13" s="335">
        <f t="shared" si="0"/>
      </c>
      <c r="M13" s="343">
        <f t="shared" si="1"/>
      </c>
      <c r="N13" s="969">
        <v>4</v>
      </c>
      <c r="O13" s="938">
        <v>8</v>
      </c>
    </row>
    <row r="14" spans="1:15" ht="30.75" customHeight="1">
      <c r="A14" s="37">
        <v>5</v>
      </c>
      <c r="B14" s="1263"/>
      <c r="C14" s="1264"/>
      <c r="D14" s="1264"/>
      <c r="E14" s="956"/>
      <c r="F14" s="25"/>
      <c r="G14" s="366"/>
      <c r="H14" s="367"/>
      <c r="I14" s="335">
        <f t="shared" si="2"/>
      </c>
      <c r="J14" s="377"/>
      <c r="K14" s="335">
        <f t="shared" si="3"/>
      </c>
      <c r="L14" s="335">
        <f t="shared" si="0"/>
      </c>
      <c r="M14" s="343">
        <f t="shared" si="1"/>
      </c>
      <c r="N14" s="968">
        <v>5</v>
      </c>
      <c r="O14" s="938">
        <v>8</v>
      </c>
    </row>
    <row r="15" spans="1:15" ht="30.75" customHeight="1">
      <c r="A15" s="37">
        <v>6</v>
      </c>
      <c r="B15" s="1263"/>
      <c r="C15" s="1264"/>
      <c r="D15" s="1264"/>
      <c r="E15" s="956"/>
      <c r="F15" s="25"/>
      <c r="G15" s="366"/>
      <c r="H15" s="367"/>
      <c r="I15" s="335">
        <f t="shared" si="2"/>
      </c>
      <c r="J15" s="377"/>
      <c r="K15" s="335">
        <f t="shared" si="3"/>
      </c>
      <c r="L15" s="335">
        <f t="shared" si="0"/>
      </c>
      <c r="M15" s="343">
        <f t="shared" si="1"/>
      </c>
      <c r="N15" s="969">
        <v>6</v>
      </c>
      <c r="O15" s="938">
        <v>8</v>
      </c>
    </row>
    <row r="16" spans="1:15" ht="30.75" customHeight="1">
      <c r="A16" s="37">
        <v>7</v>
      </c>
      <c r="B16" s="1263"/>
      <c r="C16" s="1264"/>
      <c r="D16" s="1264"/>
      <c r="E16" s="956"/>
      <c r="F16" s="28"/>
      <c r="G16" s="366"/>
      <c r="H16" s="367"/>
      <c r="I16" s="335">
        <f t="shared" si="2"/>
      </c>
      <c r="J16" s="377"/>
      <c r="K16" s="335">
        <f t="shared" si="3"/>
      </c>
      <c r="L16" s="335">
        <f t="shared" si="0"/>
      </c>
      <c r="M16" s="343">
        <f t="shared" si="1"/>
      </c>
      <c r="N16" s="968">
        <v>7</v>
      </c>
      <c r="O16" s="938">
        <v>8</v>
      </c>
    </row>
    <row r="17" spans="1:15" ht="30.75" customHeight="1">
      <c r="A17" s="37">
        <v>8</v>
      </c>
      <c r="B17" s="1263"/>
      <c r="C17" s="1264"/>
      <c r="D17" s="1264"/>
      <c r="E17" s="955"/>
      <c r="F17" s="337"/>
      <c r="G17" s="366"/>
      <c r="H17" s="367"/>
      <c r="I17" s="335">
        <f t="shared" si="2"/>
      </c>
      <c r="J17" s="377"/>
      <c r="K17" s="335">
        <f t="shared" si="3"/>
      </c>
      <c r="L17" s="335">
        <f t="shared" si="0"/>
      </c>
      <c r="M17" s="343">
        <f t="shared" si="1"/>
      </c>
      <c r="N17" s="969">
        <v>8</v>
      </c>
      <c r="O17" s="938">
        <v>8</v>
      </c>
    </row>
    <row r="18" spans="1:15" ht="30.75" customHeight="1">
      <c r="A18" s="37">
        <v>9</v>
      </c>
      <c r="B18" s="1263"/>
      <c r="C18" s="1264"/>
      <c r="D18" s="1264"/>
      <c r="E18" s="956"/>
      <c r="F18" s="25"/>
      <c r="G18" s="366"/>
      <c r="H18" s="367"/>
      <c r="I18" s="335">
        <f t="shared" si="2"/>
      </c>
      <c r="J18" s="377"/>
      <c r="K18" s="335">
        <f t="shared" si="3"/>
      </c>
      <c r="L18" s="335">
        <f t="shared" si="0"/>
      </c>
      <c r="M18" s="343">
        <f t="shared" si="1"/>
      </c>
      <c r="N18" s="968">
        <v>9</v>
      </c>
      <c r="O18" s="938">
        <v>8</v>
      </c>
    </row>
    <row r="19" spans="1:15" ht="30.75" customHeight="1">
      <c r="A19" s="37">
        <v>10</v>
      </c>
      <c r="B19" s="1263"/>
      <c r="C19" s="1264"/>
      <c r="D19" s="1264"/>
      <c r="E19" s="956"/>
      <c r="F19" s="25"/>
      <c r="G19" s="366"/>
      <c r="H19" s="367"/>
      <c r="I19" s="335">
        <f t="shared" si="2"/>
      </c>
      <c r="J19" s="377"/>
      <c r="K19" s="335">
        <f t="shared" si="3"/>
      </c>
      <c r="L19" s="335">
        <f t="shared" si="0"/>
      </c>
      <c r="M19" s="343">
        <f t="shared" si="1"/>
      </c>
      <c r="N19" s="969">
        <v>10</v>
      </c>
      <c r="O19" s="938">
        <v>8</v>
      </c>
    </row>
    <row r="20" spans="1:15" ht="30.75" customHeight="1">
      <c r="A20" s="37">
        <v>11</v>
      </c>
      <c r="B20" s="1263"/>
      <c r="C20" s="1264"/>
      <c r="D20" s="1264"/>
      <c r="E20" s="956"/>
      <c r="F20" s="25"/>
      <c r="G20" s="366"/>
      <c r="H20" s="367"/>
      <c r="I20" s="335">
        <f t="shared" si="2"/>
      </c>
      <c r="J20" s="377"/>
      <c r="K20" s="335">
        <f t="shared" si="3"/>
      </c>
      <c r="L20" s="335">
        <f t="shared" si="0"/>
      </c>
      <c r="M20" s="343">
        <f t="shared" si="1"/>
      </c>
      <c r="N20" s="968">
        <v>11</v>
      </c>
      <c r="O20" s="938">
        <v>8</v>
      </c>
    </row>
    <row r="21" spans="1:15" ht="30.75" customHeight="1">
      <c r="A21" s="37">
        <v>12</v>
      </c>
      <c r="B21" s="1263"/>
      <c r="C21" s="1264"/>
      <c r="D21" s="1264"/>
      <c r="E21" s="956"/>
      <c r="F21" s="25"/>
      <c r="G21" s="366"/>
      <c r="H21" s="367"/>
      <c r="I21" s="335">
        <f t="shared" si="2"/>
      </c>
      <c r="J21" s="377"/>
      <c r="K21" s="335">
        <f t="shared" si="3"/>
      </c>
      <c r="L21" s="335">
        <f t="shared" si="0"/>
      </c>
      <c r="M21" s="343">
        <f t="shared" si="1"/>
      </c>
      <c r="N21" s="969">
        <v>12</v>
      </c>
      <c r="O21" s="938">
        <v>8</v>
      </c>
    </row>
    <row r="22" spans="1:15" ht="30.75" customHeight="1">
      <c r="A22" s="37">
        <v>13</v>
      </c>
      <c r="B22" s="1263"/>
      <c r="C22" s="1264"/>
      <c r="D22" s="1264"/>
      <c r="E22" s="956"/>
      <c r="F22" s="25"/>
      <c r="G22" s="366"/>
      <c r="H22" s="367"/>
      <c r="I22" s="335">
        <f t="shared" si="2"/>
      </c>
      <c r="J22" s="377"/>
      <c r="K22" s="335">
        <f t="shared" si="3"/>
      </c>
      <c r="L22" s="335">
        <f t="shared" si="0"/>
      </c>
      <c r="M22" s="343">
        <f t="shared" si="1"/>
      </c>
      <c r="N22" s="968">
        <v>13</v>
      </c>
      <c r="O22" s="938">
        <v>8</v>
      </c>
    </row>
    <row r="23" spans="1:15" ht="30.75" customHeight="1">
      <c r="A23" s="37">
        <v>14</v>
      </c>
      <c r="B23" s="1263"/>
      <c r="C23" s="1264"/>
      <c r="D23" s="1264"/>
      <c r="E23" s="957"/>
      <c r="F23" s="25"/>
      <c r="G23" s="366"/>
      <c r="H23" s="367"/>
      <c r="I23" s="335">
        <f t="shared" si="2"/>
      </c>
      <c r="J23" s="377"/>
      <c r="K23" s="335">
        <f t="shared" si="3"/>
      </c>
      <c r="L23" s="335">
        <f t="shared" si="0"/>
      </c>
      <c r="M23" s="343">
        <f t="shared" si="1"/>
      </c>
      <c r="N23" s="969">
        <v>14</v>
      </c>
      <c r="O23" s="938">
        <v>8</v>
      </c>
    </row>
    <row r="24" spans="1:15" ht="30.75" customHeight="1">
      <c r="A24" s="37">
        <v>15</v>
      </c>
      <c r="B24" s="1263"/>
      <c r="C24" s="1264"/>
      <c r="D24" s="1264"/>
      <c r="E24" s="957"/>
      <c r="F24" s="25"/>
      <c r="G24" s="366"/>
      <c r="H24" s="367"/>
      <c r="I24" s="335">
        <f t="shared" si="2"/>
      </c>
      <c r="J24" s="377"/>
      <c r="K24" s="335">
        <f t="shared" si="3"/>
      </c>
      <c r="L24" s="335">
        <f t="shared" si="0"/>
      </c>
      <c r="M24" s="343">
        <f t="shared" si="1"/>
      </c>
      <c r="N24" s="968">
        <v>15</v>
      </c>
      <c r="O24" s="938">
        <v>8</v>
      </c>
    </row>
    <row r="25" spans="1:15" ht="30.75" customHeight="1">
      <c r="A25" s="37">
        <v>16</v>
      </c>
      <c r="B25" s="1263"/>
      <c r="C25" s="1264"/>
      <c r="D25" s="1264"/>
      <c r="E25" s="956"/>
      <c r="F25" s="25"/>
      <c r="G25" s="366"/>
      <c r="H25" s="367"/>
      <c r="I25" s="335">
        <f t="shared" si="2"/>
      </c>
      <c r="J25" s="377"/>
      <c r="K25" s="335">
        <f t="shared" si="3"/>
      </c>
      <c r="L25" s="335">
        <f t="shared" si="0"/>
      </c>
      <c r="M25" s="343">
        <f t="shared" si="1"/>
      </c>
      <c r="N25" s="969">
        <v>16</v>
      </c>
      <c r="O25" s="938">
        <v>8</v>
      </c>
    </row>
    <row r="26" spans="1:15" ht="30.75" customHeight="1">
      <c r="A26" s="37">
        <v>17</v>
      </c>
      <c r="B26" s="1263"/>
      <c r="C26" s="1264"/>
      <c r="D26" s="1264"/>
      <c r="E26" s="956"/>
      <c r="F26" s="25"/>
      <c r="G26" s="366"/>
      <c r="H26" s="367"/>
      <c r="I26" s="335">
        <f t="shared" si="2"/>
      </c>
      <c r="J26" s="377"/>
      <c r="K26" s="335">
        <f t="shared" si="3"/>
      </c>
      <c r="L26" s="335">
        <f t="shared" si="0"/>
      </c>
      <c r="M26" s="343">
        <f t="shared" si="1"/>
      </c>
      <c r="N26" s="968">
        <v>17</v>
      </c>
      <c r="O26" s="938">
        <v>8</v>
      </c>
    </row>
    <row r="27" spans="1:15" ht="30.75" customHeight="1">
      <c r="A27" s="37">
        <v>18</v>
      </c>
      <c r="B27" s="1263"/>
      <c r="C27" s="1264"/>
      <c r="D27" s="1264"/>
      <c r="E27" s="956"/>
      <c r="F27" s="25"/>
      <c r="G27" s="366"/>
      <c r="H27" s="367"/>
      <c r="I27" s="335">
        <f t="shared" si="2"/>
      </c>
      <c r="J27" s="377"/>
      <c r="K27" s="335">
        <f t="shared" si="3"/>
      </c>
      <c r="L27" s="335">
        <f t="shared" si="0"/>
      </c>
      <c r="M27" s="343">
        <f t="shared" si="1"/>
      </c>
      <c r="N27" s="969">
        <v>18</v>
      </c>
      <c r="O27" s="938">
        <v>8</v>
      </c>
    </row>
    <row r="28" spans="1:15" ht="30.75" customHeight="1">
      <c r="A28" s="37">
        <v>19</v>
      </c>
      <c r="B28" s="1263"/>
      <c r="C28" s="1264"/>
      <c r="D28" s="1264"/>
      <c r="E28" s="957"/>
      <c r="F28" s="25"/>
      <c r="G28" s="366"/>
      <c r="H28" s="367"/>
      <c r="I28" s="335">
        <f t="shared" si="2"/>
      </c>
      <c r="J28" s="377"/>
      <c r="K28" s="335">
        <f t="shared" si="3"/>
      </c>
      <c r="L28" s="335">
        <f t="shared" si="0"/>
      </c>
      <c r="M28" s="343">
        <f t="shared" si="1"/>
      </c>
      <c r="N28" s="968">
        <v>19</v>
      </c>
      <c r="O28" s="938">
        <v>8</v>
      </c>
    </row>
    <row r="29" spans="1:15" ht="30.75" customHeight="1" thickBot="1">
      <c r="A29" s="967">
        <v>20</v>
      </c>
      <c r="B29" s="1265"/>
      <c r="C29" s="1266"/>
      <c r="D29" s="1266"/>
      <c r="E29" s="958"/>
      <c r="F29" s="581"/>
      <c r="G29" s="951"/>
      <c r="H29" s="952"/>
      <c r="I29" s="942">
        <f t="shared" si="2"/>
      </c>
      <c r="J29" s="953"/>
      <c r="K29" s="942">
        <f t="shared" si="3"/>
      </c>
      <c r="L29" s="942">
        <f t="shared" si="0"/>
      </c>
      <c r="M29" s="943">
        <f t="shared" si="1"/>
      </c>
      <c r="N29" s="970">
        <v>20</v>
      </c>
      <c r="O29" s="945">
        <v>8</v>
      </c>
    </row>
    <row r="30" spans="1:14" ht="21" customHeight="1" thickBot="1">
      <c r="A30" s="1290" t="s">
        <v>27</v>
      </c>
      <c r="B30" s="1291"/>
      <c r="C30" s="1291"/>
      <c r="D30" s="1291"/>
      <c r="E30" s="1291"/>
      <c r="F30" s="1291"/>
      <c r="G30" s="1291"/>
      <c r="H30" s="1291"/>
      <c r="I30" s="1291"/>
      <c r="J30" s="1187"/>
      <c r="K30" s="1038">
        <f>SUM(K10:K29)</f>
        <v>0</v>
      </c>
      <c r="L30" s="1037">
        <f>SUM(L10:L29)</f>
        <v>0</v>
      </c>
      <c r="M30" s="1036">
        <f>SUM(M10:M29)</f>
        <v>0</v>
      </c>
      <c r="N30" s="328"/>
    </row>
    <row r="31" spans="1:14" ht="13.5" customHeight="1">
      <c r="A31" s="6"/>
      <c r="N31" s="4"/>
    </row>
    <row r="32" spans="1:14" ht="13.5" customHeight="1">
      <c r="A32" s="6"/>
      <c r="B32" s="591" t="s">
        <v>35</v>
      </c>
      <c r="D32" s="6"/>
      <c r="E32" s="27" t="s">
        <v>196</v>
      </c>
      <c r="N32" s="4"/>
    </row>
    <row r="33" ht="13.5" customHeight="1">
      <c r="E33" s="27" t="s">
        <v>197</v>
      </c>
    </row>
    <row r="34" spans="2:5" ht="13.5" customHeight="1">
      <c r="B34" s="591" t="s">
        <v>36</v>
      </c>
      <c r="E34" s="27" t="s">
        <v>198</v>
      </c>
    </row>
    <row r="35" spans="2:5" ht="13.5" customHeight="1">
      <c r="B35" s="591" t="s">
        <v>37</v>
      </c>
      <c r="E35" s="27" t="s">
        <v>199</v>
      </c>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Q35"/>
  <sheetViews>
    <sheetView showGridLines="0" zoomScaleSheetLayoutView="100" zoomScalePageLayoutView="0" workbookViewId="0" topLeftCell="A18">
      <selection activeCell="N30" sqref="N30"/>
    </sheetView>
  </sheetViews>
  <sheetFormatPr defaultColWidth="9.140625" defaultRowHeight="15"/>
  <cols>
    <col min="1" max="1" width="3.140625" style="591" customWidth="1"/>
    <col min="2" max="3" width="2.57421875" style="591" customWidth="1"/>
    <col min="4" max="4" width="4.421875" style="591" customWidth="1"/>
    <col min="5" max="5" width="16.140625" style="27" customWidth="1"/>
    <col min="6" max="6" width="16.00390625" style="27" customWidth="1"/>
    <col min="7" max="7" width="8.140625" style="30" customWidth="1"/>
    <col min="8" max="8" width="6.421875" style="30" customWidth="1"/>
    <col min="9" max="9" width="9.8515625" style="30" customWidth="1"/>
    <col min="10" max="10" width="11.140625" style="30" customWidth="1"/>
    <col min="11" max="12" width="11.140625" style="30" bestFit="1" customWidth="1"/>
    <col min="13" max="13" width="12.28125" style="30" bestFit="1" customWidth="1"/>
    <col min="14" max="14" width="3.140625" style="3" customWidth="1"/>
    <col min="15" max="15" width="4.00390625" style="3" customWidth="1"/>
    <col min="16" max="17" width="9.00390625" style="30" customWidth="1"/>
    <col min="18" max="16384" width="9.00390625" style="591" customWidth="1"/>
  </cols>
  <sheetData>
    <row r="1" spans="1:6" ht="13.5" customHeight="1">
      <c r="A1" s="1269" t="s">
        <v>29</v>
      </c>
      <c r="B1" s="1269"/>
      <c r="C1" s="1269"/>
      <c r="D1" s="1269"/>
      <c r="E1" s="1269"/>
      <c r="F1" s="3"/>
    </row>
    <row r="2" spans="1:14" ht="13.5" customHeight="1">
      <c r="A2" s="4"/>
      <c r="B2" s="4"/>
      <c r="C2" s="4"/>
      <c r="D2" s="4"/>
      <c r="E2" s="1182"/>
      <c r="F2" s="3"/>
      <c r="N2" s="4"/>
    </row>
    <row r="3" spans="1:14" ht="13.5" customHeight="1">
      <c r="A3" s="4"/>
      <c r="B3" s="4" t="s">
        <v>30</v>
      </c>
      <c r="C3" s="1182" t="s">
        <v>34</v>
      </c>
      <c r="D3" s="4"/>
      <c r="E3" s="1182"/>
      <c r="F3" s="1190" t="s">
        <v>28</v>
      </c>
      <c r="N3" s="4"/>
    </row>
    <row r="4" spans="1:14" ht="13.5" customHeight="1">
      <c r="A4" s="4"/>
      <c r="B4" s="4"/>
      <c r="C4" s="4"/>
      <c r="D4" s="4"/>
      <c r="E4" s="1182"/>
      <c r="F4" s="1190" t="s">
        <v>60</v>
      </c>
      <c r="N4" s="4"/>
    </row>
    <row r="5" spans="1:15" ht="13.5" customHeight="1">
      <c r="A5" s="4"/>
      <c r="B5" s="4"/>
      <c r="C5" s="4"/>
      <c r="D5" s="4"/>
      <c r="E5" s="1182"/>
      <c r="F5" s="3"/>
      <c r="M5" s="30" t="s">
        <v>38</v>
      </c>
      <c r="N5" s="4"/>
      <c r="O5" s="555"/>
    </row>
    <row r="6" spans="1:14" ht="13.5" customHeight="1">
      <c r="A6" s="6"/>
      <c r="F6" s="3"/>
      <c r="I6" s="31"/>
      <c r="J6" s="32"/>
      <c r="K6" s="8" t="s">
        <v>195</v>
      </c>
      <c r="L6" s="105" t="str">
        <f>IF('使い方'!$E$6="","",'使い方'!$E$6)</f>
        <v>Ｂ金属株式会社</v>
      </c>
      <c r="M6" s="621"/>
      <c r="N6" s="4"/>
    </row>
    <row r="7" spans="1:14" ht="13.5" customHeight="1" thickBot="1">
      <c r="A7" s="6"/>
      <c r="F7" s="3"/>
      <c r="N7" s="4"/>
    </row>
    <row r="8" spans="1:15" ht="27" customHeight="1">
      <c r="A8" s="1270" t="s">
        <v>13</v>
      </c>
      <c r="B8" s="1272" t="s">
        <v>14</v>
      </c>
      <c r="C8" s="1272"/>
      <c r="D8" s="1273"/>
      <c r="E8" s="12" t="s">
        <v>15</v>
      </c>
      <c r="F8" s="12" t="s">
        <v>16</v>
      </c>
      <c r="G8" s="33" t="s">
        <v>17</v>
      </c>
      <c r="H8" s="33" t="s">
        <v>18</v>
      </c>
      <c r="I8" s="33" t="s">
        <v>7</v>
      </c>
      <c r="J8" s="33" t="s">
        <v>7</v>
      </c>
      <c r="K8" s="1292" t="s">
        <v>19</v>
      </c>
      <c r="L8" s="1280"/>
      <c r="M8" s="33" t="s">
        <v>20</v>
      </c>
      <c r="N8" s="1275" t="s">
        <v>13</v>
      </c>
      <c r="O8" s="1277" t="s">
        <v>227</v>
      </c>
    </row>
    <row r="9" spans="1:15" ht="42" customHeight="1" thickBot="1">
      <c r="A9" s="1271"/>
      <c r="B9" s="13" t="s">
        <v>21</v>
      </c>
      <c r="C9" s="13" t="s">
        <v>22</v>
      </c>
      <c r="D9" s="14" t="s">
        <v>23</v>
      </c>
      <c r="E9" s="102"/>
      <c r="F9" s="16"/>
      <c r="G9" s="1184"/>
      <c r="H9" s="1184"/>
      <c r="I9" s="1184" t="s">
        <v>24</v>
      </c>
      <c r="J9" s="1184" t="s">
        <v>44</v>
      </c>
      <c r="K9" s="1184" t="s">
        <v>25</v>
      </c>
      <c r="L9" s="34" t="s">
        <v>42</v>
      </c>
      <c r="M9" s="1184" t="s">
        <v>26</v>
      </c>
      <c r="N9" s="1276"/>
      <c r="O9" s="1278"/>
    </row>
    <row r="10" spans="1:17" ht="30.75" customHeight="1">
      <c r="A10" s="19">
        <v>1</v>
      </c>
      <c r="B10" s="1281"/>
      <c r="C10" s="1282"/>
      <c r="D10" s="1282"/>
      <c r="E10" s="954"/>
      <c r="F10" s="20"/>
      <c r="G10" s="366"/>
      <c r="H10" s="367"/>
      <c r="I10" s="335">
        <f>IF(G10="","",ROUNDDOWN(J10*(1+O10/100),0))</f>
      </c>
      <c r="J10" s="377"/>
      <c r="K10" s="335">
        <f>IF(I10="","",ROUNDDOWN(L10*(1+O10/100),0))</f>
      </c>
      <c r="L10" s="335">
        <f aca="true" t="shared" si="0" ref="L10:L29">IF(J10="","",ROUNDDOWN(J10*G10,0))</f>
      </c>
      <c r="M10" s="343">
        <f aca="true" t="shared" si="1" ref="M10:M29">L10</f>
      </c>
      <c r="N10" s="961">
        <v>1</v>
      </c>
      <c r="O10" s="938">
        <v>8</v>
      </c>
      <c r="P10" s="591"/>
      <c r="Q10" s="591"/>
    </row>
    <row r="11" spans="1:15" ht="30.75" customHeight="1">
      <c r="A11" s="21">
        <v>2</v>
      </c>
      <c r="B11" s="1263"/>
      <c r="C11" s="1264"/>
      <c r="D11" s="1264"/>
      <c r="E11" s="955"/>
      <c r="F11" s="25"/>
      <c r="G11" s="366"/>
      <c r="H11" s="367"/>
      <c r="I11" s="335">
        <f aca="true" t="shared" si="2" ref="I11:I29">IF(G11="","",ROUNDDOWN(J11*(1+O11/100),0))</f>
      </c>
      <c r="J11" s="377"/>
      <c r="K11" s="335">
        <f aca="true" t="shared" si="3" ref="K11:K29">IF(I11="","",ROUNDDOWN(L11*(1+O11/100),0))</f>
      </c>
      <c r="L11" s="335">
        <f t="shared" si="0"/>
      </c>
      <c r="M11" s="343">
        <f t="shared" si="1"/>
      </c>
      <c r="N11" s="962">
        <v>2</v>
      </c>
      <c r="O11" s="938">
        <v>8</v>
      </c>
    </row>
    <row r="12" spans="1:15" ht="30.75" customHeight="1">
      <c r="A12" s="21">
        <v>3</v>
      </c>
      <c r="B12" s="1263"/>
      <c r="C12" s="1264"/>
      <c r="D12" s="1264"/>
      <c r="E12" s="955"/>
      <c r="F12" s="25"/>
      <c r="G12" s="366"/>
      <c r="H12" s="367"/>
      <c r="I12" s="335">
        <f t="shared" si="2"/>
      </c>
      <c r="J12" s="377"/>
      <c r="K12" s="335">
        <f t="shared" si="3"/>
      </c>
      <c r="L12" s="335">
        <f t="shared" si="0"/>
      </c>
      <c r="M12" s="343">
        <f t="shared" si="1"/>
      </c>
      <c r="N12" s="961">
        <v>3</v>
      </c>
      <c r="O12" s="938">
        <v>8</v>
      </c>
    </row>
    <row r="13" spans="1:15" ht="30.75" customHeight="1">
      <c r="A13" s="21">
        <v>4</v>
      </c>
      <c r="B13" s="1263"/>
      <c r="C13" s="1264"/>
      <c r="D13" s="1264"/>
      <c r="E13" s="955"/>
      <c r="F13" s="25"/>
      <c r="G13" s="366"/>
      <c r="H13" s="367"/>
      <c r="I13" s="335">
        <f t="shared" si="2"/>
      </c>
      <c r="J13" s="377"/>
      <c r="K13" s="335">
        <f t="shared" si="3"/>
      </c>
      <c r="L13" s="335">
        <f t="shared" si="0"/>
      </c>
      <c r="M13" s="343">
        <f t="shared" si="1"/>
      </c>
      <c r="N13" s="962">
        <v>4</v>
      </c>
      <c r="O13" s="938">
        <v>8</v>
      </c>
    </row>
    <row r="14" spans="1:15" ht="30.75" customHeight="1">
      <c r="A14" s="21">
        <v>5</v>
      </c>
      <c r="B14" s="1263"/>
      <c r="C14" s="1264"/>
      <c r="D14" s="1264"/>
      <c r="E14" s="956"/>
      <c r="F14" s="25"/>
      <c r="G14" s="366"/>
      <c r="H14" s="367"/>
      <c r="I14" s="335">
        <f t="shared" si="2"/>
      </c>
      <c r="J14" s="377"/>
      <c r="K14" s="335">
        <f t="shared" si="3"/>
      </c>
      <c r="L14" s="335">
        <f t="shared" si="0"/>
      </c>
      <c r="M14" s="343">
        <f t="shared" si="1"/>
      </c>
      <c r="N14" s="961">
        <v>5</v>
      </c>
      <c r="O14" s="938">
        <v>8</v>
      </c>
    </row>
    <row r="15" spans="1:15" ht="30.75" customHeight="1">
      <c r="A15" s="21">
        <v>6</v>
      </c>
      <c r="B15" s="1263"/>
      <c r="C15" s="1264"/>
      <c r="D15" s="1264"/>
      <c r="E15" s="956"/>
      <c r="F15" s="25"/>
      <c r="G15" s="366"/>
      <c r="H15" s="367"/>
      <c r="I15" s="335">
        <f t="shared" si="2"/>
      </c>
      <c r="J15" s="377"/>
      <c r="K15" s="335">
        <f t="shared" si="3"/>
      </c>
      <c r="L15" s="335">
        <f t="shared" si="0"/>
      </c>
      <c r="M15" s="343">
        <f t="shared" si="1"/>
      </c>
      <c r="N15" s="962">
        <v>6</v>
      </c>
      <c r="O15" s="938">
        <v>8</v>
      </c>
    </row>
    <row r="16" spans="1:15" ht="30.75" customHeight="1">
      <c r="A16" s="21">
        <v>7</v>
      </c>
      <c r="B16" s="1263"/>
      <c r="C16" s="1264"/>
      <c r="D16" s="1264"/>
      <c r="E16" s="956"/>
      <c r="F16" s="28"/>
      <c r="G16" s="366"/>
      <c r="H16" s="367"/>
      <c r="I16" s="335">
        <f t="shared" si="2"/>
      </c>
      <c r="J16" s="377"/>
      <c r="K16" s="335">
        <f t="shared" si="3"/>
      </c>
      <c r="L16" s="335">
        <f t="shared" si="0"/>
      </c>
      <c r="M16" s="343">
        <f t="shared" si="1"/>
      </c>
      <c r="N16" s="961">
        <v>7</v>
      </c>
      <c r="O16" s="938">
        <v>8</v>
      </c>
    </row>
    <row r="17" spans="1:15" ht="30.75" customHeight="1">
      <c r="A17" s="21">
        <v>8</v>
      </c>
      <c r="B17" s="1263"/>
      <c r="C17" s="1264"/>
      <c r="D17" s="1264"/>
      <c r="E17" s="955"/>
      <c r="F17" s="337"/>
      <c r="G17" s="366"/>
      <c r="H17" s="367"/>
      <c r="I17" s="335">
        <f t="shared" si="2"/>
      </c>
      <c r="J17" s="377"/>
      <c r="K17" s="335">
        <f t="shared" si="3"/>
      </c>
      <c r="L17" s="335">
        <f t="shared" si="0"/>
      </c>
      <c r="M17" s="343">
        <f t="shared" si="1"/>
      </c>
      <c r="N17" s="962">
        <v>8</v>
      </c>
      <c r="O17" s="938">
        <v>8</v>
      </c>
    </row>
    <row r="18" spans="1:15" ht="30.75" customHeight="1">
      <c r="A18" s="21">
        <v>9</v>
      </c>
      <c r="B18" s="1263"/>
      <c r="C18" s="1264"/>
      <c r="D18" s="1264"/>
      <c r="E18" s="956"/>
      <c r="F18" s="25"/>
      <c r="G18" s="366"/>
      <c r="H18" s="367"/>
      <c r="I18" s="335">
        <f t="shared" si="2"/>
      </c>
      <c r="J18" s="377"/>
      <c r="K18" s="335">
        <f t="shared" si="3"/>
      </c>
      <c r="L18" s="335">
        <f t="shared" si="0"/>
      </c>
      <c r="M18" s="343">
        <f t="shared" si="1"/>
      </c>
      <c r="N18" s="961">
        <v>9</v>
      </c>
      <c r="O18" s="938">
        <v>8</v>
      </c>
    </row>
    <row r="19" spans="1:15" ht="30.75" customHeight="1">
      <c r="A19" s="21">
        <v>10</v>
      </c>
      <c r="B19" s="1263"/>
      <c r="C19" s="1264"/>
      <c r="D19" s="1264"/>
      <c r="E19" s="956"/>
      <c r="F19" s="25"/>
      <c r="G19" s="366"/>
      <c r="H19" s="367"/>
      <c r="I19" s="335">
        <f t="shared" si="2"/>
      </c>
      <c r="J19" s="377"/>
      <c r="K19" s="335">
        <f t="shared" si="3"/>
      </c>
      <c r="L19" s="335">
        <f t="shared" si="0"/>
      </c>
      <c r="M19" s="343">
        <f t="shared" si="1"/>
      </c>
      <c r="N19" s="962">
        <v>10</v>
      </c>
      <c r="O19" s="938">
        <v>8</v>
      </c>
    </row>
    <row r="20" spans="1:15" ht="30.75" customHeight="1">
      <c r="A20" s="21">
        <v>11</v>
      </c>
      <c r="B20" s="1263"/>
      <c r="C20" s="1264"/>
      <c r="D20" s="1264"/>
      <c r="E20" s="956"/>
      <c r="F20" s="25"/>
      <c r="G20" s="366"/>
      <c r="H20" s="367"/>
      <c r="I20" s="335">
        <f t="shared" si="2"/>
      </c>
      <c r="J20" s="377"/>
      <c r="K20" s="335">
        <f t="shared" si="3"/>
      </c>
      <c r="L20" s="335">
        <f t="shared" si="0"/>
      </c>
      <c r="M20" s="343">
        <f t="shared" si="1"/>
      </c>
      <c r="N20" s="961">
        <v>11</v>
      </c>
      <c r="O20" s="938">
        <v>8</v>
      </c>
    </row>
    <row r="21" spans="1:15" ht="30.75" customHeight="1">
      <c r="A21" s="21">
        <v>12</v>
      </c>
      <c r="B21" s="1263"/>
      <c r="C21" s="1264"/>
      <c r="D21" s="1264"/>
      <c r="E21" s="956"/>
      <c r="F21" s="25"/>
      <c r="G21" s="366"/>
      <c r="H21" s="367"/>
      <c r="I21" s="335">
        <f t="shared" si="2"/>
      </c>
      <c r="J21" s="377"/>
      <c r="K21" s="335">
        <f t="shared" si="3"/>
      </c>
      <c r="L21" s="335">
        <f t="shared" si="0"/>
      </c>
      <c r="M21" s="343">
        <f t="shared" si="1"/>
      </c>
      <c r="N21" s="962">
        <v>12</v>
      </c>
      <c r="O21" s="938">
        <v>8</v>
      </c>
    </row>
    <row r="22" spans="1:15" ht="30.75" customHeight="1">
      <c r="A22" s="21">
        <v>13</v>
      </c>
      <c r="B22" s="1263"/>
      <c r="C22" s="1264"/>
      <c r="D22" s="1264"/>
      <c r="E22" s="956"/>
      <c r="F22" s="25"/>
      <c r="G22" s="366"/>
      <c r="H22" s="367"/>
      <c r="I22" s="335">
        <f t="shared" si="2"/>
      </c>
      <c r="J22" s="377"/>
      <c r="K22" s="335">
        <f t="shared" si="3"/>
      </c>
      <c r="L22" s="335">
        <f t="shared" si="0"/>
      </c>
      <c r="M22" s="343">
        <f t="shared" si="1"/>
      </c>
      <c r="N22" s="961">
        <v>13</v>
      </c>
      <c r="O22" s="938">
        <v>8</v>
      </c>
    </row>
    <row r="23" spans="1:15" ht="30.75" customHeight="1">
      <c r="A23" s="21">
        <v>14</v>
      </c>
      <c r="B23" s="1263"/>
      <c r="C23" s="1264"/>
      <c r="D23" s="1264"/>
      <c r="E23" s="957"/>
      <c r="F23" s="25"/>
      <c r="G23" s="366"/>
      <c r="H23" s="367"/>
      <c r="I23" s="335">
        <f t="shared" si="2"/>
      </c>
      <c r="J23" s="377"/>
      <c r="K23" s="335">
        <f t="shared" si="3"/>
      </c>
      <c r="L23" s="335">
        <f t="shared" si="0"/>
      </c>
      <c r="M23" s="343">
        <f t="shared" si="1"/>
      </c>
      <c r="N23" s="962">
        <v>14</v>
      </c>
      <c r="O23" s="938">
        <v>8</v>
      </c>
    </row>
    <row r="24" spans="1:15" ht="30.75" customHeight="1">
      <c r="A24" s="21">
        <v>15</v>
      </c>
      <c r="B24" s="1263"/>
      <c r="C24" s="1264"/>
      <c r="D24" s="1264"/>
      <c r="E24" s="957"/>
      <c r="F24" s="25"/>
      <c r="G24" s="366"/>
      <c r="H24" s="367"/>
      <c r="I24" s="335">
        <f t="shared" si="2"/>
      </c>
      <c r="J24" s="377"/>
      <c r="K24" s="335">
        <f t="shared" si="3"/>
      </c>
      <c r="L24" s="335">
        <f t="shared" si="0"/>
      </c>
      <c r="M24" s="343">
        <f t="shared" si="1"/>
      </c>
      <c r="N24" s="961">
        <v>15</v>
      </c>
      <c r="O24" s="938">
        <v>8</v>
      </c>
    </row>
    <row r="25" spans="1:15" ht="30.75" customHeight="1">
      <c r="A25" s="21">
        <v>16</v>
      </c>
      <c r="B25" s="1263"/>
      <c r="C25" s="1264"/>
      <c r="D25" s="1264"/>
      <c r="E25" s="956"/>
      <c r="F25" s="25"/>
      <c r="G25" s="366"/>
      <c r="H25" s="367"/>
      <c r="I25" s="335">
        <f t="shared" si="2"/>
      </c>
      <c r="J25" s="377"/>
      <c r="K25" s="335">
        <f t="shared" si="3"/>
      </c>
      <c r="L25" s="335">
        <f t="shared" si="0"/>
      </c>
      <c r="M25" s="343">
        <f t="shared" si="1"/>
      </c>
      <c r="N25" s="962">
        <v>16</v>
      </c>
      <c r="O25" s="938">
        <v>8</v>
      </c>
    </row>
    <row r="26" spans="1:15" ht="30.75" customHeight="1">
      <c r="A26" s="21">
        <v>17</v>
      </c>
      <c r="B26" s="1263"/>
      <c r="C26" s="1264"/>
      <c r="D26" s="1264"/>
      <c r="E26" s="956"/>
      <c r="F26" s="25"/>
      <c r="G26" s="366"/>
      <c r="H26" s="367"/>
      <c r="I26" s="335">
        <f t="shared" si="2"/>
      </c>
      <c r="J26" s="377"/>
      <c r="K26" s="335">
        <f t="shared" si="3"/>
      </c>
      <c r="L26" s="335">
        <f t="shared" si="0"/>
      </c>
      <c r="M26" s="343">
        <f t="shared" si="1"/>
      </c>
      <c r="N26" s="961">
        <v>17</v>
      </c>
      <c r="O26" s="938">
        <v>8</v>
      </c>
    </row>
    <row r="27" spans="1:15" ht="30.75" customHeight="1">
      <c r="A27" s="21">
        <v>18</v>
      </c>
      <c r="B27" s="1263"/>
      <c r="C27" s="1264"/>
      <c r="D27" s="1264"/>
      <c r="E27" s="956"/>
      <c r="F27" s="25"/>
      <c r="G27" s="366"/>
      <c r="H27" s="367"/>
      <c r="I27" s="335">
        <f t="shared" si="2"/>
      </c>
      <c r="J27" s="377"/>
      <c r="K27" s="335">
        <f t="shared" si="3"/>
      </c>
      <c r="L27" s="335">
        <f t="shared" si="0"/>
      </c>
      <c r="M27" s="343">
        <f t="shared" si="1"/>
      </c>
      <c r="N27" s="962">
        <v>18</v>
      </c>
      <c r="O27" s="938">
        <v>8</v>
      </c>
    </row>
    <row r="28" spans="1:15" ht="30.75" customHeight="1">
      <c r="A28" s="21">
        <v>19</v>
      </c>
      <c r="B28" s="1263"/>
      <c r="C28" s="1264"/>
      <c r="D28" s="1264"/>
      <c r="E28" s="957"/>
      <c r="F28" s="25"/>
      <c r="G28" s="366"/>
      <c r="H28" s="367"/>
      <c r="I28" s="335">
        <f t="shared" si="2"/>
      </c>
      <c r="J28" s="377"/>
      <c r="K28" s="335">
        <f t="shared" si="3"/>
      </c>
      <c r="L28" s="335">
        <f t="shared" si="0"/>
      </c>
      <c r="M28" s="343">
        <f t="shared" si="1"/>
      </c>
      <c r="N28" s="961">
        <v>19</v>
      </c>
      <c r="O28" s="938">
        <v>8</v>
      </c>
    </row>
    <row r="29" spans="1:15" ht="30.75" customHeight="1" thickBot="1">
      <c r="A29" s="950">
        <v>20</v>
      </c>
      <c r="B29" s="1265"/>
      <c r="C29" s="1266"/>
      <c r="D29" s="1266"/>
      <c r="E29" s="958"/>
      <c r="F29" s="581"/>
      <c r="G29" s="951"/>
      <c r="H29" s="952"/>
      <c r="I29" s="942">
        <f t="shared" si="2"/>
      </c>
      <c r="J29" s="953"/>
      <c r="K29" s="942">
        <f t="shared" si="3"/>
      </c>
      <c r="L29" s="942">
        <f t="shared" si="0"/>
      </c>
      <c r="M29" s="943">
        <f t="shared" si="1"/>
      </c>
      <c r="N29" s="971">
        <v>20</v>
      </c>
      <c r="O29" s="945">
        <v>8</v>
      </c>
    </row>
    <row r="30" spans="1:14" ht="21" customHeight="1" thickBot="1">
      <c r="A30" s="1283" t="s">
        <v>27</v>
      </c>
      <c r="B30" s="1284"/>
      <c r="C30" s="1284"/>
      <c r="D30" s="1284"/>
      <c r="E30" s="1284"/>
      <c r="F30" s="1284"/>
      <c r="G30" s="1284"/>
      <c r="H30" s="1284"/>
      <c r="I30" s="1284"/>
      <c r="J30" s="1186"/>
      <c r="K30" s="1038">
        <f>SUM(K10:K29)</f>
        <v>0</v>
      </c>
      <c r="L30" s="1037">
        <f>SUM(L10:L29)</f>
        <v>0</v>
      </c>
      <c r="M30" s="1036">
        <f>SUM(M10:M29)</f>
        <v>0</v>
      </c>
      <c r="N30" s="38"/>
    </row>
    <row r="31" spans="1:14" ht="13.5" customHeight="1">
      <c r="A31" s="6"/>
      <c r="N31" s="4"/>
    </row>
    <row r="32" spans="1:14" ht="13.5" customHeight="1">
      <c r="A32" s="6"/>
      <c r="B32" s="591" t="s">
        <v>35</v>
      </c>
      <c r="D32" s="6"/>
      <c r="E32" s="27" t="s">
        <v>196</v>
      </c>
      <c r="G32" s="591"/>
      <c r="H32" s="591"/>
      <c r="I32" s="591"/>
      <c r="N32" s="4"/>
    </row>
    <row r="33" spans="5:9" ht="13.5" customHeight="1">
      <c r="E33" s="27" t="s">
        <v>197</v>
      </c>
      <c r="G33" s="591"/>
      <c r="H33" s="591"/>
      <c r="I33" s="591"/>
    </row>
    <row r="34" spans="2:9" ht="13.5" customHeight="1">
      <c r="B34" s="591" t="s">
        <v>36</v>
      </c>
      <c r="E34" s="27" t="s">
        <v>198</v>
      </c>
      <c r="G34" s="591"/>
      <c r="H34" s="591"/>
      <c r="I34" s="591"/>
    </row>
    <row r="35" spans="2:9" ht="13.5" customHeight="1">
      <c r="B35" s="591" t="s">
        <v>37</v>
      </c>
      <c r="E35" s="27" t="s">
        <v>199</v>
      </c>
      <c r="G35" s="591"/>
      <c r="H35" s="591"/>
      <c r="I35" s="591"/>
    </row>
  </sheetData>
  <sheetProtection/>
  <mergeCells count="27">
    <mergeCell ref="A1:E1"/>
    <mergeCell ref="A8:A9"/>
    <mergeCell ref="B8:D8"/>
    <mergeCell ref="K8:L8"/>
    <mergeCell ref="N8:N9"/>
    <mergeCell ref="O8:O9"/>
    <mergeCell ref="B10:D10"/>
    <mergeCell ref="B13:D13"/>
    <mergeCell ref="B14:D14"/>
    <mergeCell ref="B15:D15"/>
    <mergeCell ref="B16:D16"/>
    <mergeCell ref="B11:D11"/>
    <mergeCell ref="B12:D12"/>
    <mergeCell ref="B29:D29"/>
    <mergeCell ref="A30:I30"/>
    <mergeCell ref="B22:D22"/>
    <mergeCell ref="B23:D23"/>
    <mergeCell ref="B24:D24"/>
    <mergeCell ref="B25:D25"/>
    <mergeCell ref="B26:D26"/>
    <mergeCell ref="B27:D27"/>
    <mergeCell ref="B17:D17"/>
    <mergeCell ref="B18:D18"/>
    <mergeCell ref="B21:D21"/>
    <mergeCell ref="B28:D28"/>
    <mergeCell ref="B19:D19"/>
    <mergeCell ref="B20:D20"/>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zoomScaleSheetLayoutView="100" workbookViewId="0" topLeftCell="A16">
      <selection activeCell="P25" sqref="P25"/>
    </sheetView>
  </sheetViews>
  <sheetFormatPr defaultColWidth="9.140625" defaultRowHeight="15"/>
  <cols>
    <col min="1" max="1" width="3.140625" style="591" customWidth="1"/>
    <col min="2" max="3" width="2.57421875" style="591" customWidth="1"/>
    <col min="4" max="4" width="4.421875" style="591" customWidth="1"/>
    <col min="5" max="5" width="16.140625" style="27" customWidth="1"/>
    <col min="6" max="6" width="15.140625" style="27" customWidth="1"/>
    <col min="7" max="7" width="6.421875" style="648" bestFit="1" customWidth="1"/>
    <col min="8" max="8" width="4.421875" style="591" bestFit="1" customWidth="1"/>
    <col min="9" max="9" width="9.8515625" style="591" customWidth="1"/>
    <col min="10" max="10" width="11.140625" style="591" customWidth="1"/>
    <col min="11" max="12" width="11.140625" style="591" bestFit="1" customWidth="1"/>
    <col min="13" max="13" width="12.28125" style="591" bestFit="1" customWidth="1"/>
    <col min="14" max="14" width="3.140625" style="3" customWidth="1"/>
    <col min="15" max="15" width="12.28125" style="591" customWidth="1"/>
    <col min="16" max="16384" width="9.00390625" style="591" customWidth="1"/>
  </cols>
  <sheetData>
    <row r="1" spans="1:6" ht="13.5" customHeight="1">
      <c r="A1" s="1269" t="s">
        <v>29</v>
      </c>
      <c r="B1" s="1269"/>
      <c r="C1" s="1269"/>
      <c r="D1" s="1269"/>
      <c r="E1" s="1269"/>
      <c r="F1" s="3"/>
    </row>
    <row r="2" spans="1:14" ht="13.5" customHeight="1">
      <c r="A2" s="4"/>
      <c r="B2" s="4"/>
      <c r="C2" s="4"/>
      <c r="D2" s="4"/>
      <c r="E2" s="1182"/>
      <c r="F2" s="3"/>
      <c r="N2" s="4"/>
    </row>
    <row r="3" spans="1:14" ht="13.5" customHeight="1">
      <c r="A3" s="4"/>
      <c r="B3" s="4" t="s">
        <v>30</v>
      </c>
      <c r="C3" s="1182" t="s">
        <v>34</v>
      </c>
      <c r="D3" s="4"/>
      <c r="E3" s="1182"/>
      <c r="F3" s="1190" t="s">
        <v>28</v>
      </c>
      <c r="N3" s="4"/>
    </row>
    <row r="4" spans="1:14" ht="13.5" customHeight="1">
      <c r="A4" s="4"/>
      <c r="B4" s="4"/>
      <c r="C4" s="4"/>
      <c r="D4" s="4"/>
      <c r="E4" s="1182"/>
      <c r="F4" s="1190" t="s">
        <v>64</v>
      </c>
      <c r="N4" s="4"/>
    </row>
    <row r="5" spans="1:14" ht="13.5" customHeight="1">
      <c r="A5" s="4"/>
      <c r="B5" s="4"/>
      <c r="C5" s="4"/>
      <c r="D5" s="4"/>
      <c r="E5" s="1182"/>
      <c r="F5" s="3"/>
      <c r="M5" s="591" t="s">
        <v>38</v>
      </c>
      <c r="N5" s="4"/>
    </row>
    <row r="6" spans="1:14" ht="13.5" customHeight="1">
      <c r="A6" s="6"/>
      <c r="F6" s="3"/>
      <c r="I6" s="8"/>
      <c r="J6" s="9"/>
      <c r="K6" s="8" t="s">
        <v>195</v>
      </c>
      <c r="L6" s="105" t="str">
        <f>IF('使い方'!$E$6="","",'使い方'!$E$6)</f>
        <v>Ｂ金属株式会社</v>
      </c>
      <c r="M6" s="626"/>
      <c r="N6" s="4"/>
    </row>
    <row r="7" spans="1:14" ht="13.5" customHeight="1" thickBot="1">
      <c r="A7" s="6"/>
      <c r="F7" s="3"/>
      <c r="I7" s="10"/>
      <c r="J7" s="10"/>
      <c r="N7" s="4"/>
    </row>
    <row r="8" spans="1:15" ht="27" customHeight="1">
      <c r="A8" s="1270" t="s">
        <v>13</v>
      </c>
      <c r="B8" s="1272" t="s">
        <v>14</v>
      </c>
      <c r="C8" s="1272"/>
      <c r="D8" s="1273"/>
      <c r="E8" s="12" t="s">
        <v>15</v>
      </c>
      <c r="F8" s="12" t="s">
        <v>16</v>
      </c>
      <c r="G8" s="375" t="s">
        <v>17</v>
      </c>
      <c r="H8" s="12" t="s">
        <v>181</v>
      </c>
      <c r="I8" s="12" t="s">
        <v>7</v>
      </c>
      <c r="J8" s="12" t="s">
        <v>7</v>
      </c>
      <c r="K8" s="1274" t="s">
        <v>19</v>
      </c>
      <c r="L8" s="1273"/>
      <c r="M8" s="1183" t="s">
        <v>20</v>
      </c>
      <c r="N8" s="1293" t="s">
        <v>13</v>
      </c>
      <c r="O8" s="101"/>
    </row>
    <row r="9" spans="1:15" ht="42" customHeight="1" thickBot="1">
      <c r="A9" s="1271"/>
      <c r="B9" s="13" t="s">
        <v>21</v>
      </c>
      <c r="C9" s="13" t="s">
        <v>22</v>
      </c>
      <c r="D9" s="14" t="s">
        <v>23</v>
      </c>
      <c r="E9" s="102"/>
      <c r="F9" s="16"/>
      <c r="G9" s="378"/>
      <c r="H9" s="17"/>
      <c r="I9" s="17" t="s">
        <v>24</v>
      </c>
      <c r="J9" s="17" t="s">
        <v>44</v>
      </c>
      <c r="K9" s="17" t="s">
        <v>25</v>
      </c>
      <c r="L9" s="18" t="s">
        <v>42</v>
      </c>
      <c r="M9" s="18" t="s">
        <v>26</v>
      </c>
      <c r="N9" s="1294"/>
      <c r="O9" s="103"/>
    </row>
    <row r="10" spans="1:15" ht="30.75" customHeight="1">
      <c r="A10" s="352">
        <v>1</v>
      </c>
      <c r="B10" s="1281"/>
      <c r="C10" s="1282"/>
      <c r="D10" s="1282"/>
      <c r="E10" s="338"/>
      <c r="F10" s="338"/>
      <c r="G10" s="649"/>
      <c r="H10" s="972" t="s">
        <v>229</v>
      </c>
      <c r="I10" s="973">
        <f>IF(G10="","",J10)</f>
      </c>
      <c r="J10" s="974"/>
      <c r="K10" s="973">
        <f>IF(I10="","",ROUNDDOWN(I10*G10,0))</f>
      </c>
      <c r="L10" s="973">
        <f>IF(J10="","",ROUNDDOWN(J10*G10,0))</f>
      </c>
      <c r="M10" s="973">
        <f aca="true" t="shared" si="0" ref="M10:M29">L10</f>
      </c>
      <c r="N10" s="980">
        <v>1</v>
      </c>
      <c r="O10" s="104"/>
    </row>
    <row r="11" spans="1:15" ht="30.75" customHeight="1">
      <c r="A11" s="357">
        <v>2</v>
      </c>
      <c r="B11" s="1263"/>
      <c r="C11" s="1264"/>
      <c r="D11" s="1264"/>
      <c r="E11" s="339"/>
      <c r="F11" s="354"/>
      <c r="G11" s="650"/>
      <c r="H11" s="975" t="s">
        <v>229</v>
      </c>
      <c r="I11" s="35">
        <f aca="true" t="shared" si="1" ref="I11:I29">IF(G11="","",J11)</f>
      </c>
      <c r="J11" s="976"/>
      <c r="K11" s="35">
        <f aca="true" t="shared" si="2" ref="K11:K29">IF(I11="","",ROUNDDOWN(I11*G11,0))</f>
      </c>
      <c r="L11" s="35">
        <f aca="true" t="shared" si="3" ref="L11:L29">IF(J11="","",ROUNDDOWN(J11*G11,0))</f>
      </c>
      <c r="M11" s="35">
        <f t="shared" si="0"/>
      </c>
      <c r="N11" s="981">
        <v>2</v>
      </c>
      <c r="O11" s="104"/>
    </row>
    <row r="12" spans="1:15" ht="30.75" customHeight="1">
      <c r="A12" s="357">
        <v>3</v>
      </c>
      <c r="B12" s="1263"/>
      <c r="C12" s="1264"/>
      <c r="D12" s="1264"/>
      <c r="E12" s="339"/>
      <c r="F12" s="354"/>
      <c r="G12" s="651"/>
      <c r="H12" s="975" t="s">
        <v>229</v>
      </c>
      <c r="I12" s="35">
        <f t="shared" si="1"/>
      </c>
      <c r="J12" s="976"/>
      <c r="K12" s="35">
        <f t="shared" si="2"/>
      </c>
      <c r="L12" s="35">
        <f t="shared" si="3"/>
      </c>
      <c r="M12" s="35">
        <f t="shared" si="0"/>
      </c>
      <c r="N12" s="980">
        <v>3</v>
      </c>
      <c r="O12" s="104"/>
    </row>
    <row r="13" spans="1:15" ht="30.75" customHeight="1">
      <c r="A13" s="357">
        <v>4</v>
      </c>
      <c r="B13" s="1263"/>
      <c r="C13" s="1264"/>
      <c r="D13" s="1264"/>
      <c r="E13" s="339"/>
      <c r="F13" s="354"/>
      <c r="G13" s="650"/>
      <c r="H13" s="975" t="s">
        <v>229</v>
      </c>
      <c r="I13" s="35">
        <f t="shared" si="1"/>
      </c>
      <c r="J13" s="977"/>
      <c r="K13" s="35">
        <f t="shared" si="2"/>
      </c>
      <c r="L13" s="35">
        <f t="shared" si="3"/>
      </c>
      <c r="M13" s="35">
        <f t="shared" si="0"/>
      </c>
      <c r="N13" s="981">
        <v>4</v>
      </c>
      <c r="O13" s="104"/>
    </row>
    <row r="14" spans="1:15" ht="30.75" customHeight="1">
      <c r="A14" s="357">
        <v>5</v>
      </c>
      <c r="B14" s="1263"/>
      <c r="C14" s="1264"/>
      <c r="D14" s="1264"/>
      <c r="E14" s="339"/>
      <c r="F14" s="354"/>
      <c r="G14" s="651"/>
      <c r="H14" s="975" t="s">
        <v>229</v>
      </c>
      <c r="I14" s="35">
        <f t="shared" si="1"/>
      </c>
      <c r="J14" s="977"/>
      <c r="K14" s="35">
        <f t="shared" si="2"/>
      </c>
      <c r="L14" s="35">
        <f t="shared" si="3"/>
      </c>
      <c r="M14" s="35">
        <f t="shared" si="0"/>
      </c>
      <c r="N14" s="980">
        <v>5</v>
      </c>
      <c r="O14" s="104"/>
    </row>
    <row r="15" spans="1:15" ht="30.75" customHeight="1">
      <c r="A15" s="357">
        <v>6</v>
      </c>
      <c r="B15" s="1263"/>
      <c r="C15" s="1264"/>
      <c r="D15" s="1264"/>
      <c r="E15" s="339"/>
      <c r="F15" s="354"/>
      <c r="G15" s="650"/>
      <c r="H15" s="975" t="s">
        <v>229</v>
      </c>
      <c r="I15" s="35">
        <f t="shared" si="1"/>
      </c>
      <c r="J15" s="977"/>
      <c r="K15" s="35">
        <f t="shared" si="2"/>
      </c>
      <c r="L15" s="35">
        <f t="shared" si="3"/>
      </c>
      <c r="M15" s="35">
        <f t="shared" si="0"/>
      </c>
      <c r="N15" s="981">
        <v>6</v>
      </c>
      <c r="O15" s="104"/>
    </row>
    <row r="16" spans="1:15" ht="30.75" customHeight="1">
      <c r="A16" s="357">
        <v>7</v>
      </c>
      <c r="B16" s="1263"/>
      <c r="C16" s="1264"/>
      <c r="D16" s="1264"/>
      <c r="E16" s="339"/>
      <c r="F16" s="354"/>
      <c r="G16" s="651"/>
      <c r="H16" s="975" t="s">
        <v>229</v>
      </c>
      <c r="I16" s="35">
        <f t="shared" si="1"/>
      </c>
      <c r="J16" s="976"/>
      <c r="K16" s="35">
        <f t="shared" si="2"/>
      </c>
      <c r="L16" s="35">
        <f t="shared" si="3"/>
      </c>
      <c r="M16" s="35">
        <f t="shared" si="0"/>
      </c>
      <c r="N16" s="980">
        <v>7</v>
      </c>
      <c r="O16" s="104"/>
    </row>
    <row r="17" spans="1:15" ht="30.75" customHeight="1">
      <c r="A17" s="357">
        <v>8</v>
      </c>
      <c r="B17" s="1263"/>
      <c r="C17" s="1264"/>
      <c r="D17" s="1264"/>
      <c r="E17" s="339"/>
      <c r="F17" s="354"/>
      <c r="G17" s="650"/>
      <c r="H17" s="975" t="s">
        <v>229</v>
      </c>
      <c r="I17" s="35">
        <f t="shared" si="1"/>
      </c>
      <c r="J17" s="976"/>
      <c r="K17" s="35">
        <f t="shared" si="2"/>
      </c>
      <c r="L17" s="35">
        <f t="shared" si="3"/>
      </c>
      <c r="M17" s="35">
        <f t="shared" si="0"/>
      </c>
      <c r="N17" s="981">
        <v>8</v>
      </c>
      <c r="O17" s="104"/>
    </row>
    <row r="18" spans="1:15" ht="30.75" customHeight="1">
      <c r="A18" s="357">
        <v>9</v>
      </c>
      <c r="B18" s="1263"/>
      <c r="C18" s="1264"/>
      <c r="D18" s="1264"/>
      <c r="E18" s="354"/>
      <c r="F18" s="354"/>
      <c r="G18" s="651"/>
      <c r="H18" s="975" t="s">
        <v>229</v>
      </c>
      <c r="I18" s="35">
        <f t="shared" si="1"/>
      </c>
      <c r="J18" s="976"/>
      <c r="K18" s="35">
        <f t="shared" si="2"/>
      </c>
      <c r="L18" s="35">
        <f t="shared" si="3"/>
      </c>
      <c r="M18" s="35">
        <f t="shared" si="0"/>
      </c>
      <c r="N18" s="980">
        <v>9</v>
      </c>
      <c r="O18" s="104"/>
    </row>
    <row r="19" spans="1:15" ht="30.75" customHeight="1">
      <c r="A19" s="357">
        <v>10</v>
      </c>
      <c r="B19" s="1263"/>
      <c r="C19" s="1264"/>
      <c r="D19" s="1264"/>
      <c r="E19" s="354"/>
      <c r="F19" s="354"/>
      <c r="G19" s="650"/>
      <c r="H19" s="975" t="s">
        <v>229</v>
      </c>
      <c r="I19" s="35">
        <f t="shared" si="1"/>
      </c>
      <c r="J19" s="976"/>
      <c r="K19" s="35">
        <f t="shared" si="2"/>
      </c>
      <c r="L19" s="35">
        <f t="shared" si="3"/>
      </c>
      <c r="M19" s="35">
        <f t="shared" si="0"/>
      </c>
      <c r="N19" s="981">
        <v>10</v>
      </c>
      <c r="O19" s="104"/>
    </row>
    <row r="20" spans="1:15" ht="30.75" customHeight="1">
      <c r="A20" s="357">
        <v>11</v>
      </c>
      <c r="B20" s="1263"/>
      <c r="C20" s="1264"/>
      <c r="D20" s="1264"/>
      <c r="E20" s="354"/>
      <c r="F20" s="354"/>
      <c r="G20" s="651"/>
      <c r="H20" s="975" t="s">
        <v>229</v>
      </c>
      <c r="I20" s="35">
        <f t="shared" si="1"/>
      </c>
      <c r="J20" s="976"/>
      <c r="K20" s="35">
        <f t="shared" si="2"/>
      </c>
      <c r="L20" s="35">
        <f t="shared" si="3"/>
      </c>
      <c r="M20" s="35">
        <f t="shared" si="0"/>
      </c>
      <c r="N20" s="980">
        <v>11</v>
      </c>
      <c r="O20" s="104"/>
    </row>
    <row r="21" spans="1:15" ht="30.75" customHeight="1">
      <c r="A21" s="357">
        <v>12</v>
      </c>
      <c r="B21" s="1263"/>
      <c r="C21" s="1264"/>
      <c r="D21" s="1264"/>
      <c r="E21" s="354"/>
      <c r="F21" s="354"/>
      <c r="G21" s="650"/>
      <c r="H21" s="975" t="s">
        <v>229</v>
      </c>
      <c r="I21" s="35">
        <f t="shared" si="1"/>
      </c>
      <c r="J21" s="976"/>
      <c r="K21" s="35">
        <f t="shared" si="2"/>
      </c>
      <c r="L21" s="35">
        <f t="shared" si="3"/>
      </c>
      <c r="M21" s="35">
        <f t="shared" si="0"/>
      </c>
      <c r="N21" s="981">
        <v>12</v>
      </c>
      <c r="O21" s="104"/>
    </row>
    <row r="22" spans="1:15" ht="30.75" customHeight="1">
      <c r="A22" s="357">
        <v>13</v>
      </c>
      <c r="B22" s="1263"/>
      <c r="C22" s="1264"/>
      <c r="D22" s="1264"/>
      <c r="E22" s="354"/>
      <c r="F22" s="354"/>
      <c r="G22" s="650"/>
      <c r="H22" s="975" t="s">
        <v>229</v>
      </c>
      <c r="I22" s="35">
        <f t="shared" si="1"/>
      </c>
      <c r="J22" s="976"/>
      <c r="K22" s="35">
        <f t="shared" si="2"/>
      </c>
      <c r="L22" s="35">
        <f t="shared" si="3"/>
      </c>
      <c r="M22" s="35">
        <f t="shared" si="0"/>
      </c>
      <c r="N22" s="980">
        <v>13</v>
      </c>
      <c r="O22" s="104"/>
    </row>
    <row r="23" spans="1:15" ht="30.75" customHeight="1">
      <c r="A23" s="357">
        <v>14</v>
      </c>
      <c r="B23" s="1263"/>
      <c r="C23" s="1264"/>
      <c r="D23" s="1264"/>
      <c r="E23" s="354"/>
      <c r="F23" s="354"/>
      <c r="G23" s="650"/>
      <c r="H23" s="975" t="s">
        <v>229</v>
      </c>
      <c r="I23" s="35">
        <f t="shared" si="1"/>
      </c>
      <c r="J23" s="976"/>
      <c r="K23" s="35">
        <f t="shared" si="2"/>
      </c>
      <c r="L23" s="35">
        <f t="shared" si="3"/>
      </c>
      <c r="M23" s="35">
        <f t="shared" si="0"/>
      </c>
      <c r="N23" s="981">
        <v>14</v>
      </c>
      <c r="O23" s="104"/>
    </row>
    <row r="24" spans="1:15" ht="30.75" customHeight="1">
      <c r="A24" s="357">
        <v>15</v>
      </c>
      <c r="B24" s="1263"/>
      <c r="C24" s="1264"/>
      <c r="D24" s="1264"/>
      <c r="E24" s="354"/>
      <c r="F24" s="354"/>
      <c r="G24" s="650"/>
      <c r="H24" s="975" t="s">
        <v>229</v>
      </c>
      <c r="I24" s="35">
        <f t="shared" si="1"/>
      </c>
      <c r="J24" s="976"/>
      <c r="K24" s="35">
        <f t="shared" si="2"/>
      </c>
      <c r="L24" s="35">
        <f t="shared" si="3"/>
      </c>
      <c r="M24" s="35">
        <f t="shared" si="0"/>
      </c>
      <c r="N24" s="980">
        <v>15</v>
      </c>
      <c r="O24" s="104"/>
    </row>
    <row r="25" spans="1:15" ht="30.75" customHeight="1">
      <c r="A25" s="357">
        <v>16</v>
      </c>
      <c r="B25" s="1263"/>
      <c r="C25" s="1264"/>
      <c r="D25" s="1264"/>
      <c r="E25" s="354"/>
      <c r="F25" s="354"/>
      <c r="G25" s="650"/>
      <c r="H25" s="975" t="s">
        <v>229</v>
      </c>
      <c r="I25" s="35">
        <f t="shared" si="1"/>
      </c>
      <c r="J25" s="976"/>
      <c r="K25" s="35">
        <f t="shared" si="2"/>
      </c>
      <c r="L25" s="35">
        <f t="shared" si="3"/>
      </c>
      <c r="M25" s="35">
        <f t="shared" si="0"/>
      </c>
      <c r="N25" s="981">
        <v>16</v>
      </c>
      <c r="O25" s="104"/>
    </row>
    <row r="26" spans="1:15" ht="30.75" customHeight="1">
      <c r="A26" s="357">
        <v>17</v>
      </c>
      <c r="B26" s="1263"/>
      <c r="C26" s="1264"/>
      <c r="D26" s="1264"/>
      <c r="E26" s="354"/>
      <c r="F26" s="354"/>
      <c r="G26" s="650"/>
      <c r="H26" s="975" t="s">
        <v>229</v>
      </c>
      <c r="I26" s="35">
        <f t="shared" si="1"/>
      </c>
      <c r="J26" s="976"/>
      <c r="K26" s="35">
        <f t="shared" si="2"/>
      </c>
      <c r="L26" s="35">
        <f t="shared" si="3"/>
      </c>
      <c r="M26" s="35">
        <f t="shared" si="0"/>
      </c>
      <c r="N26" s="980">
        <v>17</v>
      </c>
      <c r="O26" s="104"/>
    </row>
    <row r="27" spans="1:15" ht="30.75" customHeight="1">
      <c r="A27" s="357">
        <v>18</v>
      </c>
      <c r="B27" s="1263"/>
      <c r="C27" s="1264"/>
      <c r="D27" s="1264"/>
      <c r="E27" s="354"/>
      <c r="F27" s="354"/>
      <c r="G27" s="650"/>
      <c r="H27" s="975" t="s">
        <v>229</v>
      </c>
      <c r="I27" s="35">
        <f t="shared" si="1"/>
      </c>
      <c r="J27" s="976"/>
      <c r="K27" s="35">
        <f t="shared" si="2"/>
      </c>
      <c r="L27" s="35">
        <f t="shared" si="3"/>
      </c>
      <c r="M27" s="35">
        <f t="shared" si="0"/>
      </c>
      <c r="N27" s="981">
        <v>18</v>
      </c>
      <c r="O27" s="104"/>
    </row>
    <row r="28" spans="1:15" ht="30.75" customHeight="1">
      <c r="A28" s="357">
        <v>19</v>
      </c>
      <c r="B28" s="1263"/>
      <c r="C28" s="1264"/>
      <c r="D28" s="1264"/>
      <c r="E28" s="354"/>
      <c r="F28" s="354"/>
      <c r="G28" s="650"/>
      <c r="H28" s="975" t="s">
        <v>229</v>
      </c>
      <c r="I28" s="35">
        <f t="shared" si="1"/>
      </c>
      <c r="J28" s="976"/>
      <c r="K28" s="35">
        <f t="shared" si="2"/>
      </c>
      <c r="L28" s="35">
        <f t="shared" si="3"/>
      </c>
      <c r="M28" s="35">
        <f t="shared" si="0"/>
      </c>
      <c r="N28" s="980">
        <v>19</v>
      </c>
      <c r="O28" s="104"/>
    </row>
    <row r="29" spans="1:15" ht="30.75" customHeight="1" thickBot="1">
      <c r="A29" s="959">
        <v>20</v>
      </c>
      <c r="B29" s="1265"/>
      <c r="C29" s="1266"/>
      <c r="D29" s="1266"/>
      <c r="E29" s="370"/>
      <c r="F29" s="370"/>
      <c r="G29" s="652"/>
      <c r="H29" s="978" t="s">
        <v>229</v>
      </c>
      <c r="I29" s="960">
        <f t="shared" si="1"/>
      </c>
      <c r="J29" s="979"/>
      <c r="K29" s="960">
        <f t="shared" si="2"/>
      </c>
      <c r="L29" s="960">
        <f t="shared" si="3"/>
      </c>
      <c r="M29" s="960">
        <f t="shared" si="0"/>
      </c>
      <c r="N29" s="982">
        <v>20</v>
      </c>
      <c r="O29" s="104"/>
    </row>
    <row r="30" spans="1:15" ht="21" customHeight="1" thickBot="1">
      <c r="A30" s="1288" t="s">
        <v>27</v>
      </c>
      <c r="B30" s="1289"/>
      <c r="C30" s="1289"/>
      <c r="D30" s="1289"/>
      <c r="E30" s="1289"/>
      <c r="F30" s="1289"/>
      <c r="G30" s="1289"/>
      <c r="H30" s="1289"/>
      <c r="I30" s="1289"/>
      <c r="J30" s="1186"/>
      <c r="K30" s="1038">
        <f>SUM(K10:K29)</f>
        <v>0</v>
      </c>
      <c r="L30" s="1037">
        <f>SUM(L10:L29)</f>
        <v>0</v>
      </c>
      <c r="M30" s="1036">
        <f>SUM(M10:M29)</f>
        <v>0</v>
      </c>
      <c r="N30" s="38"/>
      <c r="O30" s="26"/>
    </row>
    <row r="31" spans="1:14" ht="13.5" customHeight="1">
      <c r="A31" s="6"/>
      <c r="N31" s="4"/>
    </row>
    <row r="32" spans="1:14" ht="13.5" customHeight="1">
      <c r="A32" s="6"/>
      <c r="B32" s="591" t="s">
        <v>35</v>
      </c>
      <c r="D32" s="6"/>
      <c r="E32" s="27" t="s">
        <v>196</v>
      </c>
      <c r="N32" s="4"/>
    </row>
    <row r="33" ht="13.5" customHeight="1">
      <c r="E33" s="27" t="s">
        <v>197</v>
      </c>
    </row>
    <row r="34" spans="2:5" ht="13.5" customHeight="1">
      <c r="B34" s="591" t="s">
        <v>36</v>
      </c>
      <c r="E34" s="27" t="s">
        <v>198</v>
      </c>
    </row>
    <row r="35" spans="2:5" ht="13.5" customHeight="1">
      <c r="B35" s="591" t="s">
        <v>37</v>
      </c>
      <c r="E35" s="27" t="s">
        <v>199</v>
      </c>
    </row>
  </sheetData>
  <sheetProtection/>
  <mergeCells count="26">
    <mergeCell ref="A1:E1"/>
    <mergeCell ref="A8:A9"/>
    <mergeCell ref="B8:D8"/>
    <mergeCell ref="K8:L8"/>
    <mergeCell ref="N8:N9"/>
    <mergeCell ref="B10:D10"/>
    <mergeCell ref="B11:D11"/>
    <mergeCell ref="B12:D12"/>
    <mergeCell ref="B13:D13"/>
    <mergeCell ref="B14:D14"/>
    <mergeCell ref="B15:D15"/>
    <mergeCell ref="B16:D16"/>
    <mergeCell ref="B17:D17"/>
    <mergeCell ref="B18:D18"/>
    <mergeCell ref="B19:D19"/>
    <mergeCell ref="B20:D20"/>
    <mergeCell ref="B21:D21"/>
    <mergeCell ref="B22:D22"/>
    <mergeCell ref="B29:D29"/>
    <mergeCell ref="A30:I30"/>
    <mergeCell ref="B23:D23"/>
    <mergeCell ref="B24:D24"/>
    <mergeCell ref="B25:D25"/>
    <mergeCell ref="B26:D26"/>
    <mergeCell ref="B27:D27"/>
    <mergeCell ref="B28:D28"/>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rgb="FF6036D8"/>
    <pageSetUpPr fitToPage="1"/>
  </sheetPr>
  <dimension ref="A1:J69"/>
  <sheetViews>
    <sheetView showGridLines="0" zoomScaleSheetLayoutView="80" workbookViewId="0" topLeftCell="A1">
      <selection activeCell="A1" sqref="A1"/>
    </sheetView>
  </sheetViews>
  <sheetFormatPr defaultColWidth="9.140625" defaultRowHeight="15"/>
  <cols>
    <col min="1" max="2" width="4.140625" style="591" customWidth="1"/>
    <col min="3" max="3" width="16.00390625" style="30" customWidth="1"/>
    <col min="4" max="4" width="14.00390625" style="30" customWidth="1"/>
    <col min="5" max="5" width="14.00390625" style="1" customWidth="1"/>
    <col min="6" max="6" width="14.00390625" style="30" customWidth="1"/>
    <col min="7" max="7" width="20.140625" style="30" customWidth="1"/>
    <col min="8" max="8" width="18.7109375" style="591" customWidth="1"/>
    <col min="9" max="9" width="9.00390625" style="2" customWidth="1"/>
    <col min="10" max="16384" width="9.00390625" style="591" customWidth="1"/>
  </cols>
  <sheetData>
    <row r="1" spans="2:8" ht="18" customHeight="1">
      <c r="B1" s="591" t="s">
        <v>73</v>
      </c>
      <c r="D1" s="1"/>
      <c r="E1" s="30"/>
      <c r="G1" s="591"/>
      <c r="H1" s="648"/>
    </row>
    <row r="2" spans="3:8" ht="18" customHeight="1">
      <c r="C2" s="1295" t="s">
        <v>176</v>
      </c>
      <c r="D2" s="1295"/>
      <c r="E2" s="1295"/>
      <c r="F2" s="1295"/>
      <c r="G2" s="1295"/>
      <c r="H2" s="40"/>
    </row>
    <row r="3" spans="3:8" ht="18" customHeight="1">
      <c r="C3" s="1189"/>
      <c r="D3" s="1189"/>
      <c r="E3" s="1189"/>
      <c r="F3" s="1189"/>
      <c r="G3" s="1189"/>
      <c r="H3" s="40"/>
    </row>
    <row r="4" spans="3:8" ht="18" customHeight="1">
      <c r="C4" s="85"/>
      <c r="D4" s="85"/>
      <c r="E4" s="86"/>
      <c r="F4" s="87" t="s">
        <v>47</v>
      </c>
      <c r="G4" s="105" t="str">
        <f>IF('使い方'!$E$6="","",'使い方'!$E$6)</f>
        <v>Ｂ金属株式会社</v>
      </c>
      <c r="H4" s="915"/>
    </row>
    <row r="5" spans="3:8" ht="18" customHeight="1">
      <c r="C5" s="85"/>
      <c r="D5" s="85"/>
      <c r="E5" s="85"/>
      <c r="F5" s="88"/>
      <c r="G5" s="85"/>
      <c r="H5" s="2"/>
    </row>
    <row r="6" spans="2:8" ht="18" customHeight="1">
      <c r="B6" s="1190" t="s">
        <v>177</v>
      </c>
      <c r="C6" s="316" t="s">
        <v>48</v>
      </c>
      <c r="D6" s="317" t="s">
        <v>49</v>
      </c>
      <c r="E6" s="317" t="s">
        <v>50</v>
      </c>
      <c r="F6" s="316" t="s">
        <v>51</v>
      </c>
      <c r="G6" s="317" t="s">
        <v>52</v>
      </c>
      <c r="H6" s="318" t="s">
        <v>202</v>
      </c>
    </row>
    <row r="7" spans="2:9" ht="18" customHeight="1">
      <c r="B7" s="312">
        <v>1</v>
      </c>
      <c r="C7" s="330"/>
      <c r="D7" s="90"/>
      <c r="E7" s="89"/>
      <c r="F7" s="89"/>
      <c r="G7" s="336"/>
      <c r="H7" s="347"/>
      <c r="I7" s="313"/>
    </row>
    <row r="8" spans="2:9" ht="18" customHeight="1">
      <c r="B8" s="312">
        <v>2</v>
      </c>
      <c r="C8" s="330"/>
      <c r="D8" s="90"/>
      <c r="E8" s="89"/>
      <c r="F8" s="89"/>
      <c r="G8" s="91"/>
      <c r="H8" s="347"/>
      <c r="I8" s="313"/>
    </row>
    <row r="9" spans="2:9" ht="18" customHeight="1">
      <c r="B9" s="312">
        <v>3</v>
      </c>
      <c r="C9" s="330"/>
      <c r="D9" s="90"/>
      <c r="E9" s="89"/>
      <c r="F9" s="89"/>
      <c r="G9" s="91"/>
      <c r="H9" s="347"/>
      <c r="I9" s="313"/>
    </row>
    <row r="10" spans="2:9" ht="18" customHeight="1">
      <c r="B10" s="312">
        <v>4</v>
      </c>
      <c r="C10" s="330"/>
      <c r="D10" s="90"/>
      <c r="E10" s="89"/>
      <c r="F10" s="89"/>
      <c r="G10" s="91"/>
      <c r="H10" s="347"/>
      <c r="I10" s="313"/>
    </row>
    <row r="11" spans="2:9" ht="18" customHeight="1">
      <c r="B11" s="312">
        <v>5</v>
      </c>
      <c r="C11" s="330"/>
      <c r="D11" s="90"/>
      <c r="E11" s="89"/>
      <c r="F11" s="89"/>
      <c r="G11" s="91"/>
      <c r="H11" s="347"/>
      <c r="I11" s="313"/>
    </row>
    <row r="12" spans="2:9" ht="18" customHeight="1">
      <c r="B12" s="312">
        <v>6</v>
      </c>
      <c r="C12" s="330"/>
      <c r="D12" s="90"/>
      <c r="E12" s="89"/>
      <c r="F12" s="89"/>
      <c r="G12" s="91"/>
      <c r="H12" s="347"/>
      <c r="I12" s="313"/>
    </row>
    <row r="13" spans="2:9" ht="18" customHeight="1">
      <c r="B13" s="312">
        <v>7</v>
      </c>
      <c r="C13" s="330"/>
      <c r="D13" s="90"/>
      <c r="E13" s="89"/>
      <c r="F13" s="89"/>
      <c r="G13" s="91"/>
      <c r="H13" s="347"/>
      <c r="I13" s="313"/>
    </row>
    <row r="14" spans="2:9" ht="18" customHeight="1">
      <c r="B14" s="312">
        <v>8</v>
      </c>
      <c r="C14" s="330"/>
      <c r="D14" s="90"/>
      <c r="E14" s="89"/>
      <c r="F14" s="89"/>
      <c r="G14" s="91"/>
      <c r="H14" s="347"/>
      <c r="I14" s="313"/>
    </row>
    <row r="15" spans="2:9" ht="18" customHeight="1">
      <c r="B15" s="312">
        <v>9</v>
      </c>
      <c r="C15" s="330"/>
      <c r="D15" s="90"/>
      <c r="E15" s="89"/>
      <c r="F15" s="89"/>
      <c r="G15" s="91"/>
      <c r="H15" s="347"/>
      <c r="I15" s="313"/>
    </row>
    <row r="16" spans="2:9" ht="18" customHeight="1">
      <c r="B16" s="312">
        <v>10</v>
      </c>
      <c r="C16" s="330"/>
      <c r="D16" s="90"/>
      <c r="E16" s="89"/>
      <c r="F16" s="89"/>
      <c r="G16" s="91"/>
      <c r="H16" s="347"/>
      <c r="I16" s="313"/>
    </row>
    <row r="17" spans="2:9" ht="18" customHeight="1">
      <c r="B17" s="312">
        <v>11</v>
      </c>
      <c r="C17" s="330"/>
      <c r="D17" s="90"/>
      <c r="E17" s="89"/>
      <c r="F17" s="89"/>
      <c r="G17" s="91"/>
      <c r="H17" s="347"/>
      <c r="I17" s="313"/>
    </row>
    <row r="18" spans="2:9" ht="18" customHeight="1">
      <c r="B18" s="312">
        <v>12</v>
      </c>
      <c r="C18" s="330"/>
      <c r="D18" s="90"/>
      <c r="E18" s="89"/>
      <c r="F18" s="89"/>
      <c r="G18" s="91"/>
      <c r="H18" s="347"/>
      <c r="I18" s="313"/>
    </row>
    <row r="19" spans="1:10" ht="18" customHeight="1">
      <c r="A19" s="1"/>
      <c r="C19" s="1"/>
      <c r="D19" s="1"/>
      <c r="F19" s="1"/>
      <c r="G19" s="1"/>
      <c r="I19" s="314"/>
      <c r="J19" s="1"/>
    </row>
    <row r="20" spans="1:10" ht="18" customHeight="1">
      <c r="A20" s="1"/>
      <c r="C20" s="92" t="s">
        <v>70</v>
      </c>
      <c r="D20" s="1"/>
      <c r="F20" s="1"/>
      <c r="G20" s="1" t="s">
        <v>319</v>
      </c>
      <c r="I20" s="314"/>
      <c r="J20" s="1"/>
    </row>
    <row r="21" spans="1:10" ht="18" customHeight="1">
      <c r="A21" s="1"/>
      <c r="C21" s="92"/>
      <c r="D21" s="1"/>
      <c r="F21" s="1"/>
      <c r="G21" s="1"/>
      <c r="H21" s="40"/>
      <c r="I21" s="314"/>
      <c r="J21" s="1"/>
    </row>
    <row r="22" spans="1:10" ht="18" customHeight="1">
      <c r="A22" s="1"/>
      <c r="B22" s="1296" t="s">
        <v>177</v>
      </c>
      <c r="C22" s="93"/>
      <c r="D22" s="94" t="s">
        <v>66</v>
      </c>
      <c r="E22" s="94" t="s">
        <v>67</v>
      </c>
      <c r="F22" s="94" t="s">
        <v>71</v>
      </c>
      <c r="G22" s="95" t="s">
        <v>72</v>
      </c>
      <c r="H22" s="40"/>
      <c r="I22" s="314"/>
      <c r="J22" s="1"/>
    </row>
    <row r="23" spans="1:10" ht="39">
      <c r="A23" s="1"/>
      <c r="B23" s="1296"/>
      <c r="C23" s="96" t="s">
        <v>49</v>
      </c>
      <c r="D23" s="97" t="s">
        <v>53</v>
      </c>
      <c r="E23" s="97" t="s">
        <v>452</v>
      </c>
      <c r="F23" s="97" t="s">
        <v>54</v>
      </c>
      <c r="G23" s="97" t="s">
        <v>55</v>
      </c>
      <c r="H23" s="40"/>
      <c r="I23" s="314"/>
      <c r="J23" s="1"/>
    </row>
    <row r="24" spans="1:10" ht="18" customHeight="1">
      <c r="A24" s="1"/>
      <c r="B24" s="324">
        <f aca="true" t="shared" si="0" ref="B24:B35">IF(B7="","",B7)</f>
        <v>1</v>
      </c>
      <c r="C24" s="582">
        <f aca="true" t="shared" si="1" ref="C24:C35">IF(D7="","",D7)</f>
      </c>
      <c r="D24" s="558">
        <f>IF(C24="","",'賃金台帳(1)'!$E$45)</f>
      </c>
      <c r="E24" s="558">
        <f>IF(C24="","",'賃金台帳(1)'!$I$45)</f>
      </c>
      <c r="F24" s="559">
        <f>IF(C24="","",'総労働時間算定表(1)'!$H$5)</f>
      </c>
      <c r="G24" s="329">
        <f>IF(C24="","",IF((ROUNDDOWN((D24+E24)/F24,0))&gt;=5000,5000,'賃金台帳(1)'!$R$45))</f>
      </c>
      <c r="H24" s="40"/>
      <c r="I24" s="314"/>
      <c r="J24" s="1"/>
    </row>
    <row r="25" spans="1:10" ht="18" customHeight="1">
      <c r="A25" s="1"/>
      <c r="B25" s="324">
        <f t="shared" si="0"/>
        <v>2</v>
      </c>
      <c r="C25" s="582">
        <f t="shared" si="1"/>
      </c>
      <c r="D25" s="558">
        <f>IF(C25="","",'賃金台帳(2)'!$E$45)</f>
      </c>
      <c r="E25" s="558">
        <f>IF(C25="","",'賃金台帳(2)'!$I$45)</f>
      </c>
      <c r="F25" s="559">
        <f>IF(C25="","",'総労働時間算定表(1)'!$H$5)</f>
      </c>
      <c r="G25" s="329">
        <f>IF(C25="","",IF((ROUNDDOWN((D25+E25)/F25,0))&gt;=5000,5000,'賃金台帳(2)'!$R$45))</f>
      </c>
      <c r="H25" s="98"/>
      <c r="I25" s="314"/>
      <c r="J25" s="1"/>
    </row>
    <row r="26" spans="1:10" ht="18" customHeight="1">
      <c r="A26" s="1"/>
      <c r="B26" s="324">
        <f t="shared" si="0"/>
        <v>3</v>
      </c>
      <c r="C26" s="582">
        <f t="shared" si="1"/>
      </c>
      <c r="D26" s="558">
        <f>IF(C26="","",'賃金台帳(3)'!$E$45)</f>
      </c>
      <c r="E26" s="558">
        <f>IF(C26="","",'賃金台帳(3)'!$I$45)</f>
      </c>
      <c r="F26" s="559">
        <f>IF(C26="","",'総労働時間算定表(1)'!$H$5)</f>
      </c>
      <c r="G26" s="329">
        <f>IF(C26="","",IF((ROUNDDOWN((D26+E26)/F26,0))&gt;=5000,5000,'賃金台帳(3)'!$R$45))</f>
      </c>
      <c r="H26" s="40"/>
      <c r="I26" s="314"/>
      <c r="J26" s="1"/>
    </row>
    <row r="27" spans="1:10" ht="18" customHeight="1">
      <c r="A27" s="1"/>
      <c r="B27" s="324">
        <f t="shared" si="0"/>
        <v>4</v>
      </c>
      <c r="C27" s="582">
        <f t="shared" si="1"/>
      </c>
      <c r="D27" s="558">
        <f>IF(C27="","",'賃金台帳(4)'!$E$45)</f>
      </c>
      <c r="E27" s="558">
        <f>IF(C27="","",'賃金台帳(4)'!$I$45)</f>
      </c>
      <c r="F27" s="559">
        <f>IF(C27="","",'総労働時間算定表(1)'!$H$5)</f>
      </c>
      <c r="G27" s="329">
        <f>IF(C27="","",IF((ROUNDDOWN((D27+E27)/F27,0))&gt;=5000,5000,'賃金台帳(4)'!$R$45))</f>
      </c>
      <c r="H27" s="98"/>
      <c r="I27" s="314"/>
      <c r="J27" s="1"/>
    </row>
    <row r="28" spans="1:10" ht="18" customHeight="1">
      <c r="A28" s="1"/>
      <c r="B28" s="324">
        <f t="shared" si="0"/>
        <v>5</v>
      </c>
      <c r="C28" s="582">
        <f t="shared" si="1"/>
      </c>
      <c r="D28" s="558">
        <f>IF(C28="","",'賃金台帳(5)'!$E$45)</f>
      </c>
      <c r="E28" s="558">
        <f>IF(C28="","",'賃金台帳(5)'!$I$45)</f>
      </c>
      <c r="F28" s="559">
        <f>IF(C28="","",'総労働時間算定表(1)'!$H$5)</f>
      </c>
      <c r="G28" s="329">
        <f>IF(C28="","",IF((ROUNDDOWN((D28+E28)/F28,0))&gt;=5000,5000,'賃金台帳(5)'!$R$45))</f>
      </c>
      <c r="H28" s="98"/>
      <c r="I28" s="314"/>
      <c r="J28" s="1"/>
    </row>
    <row r="29" spans="1:10" ht="18" customHeight="1">
      <c r="A29" s="1"/>
      <c r="B29" s="324">
        <f t="shared" si="0"/>
        <v>6</v>
      </c>
      <c r="C29" s="582">
        <f t="shared" si="1"/>
      </c>
      <c r="D29" s="558">
        <f>IF(C29="","",'賃金台帳(6)'!$E$45)</f>
      </c>
      <c r="E29" s="558">
        <f>IF(C29="","",'賃金台帳(6)'!$I$45)</f>
      </c>
      <c r="F29" s="559">
        <f>IF(C29="","",'総労働時間算定表(1)'!$H$5)</f>
      </c>
      <c r="G29" s="329">
        <f>IF(C29="","",IF((ROUNDDOWN((D29+E29)/F29,0))&gt;=5000,5000,'賃金台帳(6)'!$R$45))</f>
      </c>
      <c r="H29" s="98"/>
      <c r="I29" s="314"/>
      <c r="J29" s="1"/>
    </row>
    <row r="30" spans="1:10" ht="18" customHeight="1">
      <c r="A30" s="1"/>
      <c r="B30" s="324">
        <f t="shared" si="0"/>
        <v>7</v>
      </c>
      <c r="C30" s="582">
        <f t="shared" si="1"/>
      </c>
      <c r="D30" s="558">
        <f>IF(C30="","",'賃金台帳(7)'!$E$45)</f>
      </c>
      <c r="E30" s="558">
        <f>IF(C30="","",'賃金台帳(7)'!$I$45)</f>
      </c>
      <c r="F30" s="559">
        <f>IF(C30="","",'総労働時間算定表(1)'!$H$5)</f>
      </c>
      <c r="G30" s="329">
        <f>IF(C30="","",IF((ROUNDDOWN((D30+E30)/F30,0))&gt;=5000,5000,'賃金台帳(7)'!$R$45))</f>
      </c>
      <c r="H30" s="40"/>
      <c r="I30" s="314"/>
      <c r="J30" s="1"/>
    </row>
    <row r="31" spans="1:10" ht="18" customHeight="1">
      <c r="A31" s="1"/>
      <c r="B31" s="324">
        <f t="shared" si="0"/>
        <v>8</v>
      </c>
      <c r="C31" s="582">
        <f t="shared" si="1"/>
      </c>
      <c r="D31" s="558">
        <f>IF(C31="","",'賃金台帳(8)'!$E$45)</f>
      </c>
      <c r="E31" s="558">
        <f>IF(C31="","",'賃金台帳(8)'!$I$45)</f>
      </c>
      <c r="F31" s="559">
        <f>IF(C31="","",'総労働時間算定表(1)'!$H$5)</f>
      </c>
      <c r="G31" s="329">
        <f>IF(C31="","",IF((ROUNDDOWN((D31+E31)/F31,0))&gt;=5000,5000,'賃金台帳(8)'!$R$45))</f>
      </c>
      <c r="H31" s="98"/>
      <c r="I31" s="314"/>
      <c r="J31" s="1"/>
    </row>
    <row r="32" spans="1:10" ht="18" customHeight="1">
      <c r="A32" s="1"/>
      <c r="B32" s="324">
        <f t="shared" si="0"/>
        <v>9</v>
      </c>
      <c r="C32" s="582">
        <f t="shared" si="1"/>
      </c>
      <c r="D32" s="558">
        <f>IF(C32="","",'賃金台帳(9)'!$E$45)</f>
      </c>
      <c r="E32" s="558">
        <f>IF(C32="","",'賃金台帳(9)'!$I$45)</f>
      </c>
      <c r="F32" s="559">
        <f>IF(C32="","",'総労働時間算定表(1)'!$H$5)</f>
      </c>
      <c r="G32" s="329">
        <f>IF(C32="","",IF((ROUNDDOWN((D32+E32)/F32,0))&gt;=5000,5000,'賃金台帳(9)'!$R$45))</f>
      </c>
      <c r="H32" s="40"/>
      <c r="I32" s="314"/>
      <c r="J32" s="1"/>
    </row>
    <row r="33" spans="1:10" ht="18" customHeight="1">
      <c r="A33" s="1"/>
      <c r="B33" s="324">
        <f t="shared" si="0"/>
        <v>10</v>
      </c>
      <c r="C33" s="582">
        <f t="shared" si="1"/>
      </c>
      <c r="D33" s="558">
        <f>IF(C33="","",'賃金台帳(10)'!$E$45)</f>
      </c>
      <c r="E33" s="558">
        <f>IF(C33="","",'賃金台帳(10)'!$I$45)</f>
      </c>
      <c r="F33" s="559">
        <f>IF(C33="","",'総労働時間算定表(1)'!$H$5)</f>
      </c>
      <c r="G33" s="329">
        <f>IF(C33="","",IF((ROUNDDOWN((D33+E33)/F33,0))&gt;=5000,5000,'賃金台帳(10)'!$R$45))</f>
      </c>
      <c r="H33" s="98"/>
      <c r="I33" s="314"/>
      <c r="J33" s="1"/>
    </row>
    <row r="34" spans="1:10" ht="18" customHeight="1">
      <c r="A34" s="1"/>
      <c r="B34" s="324">
        <f t="shared" si="0"/>
        <v>11</v>
      </c>
      <c r="C34" s="582">
        <f t="shared" si="1"/>
      </c>
      <c r="D34" s="558">
        <f>IF(C34="","",'賃金台帳(11)'!$E$45)</f>
      </c>
      <c r="E34" s="558">
        <f>IF(C34="","",'賃金台帳(11)'!$I$45)</f>
      </c>
      <c r="F34" s="559">
        <f>IF(C34="","",'総労働時間算定表(1)'!$H$5)</f>
      </c>
      <c r="G34" s="329">
        <f>IF(C34="","",IF((ROUNDDOWN((D34+E34)/F34,0))&gt;=5000,5000,'賃金台帳(11)'!$R$45))</f>
      </c>
      <c r="H34" s="98"/>
      <c r="I34" s="314"/>
      <c r="J34" s="1"/>
    </row>
    <row r="35" spans="1:10" ht="18" customHeight="1">
      <c r="A35" s="1"/>
      <c r="B35" s="324">
        <f t="shared" si="0"/>
        <v>12</v>
      </c>
      <c r="C35" s="582">
        <f t="shared" si="1"/>
      </c>
      <c r="D35" s="558">
        <f>IF(C35="","",'賃金台帳(12)'!$E$45)</f>
      </c>
      <c r="E35" s="558">
        <f>IF(C35="","",'賃金台帳(12)'!$I$45)</f>
      </c>
      <c r="F35" s="559">
        <f>IF(C35="","",'総労働時間算定表(1)'!$H$5)</f>
      </c>
      <c r="G35" s="329">
        <f>IF(C35="","",IF((ROUNDDOWN((D35+E35)/F35,0))&gt;=5000,5000,'賃金台帳(12)'!$R$45))</f>
      </c>
      <c r="H35" s="98"/>
      <c r="I35" s="314"/>
      <c r="J35" s="1"/>
    </row>
    <row r="36" spans="1:9" s="1" customFormat="1" ht="18" customHeight="1">
      <c r="A36" s="591"/>
      <c r="B36" s="591"/>
      <c r="C36" s="132" t="s">
        <v>200</v>
      </c>
      <c r="H36" s="591"/>
      <c r="I36" s="314"/>
    </row>
    <row r="37" spans="1:9" s="1" customFormat="1" ht="18" customHeight="1">
      <c r="A37" s="591"/>
      <c r="B37" s="591"/>
      <c r="C37" s="132" t="s">
        <v>402</v>
      </c>
      <c r="D37" s="30"/>
      <c r="F37" s="30"/>
      <c r="G37" s="30"/>
      <c r="H37" s="591"/>
      <c r="I37" s="314"/>
    </row>
    <row r="38" spans="1:9" s="1" customFormat="1" ht="18" customHeight="1">
      <c r="A38" s="591"/>
      <c r="B38" s="591"/>
      <c r="C38" s="132" t="s">
        <v>201</v>
      </c>
      <c r="D38" s="30"/>
      <c r="F38" s="30"/>
      <c r="G38" s="30"/>
      <c r="H38" s="591"/>
      <c r="I38" s="314"/>
    </row>
    <row r="39" spans="1:10" s="1" customFormat="1" ht="18" customHeight="1">
      <c r="A39" s="591"/>
      <c r="B39" s="591"/>
      <c r="C39" s="30"/>
      <c r="D39" s="30"/>
      <c r="F39" s="30"/>
      <c r="G39" s="30"/>
      <c r="H39" s="591"/>
      <c r="I39" s="2"/>
      <c r="J39" s="591"/>
    </row>
    <row r="40" spans="1:9" s="1" customFormat="1" ht="13.5">
      <c r="A40" s="591"/>
      <c r="B40" s="591"/>
      <c r="C40" s="30"/>
      <c r="D40" s="30"/>
      <c r="F40" s="30"/>
      <c r="G40" s="30"/>
      <c r="H40" s="591"/>
      <c r="I40" s="314"/>
    </row>
    <row r="41" spans="1:9" s="1" customFormat="1" ht="13.5">
      <c r="A41" s="1180"/>
      <c r="B41" s="591"/>
      <c r="C41" s="30"/>
      <c r="D41" s="30"/>
      <c r="F41" s="30"/>
      <c r="G41" s="30"/>
      <c r="H41" s="591"/>
      <c r="I41" s="314"/>
    </row>
    <row r="42" spans="1:9" s="1" customFormat="1" ht="13.5">
      <c r="A42" s="1180"/>
      <c r="B42" s="591"/>
      <c r="C42" s="30"/>
      <c r="D42" s="30"/>
      <c r="F42" s="30"/>
      <c r="G42" s="30"/>
      <c r="H42" s="591"/>
      <c r="I42" s="314"/>
    </row>
    <row r="43" spans="1:10" s="1" customFormat="1" ht="13.5">
      <c r="A43" s="591"/>
      <c r="B43" s="591"/>
      <c r="C43" s="30"/>
      <c r="D43" s="30"/>
      <c r="F43" s="30"/>
      <c r="G43" s="30"/>
      <c r="H43" s="591"/>
      <c r="I43" s="2"/>
      <c r="J43" s="591"/>
    </row>
    <row r="44" spans="1:9" s="1" customFormat="1" ht="13.5">
      <c r="A44" s="591"/>
      <c r="B44" s="591"/>
      <c r="C44" s="30"/>
      <c r="D44" s="30"/>
      <c r="F44" s="30"/>
      <c r="G44" s="30"/>
      <c r="H44" s="591"/>
      <c r="I44" s="314"/>
    </row>
    <row r="45" spans="1:9" s="1" customFormat="1" ht="13.5">
      <c r="A45" s="591"/>
      <c r="B45" s="591"/>
      <c r="C45" s="30"/>
      <c r="D45" s="30"/>
      <c r="F45" s="30"/>
      <c r="G45" s="30"/>
      <c r="H45" s="591"/>
      <c r="I45" s="314"/>
    </row>
    <row r="46" spans="1:9" s="1" customFormat="1" ht="13.5">
      <c r="A46" s="1180"/>
      <c r="B46" s="591"/>
      <c r="C46" s="30"/>
      <c r="D46" s="30"/>
      <c r="F46" s="30"/>
      <c r="G46" s="30"/>
      <c r="H46" s="591"/>
      <c r="I46" s="314"/>
    </row>
    <row r="47" spans="1:9" s="1" customFormat="1" ht="13.5">
      <c r="A47" s="1180"/>
      <c r="B47" s="591"/>
      <c r="C47" s="30"/>
      <c r="D47" s="30"/>
      <c r="F47" s="30"/>
      <c r="G47" s="30"/>
      <c r="H47" s="591"/>
      <c r="I47" s="314"/>
    </row>
    <row r="48" spans="1:10" s="1" customFormat="1" ht="13.5">
      <c r="A48" s="591"/>
      <c r="B48" s="591"/>
      <c r="C48" s="30"/>
      <c r="D48" s="30"/>
      <c r="F48" s="30"/>
      <c r="G48" s="30"/>
      <c r="H48" s="591"/>
      <c r="I48" s="2"/>
      <c r="J48" s="591"/>
    </row>
    <row r="49" spans="1:10" s="1" customFormat="1" ht="13.5">
      <c r="A49" s="591"/>
      <c r="B49" s="591"/>
      <c r="C49" s="30"/>
      <c r="D49" s="30"/>
      <c r="F49" s="30"/>
      <c r="G49" s="30"/>
      <c r="H49" s="591"/>
      <c r="I49" s="2"/>
      <c r="J49" s="591"/>
    </row>
    <row r="50" spans="1:10" s="1" customFormat="1" ht="13.5">
      <c r="A50" s="591"/>
      <c r="B50" s="591"/>
      <c r="C50" s="30"/>
      <c r="D50" s="30"/>
      <c r="F50" s="30"/>
      <c r="G50" s="30"/>
      <c r="H50" s="591"/>
      <c r="I50" s="2"/>
      <c r="J50" s="591"/>
    </row>
    <row r="52" spans="1:10" s="1" customFormat="1" ht="13.5">
      <c r="A52" s="591"/>
      <c r="B52" s="591"/>
      <c r="C52" s="30"/>
      <c r="D52" s="30"/>
      <c r="F52" s="30"/>
      <c r="G52" s="30"/>
      <c r="H52" s="591"/>
      <c r="I52" s="2"/>
      <c r="J52" s="591"/>
    </row>
    <row r="53" spans="1:10" s="1" customFormat="1" ht="13.5">
      <c r="A53" s="591"/>
      <c r="B53" s="591"/>
      <c r="C53" s="30"/>
      <c r="D53" s="30"/>
      <c r="F53" s="30"/>
      <c r="G53" s="30"/>
      <c r="H53" s="591"/>
      <c r="I53" s="315"/>
      <c r="J53" s="1180"/>
    </row>
    <row r="54" spans="1:10" s="1" customFormat="1" ht="13.5">
      <c r="A54" s="591"/>
      <c r="B54" s="591"/>
      <c r="C54" s="30"/>
      <c r="D54" s="30"/>
      <c r="F54" s="30"/>
      <c r="G54" s="30"/>
      <c r="H54" s="591"/>
      <c r="I54" s="315"/>
      <c r="J54" s="1180"/>
    </row>
    <row r="56" spans="1:10" s="1" customFormat="1" ht="13.5">
      <c r="A56" s="591"/>
      <c r="B56" s="591"/>
      <c r="C56" s="30"/>
      <c r="D56" s="30"/>
      <c r="F56" s="30"/>
      <c r="G56" s="30"/>
      <c r="H56" s="591"/>
      <c r="I56" s="2"/>
      <c r="J56" s="591"/>
    </row>
    <row r="57" spans="1:10" s="1" customFormat="1" ht="13.5">
      <c r="A57" s="591"/>
      <c r="B57" s="591"/>
      <c r="C57" s="30"/>
      <c r="D57" s="30"/>
      <c r="F57" s="30"/>
      <c r="G57" s="30"/>
      <c r="H57" s="591"/>
      <c r="I57" s="315"/>
      <c r="J57" s="1180"/>
    </row>
    <row r="58" spans="1:10" s="1" customFormat="1" ht="13.5">
      <c r="A58" s="591"/>
      <c r="B58" s="591"/>
      <c r="C58" s="30"/>
      <c r="D58" s="30"/>
      <c r="F58" s="30"/>
      <c r="G58" s="30"/>
      <c r="H58" s="591"/>
      <c r="I58" s="315"/>
      <c r="J58" s="1180"/>
    </row>
    <row r="63" ht="20.25" customHeight="1"/>
    <row r="64" spans="1:10" s="1180" customFormat="1" ht="20.25" customHeight="1">
      <c r="A64" s="591"/>
      <c r="B64" s="591"/>
      <c r="C64" s="30"/>
      <c r="D64" s="30"/>
      <c r="E64" s="1"/>
      <c r="F64" s="30"/>
      <c r="G64" s="30"/>
      <c r="H64" s="591"/>
      <c r="I64" s="2"/>
      <c r="J64" s="591"/>
    </row>
    <row r="65" spans="1:10" s="1180" customFormat="1" ht="20.25" customHeight="1">
      <c r="A65" s="591"/>
      <c r="B65" s="591"/>
      <c r="C65" s="30"/>
      <c r="D65" s="30"/>
      <c r="E65" s="1"/>
      <c r="F65" s="30"/>
      <c r="G65" s="30"/>
      <c r="H65" s="591"/>
      <c r="I65" s="2"/>
      <c r="J65" s="591"/>
    </row>
    <row r="66" ht="20.25" customHeight="1"/>
    <row r="67" ht="20.25" customHeight="1"/>
    <row r="68" spans="1:10" s="1180" customFormat="1" ht="13.5">
      <c r="A68" s="591"/>
      <c r="B68" s="591"/>
      <c r="C68" s="30"/>
      <c r="D68" s="30"/>
      <c r="E68" s="1"/>
      <c r="F68" s="30"/>
      <c r="G68" s="30"/>
      <c r="H68" s="591"/>
      <c r="I68" s="2"/>
      <c r="J68" s="591"/>
    </row>
    <row r="69" spans="1:10" s="1180" customFormat="1" ht="13.5">
      <c r="A69" s="591"/>
      <c r="B69" s="591"/>
      <c r="C69" s="30"/>
      <c r="D69" s="30"/>
      <c r="E69" s="1"/>
      <c r="F69" s="30"/>
      <c r="G69" s="30"/>
      <c r="H69" s="591"/>
      <c r="I69" s="2"/>
      <c r="J69" s="591"/>
    </row>
    <row r="79" ht="15" customHeight="1"/>
    <row r="80" ht="15" customHeight="1"/>
    <row r="81" ht="15" customHeight="1"/>
  </sheetData>
  <sheetProtection sheet="1" objects="1" scenarios="1"/>
  <mergeCells count="2">
    <mergeCell ref="C2:G2"/>
    <mergeCell ref="B22:B23"/>
  </mergeCells>
  <dataValidations count="2">
    <dataValidation allowBlank="1" showInputMessage="1" showErrorMessage="1" imeMode="halfAlpha" sqref="B24:F35"/>
    <dataValidation allowBlank="1" showInputMessage="1" showErrorMessage="1" imeMode="hiragana" sqref="G4"/>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zoomScaleSheetLayoutView="80" zoomScalePageLayoutView="0" workbookViewId="0" topLeftCell="A1">
      <selection activeCell="A1" sqref="A1"/>
    </sheetView>
  </sheetViews>
  <sheetFormatPr defaultColWidth="9.140625" defaultRowHeight="15"/>
  <cols>
    <col min="1" max="1" width="9.00390625" style="591" customWidth="1"/>
    <col min="2" max="2" width="9.7109375" style="591" customWidth="1"/>
    <col min="3" max="3" width="11.57421875" style="591" bestFit="1" customWidth="1"/>
    <col min="4" max="4" width="10.57421875" style="591" customWidth="1"/>
    <col min="5" max="5" width="9.421875" style="591" customWidth="1"/>
    <col min="6" max="6" width="12.421875" style="591" customWidth="1"/>
    <col min="7" max="7" width="13.28125" style="591" customWidth="1"/>
    <col min="8" max="8" width="14.421875" style="591" customWidth="1"/>
    <col min="9" max="16384" width="9.00390625" style="591" customWidth="1"/>
  </cols>
  <sheetData>
    <row r="1" spans="2:8" ht="18" customHeight="1">
      <c r="B1" s="1297" t="s">
        <v>178</v>
      </c>
      <c r="C1" s="1297"/>
      <c r="D1" s="1297"/>
      <c r="E1" s="1297"/>
      <c r="F1" s="1297"/>
      <c r="G1" s="1297"/>
      <c r="H1" s="1297"/>
    </row>
    <row r="2" ht="9.75" customHeight="1"/>
    <row r="3" ht="17.25">
      <c r="H3" s="106" t="s">
        <v>179</v>
      </c>
    </row>
    <row r="4" spans="2:10" ht="17.25">
      <c r="B4" s="107"/>
      <c r="C4" s="107"/>
      <c r="D4" s="107"/>
      <c r="E4" s="107"/>
      <c r="G4" s="107" t="s">
        <v>365</v>
      </c>
      <c r="H4" s="105" t="str">
        <f>IF('使い方'!$E$6="","",'使い方'!$E$6)</f>
        <v>Ｂ金属株式会社</v>
      </c>
      <c r="I4" s="916"/>
      <c r="J4" s="916"/>
    </row>
    <row r="5" spans="2:9" ht="17.25">
      <c r="B5" s="107" t="s">
        <v>180</v>
      </c>
      <c r="D5" s="107"/>
      <c r="E5" s="107"/>
      <c r="F5" s="107"/>
      <c r="G5" s="1112" t="s">
        <v>56</v>
      </c>
      <c r="H5" s="1095">
        <f>H27+H28</f>
        <v>0</v>
      </c>
      <c r="I5" s="107" t="s">
        <v>181</v>
      </c>
    </row>
    <row r="6" spans="2:9" ht="17.25">
      <c r="B6" s="107"/>
      <c r="D6" s="107"/>
      <c r="E6" s="107"/>
      <c r="F6" s="107"/>
      <c r="G6" s="108"/>
      <c r="H6" s="133"/>
      <c r="I6" s="107"/>
    </row>
    <row r="7" spans="2:7" ht="18" thickBot="1">
      <c r="B7" s="107"/>
      <c r="C7" s="1191" t="s">
        <v>182</v>
      </c>
      <c r="D7" s="107"/>
      <c r="E7" s="107"/>
      <c r="F7" s="1191" t="s">
        <v>182</v>
      </c>
      <c r="G7" s="107"/>
    </row>
    <row r="8" spans="2:8" ht="17.25">
      <c r="B8" s="107" t="s">
        <v>333</v>
      </c>
      <c r="C8" s="109"/>
      <c r="D8" s="107"/>
      <c r="E8" s="107" t="s">
        <v>443</v>
      </c>
      <c r="F8" s="109"/>
      <c r="G8" s="107"/>
      <c r="H8" s="30"/>
    </row>
    <row r="9" spans="2:7" ht="17.25">
      <c r="B9" s="107" t="s">
        <v>183</v>
      </c>
      <c r="C9" s="110"/>
      <c r="D9" s="107"/>
      <c r="E9" s="107" t="s">
        <v>444</v>
      </c>
      <c r="F9" s="110"/>
      <c r="G9" s="107"/>
    </row>
    <row r="10" spans="2:7" ht="17.25">
      <c r="B10" s="107" t="s">
        <v>184</v>
      </c>
      <c r="C10" s="110"/>
      <c r="D10" s="107"/>
      <c r="E10" s="107" t="s">
        <v>445</v>
      </c>
      <c r="F10" s="110"/>
      <c r="G10" s="107"/>
    </row>
    <row r="11" spans="2:7" ht="17.25">
      <c r="B11" s="107" t="s">
        <v>334</v>
      </c>
      <c r="C11" s="110"/>
      <c r="D11" s="107"/>
      <c r="E11" s="107" t="s">
        <v>446</v>
      </c>
      <c r="F11" s="110"/>
      <c r="G11" s="107"/>
    </row>
    <row r="12" spans="2:7" ht="17.25">
      <c r="B12" s="107" t="s">
        <v>335</v>
      </c>
      <c r="C12" s="110"/>
      <c r="D12" s="107"/>
      <c r="E12" s="107" t="s">
        <v>447</v>
      </c>
      <c r="F12" s="110"/>
      <c r="G12" s="547" t="s">
        <v>407</v>
      </c>
    </row>
    <row r="13" spans="2:7" ht="18" thickBot="1">
      <c r="B13" s="107" t="s">
        <v>336</v>
      </c>
      <c r="C13" s="111"/>
      <c r="D13" s="107"/>
      <c r="E13" s="107" t="s">
        <v>448</v>
      </c>
      <c r="F13" s="111"/>
      <c r="G13" s="547" t="s">
        <v>408</v>
      </c>
    </row>
    <row r="14" spans="2:7" ht="17.25">
      <c r="B14" s="107"/>
      <c r="C14" s="107"/>
      <c r="D14" s="107"/>
      <c r="E14" s="107" t="s">
        <v>56</v>
      </c>
      <c r="F14" s="113">
        <f>C8+C9+C10+C11+C12+C13+F8+F9+F10+F11+F12+F13</f>
        <v>0</v>
      </c>
      <c r="G14" s="114" t="s">
        <v>185</v>
      </c>
    </row>
    <row r="15" spans="2:12" ht="18" thickBot="1">
      <c r="B15" s="107"/>
      <c r="C15" s="107"/>
      <c r="D15" s="107"/>
      <c r="E15" s="107"/>
      <c r="F15" s="112"/>
      <c r="G15" s="114"/>
      <c r="K15" s="115"/>
      <c r="L15" s="115"/>
    </row>
    <row r="16" spans="2:9" ht="18" thickBot="1">
      <c r="B16" s="116" t="s">
        <v>186</v>
      </c>
      <c r="C16" s="116"/>
      <c r="D16" s="116"/>
      <c r="E16" s="117"/>
      <c r="F16" s="1179" t="s">
        <v>57</v>
      </c>
      <c r="G16" s="118"/>
      <c r="H16" s="119">
        <f>G16-E16</f>
        <v>0</v>
      </c>
      <c r="I16" s="115"/>
    </row>
    <row r="17" spans="2:9" ht="18" thickBot="1">
      <c r="B17" s="116"/>
      <c r="C17" s="116"/>
      <c r="D17" s="116"/>
      <c r="E17" s="1"/>
      <c r="F17" s="1"/>
      <c r="G17" s="120"/>
      <c r="H17" s="1"/>
      <c r="I17" s="115"/>
    </row>
    <row r="18" spans="2:9" ht="17.25">
      <c r="B18" s="116" t="s">
        <v>187</v>
      </c>
      <c r="C18" s="116"/>
      <c r="D18" s="116"/>
      <c r="E18" s="121"/>
      <c r="F18" s="592" t="s">
        <v>57</v>
      </c>
      <c r="G18" s="332"/>
      <c r="H18" s="122">
        <f>G18-E18</f>
        <v>0</v>
      </c>
      <c r="I18" s="115"/>
    </row>
    <row r="19" spans="2:9" ht="17.25">
      <c r="B19" s="116" t="s">
        <v>188</v>
      </c>
      <c r="C19" s="116"/>
      <c r="D19" s="116"/>
      <c r="E19" s="123"/>
      <c r="F19" s="592" t="s">
        <v>57</v>
      </c>
      <c r="G19" s="333"/>
      <c r="H19" s="122">
        <f>G19-E19</f>
        <v>0</v>
      </c>
      <c r="I19" s="115"/>
    </row>
    <row r="20" spans="2:9" ht="18" thickBot="1">
      <c r="B20" s="116" t="s">
        <v>189</v>
      </c>
      <c r="C20" s="116"/>
      <c r="D20" s="116"/>
      <c r="E20" s="124"/>
      <c r="F20" s="592" t="s">
        <v>57</v>
      </c>
      <c r="G20" s="334"/>
      <c r="H20" s="122">
        <f>G20-E20</f>
        <v>0</v>
      </c>
      <c r="I20" s="115"/>
    </row>
    <row r="21" spans="2:9" ht="17.25">
      <c r="B21" s="116"/>
      <c r="C21" s="116"/>
      <c r="D21" s="116"/>
      <c r="E21" s="125"/>
      <c r="F21" s="126"/>
      <c r="G21" s="112" t="s">
        <v>206</v>
      </c>
      <c r="H21" s="1100">
        <f>H16-H18-H19-H20</f>
        <v>0</v>
      </c>
      <c r="I21" s="114" t="s">
        <v>181</v>
      </c>
    </row>
    <row r="22" spans="2:8" ht="17.25">
      <c r="B22" s="107" t="s">
        <v>190</v>
      </c>
      <c r="C22" s="107"/>
      <c r="D22" s="107"/>
      <c r="E22" s="107"/>
      <c r="F22" s="112"/>
      <c r="G22" s="2"/>
      <c r="H22" s="2"/>
    </row>
    <row r="23" spans="2:8" ht="18" thickBot="1">
      <c r="B23" s="107" t="s">
        <v>191</v>
      </c>
      <c r="C23" s="107"/>
      <c r="D23" s="107"/>
      <c r="E23" s="107"/>
      <c r="F23" s="112"/>
      <c r="G23" s="112"/>
      <c r="H23" s="2"/>
    </row>
    <row r="24" spans="2:8" ht="18" thickBot="1">
      <c r="B24" s="107" t="s">
        <v>192</v>
      </c>
      <c r="C24" s="107"/>
      <c r="D24" s="107"/>
      <c r="E24" s="107"/>
      <c r="F24" s="127"/>
      <c r="G24" s="112"/>
      <c r="H24" s="2"/>
    </row>
    <row r="25" spans="2:8" ht="18" thickBot="1">
      <c r="B25" s="107" t="s">
        <v>193</v>
      </c>
      <c r="C25" s="107"/>
      <c r="D25" s="107"/>
      <c r="E25" s="107"/>
      <c r="F25" s="127" t="s">
        <v>65</v>
      </c>
      <c r="G25" s="107"/>
      <c r="H25" s="2"/>
    </row>
    <row r="26" spans="2:8" ht="17.25">
      <c r="B26" s="107" t="s">
        <v>409</v>
      </c>
      <c r="C26" s="107"/>
      <c r="D26" s="107"/>
      <c r="E26" s="107"/>
      <c r="F26" s="112"/>
      <c r="G26" s="107"/>
      <c r="H26" s="2"/>
    </row>
    <row r="27" spans="2:9" ht="17.25">
      <c r="B27" s="128">
        <f>F14</f>
        <v>0</v>
      </c>
      <c r="C27" s="1098" t="s">
        <v>405</v>
      </c>
      <c r="D27" s="1099">
        <f>HOUR(H21)/24</f>
        <v>0</v>
      </c>
      <c r="E27" s="1191"/>
      <c r="G27" s="1097" t="s">
        <v>403</v>
      </c>
      <c r="H27" s="1096">
        <f>B27*D27*24</f>
        <v>0</v>
      </c>
      <c r="I27" s="107" t="s">
        <v>181</v>
      </c>
    </row>
    <row r="28" spans="2:12" ht="17.25">
      <c r="B28" s="128">
        <f>F14</f>
        <v>0</v>
      </c>
      <c r="C28" s="1098" t="s">
        <v>406</v>
      </c>
      <c r="D28" s="129">
        <f>MINUTE(H21)</f>
        <v>0</v>
      </c>
      <c r="E28" s="130" t="s">
        <v>194</v>
      </c>
      <c r="F28" s="1191">
        <v>60</v>
      </c>
      <c r="G28" s="1097" t="s">
        <v>410</v>
      </c>
      <c r="H28" s="1096">
        <f>ROUNDDOWN(F29*B28,3)</f>
        <v>0</v>
      </c>
      <c r="I28" s="107" t="s">
        <v>181</v>
      </c>
      <c r="J28" s="107"/>
      <c r="K28" s="107"/>
      <c r="L28" s="107"/>
    </row>
    <row r="29" spans="6:7" ht="17.25">
      <c r="F29" s="131">
        <f>ROUNDDOWN(D28/F28,3)</f>
        <v>0</v>
      </c>
      <c r="G29" s="591" t="s">
        <v>404</v>
      </c>
    </row>
    <row r="30" ht="13.5">
      <c r="G30" s="2"/>
    </row>
  </sheetData>
  <sheetProtection sheet="1" objects="1" scenarios="1"/>
  <mergeCells count="1">
    <mergeCell ref="B1:H1"/>
  </mergeCells>
  <dataValidations count="3">
    <dataValidation allowBlank="1" showInputMessage="1" showErrorMessage="1" imeMode="halfAlpha" sqref="G9 F24 G16 E16 E18:E20 F8:F13 C8:C13 G18:G20"/>
    <dataValidation type="list" allowBlank="1" showInputMessage="1" showErrorMessage="1" sqref="F25:F26">
      <formula1>$K$25:$K$27</formula1>
    </dataValidation>
    <dataValidation allowBlank="1" showInputMessage="1" showErrorMessage="1" imeMode="hiragana" sqref="H4"/>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6" r:id="rId1"/>
  <headerFooter>
    <oddHeader>&amp;L&amp;D  &amp;T&amp;C&amp;A</oddHeader>
    <oddFooter>&amp;L&amp;F</oddFooter>
  </headerFooter>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80" zoomScaleSheetLayoutView="80" zoomScalePageLayoutView="0" workbookViewId="0" topLeftCell="A1">
      <selection activeCell="H9" sqref="H9"/>
    </sheetView>
  </sheetViews>
  <sheetFormatPr defaultColWidth="9.140625" defaultRowHeight="15"/>
  <cols>
    <col min="1" max="1" width="9.00390625" style="591" customWidth="1"/>
    <col min="2" max="2" width="9.7109375" style="591" customWidth="1"/>
    <col min="3" max="3" width="11.57421875" style="591" bestFit="1" customWidth="1"/>
    <col min="4" max="4" width="10.57421875" style="591" customWidth="1"/>
    <col min="5" max="5" width="9.421875" style="591" customWidth="1"/>
    <col min="6" max="6" width="12.421875" style="591" customWidth="1"/>
    <col min="7" max="7" width="13.28125" style="591" customWidth="1"/>
    <col min="8" max="8" width="14.421875" style="591" customWidth="1"/>
    <col min="9" max="16384" width="9.00390625" style="591" customWidth="1"/>
  </cols>
  <sheetData>
    <row r="1" spans="2:8" ht="18" customHeight="1">
      <c r="B1" s="1297" t="s">
        <v>178</v>
      </c>
      <c r="C1" s="1297"/>
      <c r="D1" s="1297"/>
      <c r="E1" s="1297"/>
      <c r="F1" s="1297"/>
      <c r="G1" s="1297"/>
      <c r="H1" s="1297"/>
    </row>
    <row r="2" ht="9.75" customHeight="1"/>
    <row r="3" ht="17.25">
      <c r="H3" s="106" t="s">
        <v>179</v>
      </c>
    </row>
    <row r="4" spans="2:10" ht="17.25">
      <c r="B4" s="107"/>
      <c r="C4" s="107"/>
      <c r="D4" s="107"/>
      <c r="E4" s="107"/>
      <c r="G4" s="107" t="s">
        <v>365</v>
      </c>
      <c r="H4" s="1298" t="str">
        <f>IF('対象者一覧表'!$G$4="","",'対象者一覧表'!$G$4)</f>
        <v>Ｂ金属株式会社</v>
      </c>
      <c r="I4" s="1298"/>
      <c r="J4" s="1298"/>
    </row>
    <row r="5" spans="2:9" ht="17.25">
      <c r="B5" s="107" t="s">
        <v>180</v>
      </c>
      <c r="D5" s="107"/>
      <c r="E5" s="107"/>
      <c r="F5" s="107"/>
      <c r="G5" s="1112" t="s">
        <v>56</v>
      </c>
      <c r="H5" s="1095">
        <f>H27+H28</f>
        <v>0</v>
      </c>
      <c r="I5" s="107" t="s">
        <v>181</v>
      </c>
    </row>
    <row r="6" spans="2:9" ht="17.25">
      <c r="B6" s="107"/>
      <c r="D6" s="107"/>
      <c r="E6" s="107"/>
      <c r="F6" s="107"/>
      <c r="G6" s="108"/>
      <c r="H6" s="133"/>
      <c r="I6" s="107"/>
    </row>
    <row r="7" spans="2:7" ht="18" thickBot="1">
      <c r="B7" s="107"/>
      <c r="C7" s="1093" t="s">
        <v>182</v>
      </c>
      <c r="D7" s="107"/>
      <c r="E7" s="107"/>
      <c r="F7" s="1093" t="s">
        <v>182</v>
      </c>
      <c r="G7" s="107"/>
    </row>
    <row r="8" spans="2:7" ht="17.25">
      <c r="B8" s="107" t="s">
        <v>337</v>
      </c>
      <c r="C8" s="109"/>
      <c r="D8" s="107"/>
      <c r="E8" s="107" t="s">
        <v>443</v>
      </c>
      <c r="F8" s="109"/>
      <c r="G8" s="107"/>
    </row>
    <row r="9" spans="2:7" ht="17.25">
      <c r="B9" s="107" t="s">
        <v>338</v>
      </c>
      <c r="C9" s="110"/>
      <c r="D9" s="107"/>
      <c r="E9" s="107" t="s">
        <v>444</v>
      </c>
      <c r="F9" s="110"/>
      <c r="G9" s="107"/>
    </row>
    <row r="10" spans="2:7" ht="17.25">
      <c r="B10" s="107" t="s">
        <v>184</v>
      </c>
      <c r="C10" s="110"/>
      <c r="D10" s="107"/>
      <c r="E10" s="107" t="s">
        <v>445</v>
      </c>
      <c r="F10" s="110"/>
      <c r="G10" s="107"/>
    </row>
    <row r="11" spans="2:7" ht="17.25">
      <c r="B11" s="107" t="s">
        <v>334</v>
      </c>
      <c r="C11" s="110"/>
      <c r="D11" s="107"/>
      <c r="E11" s="107" t="s">
        <v>446</v>
      </c>
      <c r="F11" s="110"/>
      <c r="G11" s="107"/>
    </row>
    <row r="12" spans="2:7" ht="17.25">
      <c r="B12" s="107" t="s">
        <v>335</v>
      </c>
      <c r="C12" s="110"/>
      <c r="D12" s="107"/>
      <c r="E12" s="107" t="s">
        <v>447</v>
      </c>
      <c r="F12" s="110"/>
      <c r="G12" s="547" t="s">
        <v>407</v>
      </c>
    </row>
    <row r="13" spans="2:7" ht="18" thickBot="1">
      <c r="B13" s="107" t="s">
        <v>336</v>
      </c>
      <c r="C13" s="111"/>
      <c r="D13" s="107"/>
      <c r="E13" s="107" t="s">
        <v>448</v>
      </c>
      <c r="F13" s="111"/>
      <c r="G13" s="547" t="s">
        <v>408</v>
      </c>
    </row>
    <row r="14" spans="2:7" ht="17.25">
      <c r="B14" s="107"/>
      <c r="C14" s="107"/>
      <c r="D14" s="107"/>
      <c r="E14" s="107" t="s">
        <v>56</v>
      </c>
      <c r="F14" s="113">
        <f>C8+C9+C10+C11+C12+C13+F8+F9+F10+F11+F12+F13</f>
        <v>0</v>
      </c>
      <c r="G14" s="114" t="s">
        <v>185</v>
      </c>
    </row>
    <row r="15" spans="2:12" ht="18" thickBot="1">
      <c r="B15" s="107"/>
      <c r="C15" s="107"/>
      <c r="D15" s="107"/>
      <c r="E15" s="107"/>
      <c r="F15" s="112"/>
      <c r="G15" s="114"/>
      <c r="K15" s="115"/>
      <c r="L15" s="115"/>
    </row>
    <row r="16" spans="2:9" ht="18" thickBot="1">
      <c r="B16" s="116" t="s">
        <v>186</v>
      </c>
      <c r="C16" s="116"/>
      <c r="D16" s="116"/>
      <c r="E16" s="117"/>
      <c r="F16" s="819" t="s">
        <v>57</v>
      </c>
      <c r="G16" s="118"/>
      <c r="H16" s="119">
        <f>G16-E16</f>
        <v>0</v>
      </c>
      <c r="I16" s="115"/>
    </row>
    <row r="17" spans="2:9" ht="18" thickBot="1">
      <c r="B17" s="116"/>
      <c r="C17" s="116"/>
      <c r="D17" s="116"/>
      <c r="E17" s="1"/>
      <c r="F17" s="1"/>
      <c r="G17" s="120"/>
      <c r="H17" s="1"/>
      <c r="I17" s="115"/>
    </row>
    <row r="18" spans="2:9" ht="17.25">
      <c r="B18" s="116" t="s">
        <v>187</v>
      </c>
      <c r="C18" s="116"/>
      <c r="D18" s="116"/>
      <c r="E18" s="121"/>
      <c r="F18" s="592" t="s">
        <v>57</v>
      </c>
      <c r="G18" s="332"/>
      <c r="H18" s="122">
        <f>G18-E18</f>
        <v>0</v>
      </c>
      <c r="I18" s="115"/>
    </row>
    <row r="19" spans="2:9" ht="17.25">
      <c r="B19" s="116" t="s">
        <v>188</v>
      </c>
      <c r="C19" s="116"/>
      <c r="D19" s="116"/>
      <c r="E19" s="123"/>
      <c r="F19" s="592" t="s">
        <v>57</v>
      </c>
      <c r="G19" s="333"/>
      <c r="H19" s="122">
        <f>G19-E19</f>
        <v>0</v>
      </c>
      <c r="I19" s="115"/>
    </row>
    <row r="20" spans="2:9" ht="18" thickBot="1">
      <c r="B20" s="116" t="s">
        <v>189</v>
      </c>
      <c r="C20" s="116"/>
      <c r="D20" s="116"/>
      <c r="E20" s="124"/>
      <c r="F20" s="592" t="s">
        <v>57</v>
      </c>
      <c r="G20" s="334"/>
      <c r="H20" s="122">
        <f>G20-E20</f>
        <v>0</v>
      </c>
      <c r="I20" s="115"/>
    </row>
    <row r="21" spans="2:9" ht="17.25">
      <c r="B21" s="116"/>
      <c r="C21" s="116"/>
      <c r="D21" s="116"/>
      <c r="E21" s="125"/>
      <c r="F21" s="126"/>
      <c r="G21" s="112"/>
      <c r="H21" s="1100">
        <f>H16-H18-H19-H20</f>
        <v>0</v>
      </c>
      <c r="I21" s="114" t="s">
        <v>181</v>
      </c>
    </row>
    <row r="22" spans="2:8" ht="17.25">
      <c r="B22" s="107" t="s">
        <v>190</v>
      </c>
      <c r="C22" s="107"/>
      <c r="D22" s="107"/>
      <c r="E22" s="107"/>
      <c r="F22" s="112"/>
      <c r="G22" s="2"/>
      <c r="H22" s="2"/>
    </row>
    <row r="23" spans="2:8" ht="18" thickBot="1">
      <c r="B23" s="107" t="s">
        <v>191</v>
      </c>
      <c r="C23" s="107"/>
      <c r="D23" s="107"/>
      <c r="E23" s="107"/>
      <c r="F23" s="112"/>
      <c r="G23" s="112"/>
      <c r="H23" s="2"/>
    </row>
    <row r="24" spans="2:8" ht="18" thickBot="1">
      <c r="B24" s="107" t="s">
        <v>192</v>
      </c>
      <c r="C24" s="107"/>
      <c r="D24" s="107"/>
      <c r="E24" s="107"/>
      <c r="F24" s="127"/>
      <c r="G24" s="112"/>
      <c r="H24" s="2"/>
    </row>
    <row r="25" spans="2:8" ht="18" thickBot="1">
      <c r="B25" s="107" t="s">
        <v>193</v>
      </c>
      <c r="C25" s="107"/>
      <c r="D25" s="107"/>
      <c r="E25" s="107"/>
      <c r="F25" s="127" t="s">
        <v>65</v>
      </c>
      <c r="G25" s="107"/>
      <c r="H25" s="2"/>
    </row>
    <row r="26" spans="2:8" ht="17.25">
      <c r="B26" s="107" t="s">
        <v>409</v>
      </c>
      <c r="C26" s="107"/>
      <c r="D26" s="107"/>
      <c r="E26" s="107"/>
      <c r="F26" s="112"/>
      <c r="G26" s="107"/>
      <c r="H26" s="2"/>
    </row>
    <row r="27" spans="2:9" ht="17.25">
      <c r="B27" s="128">
        <f>F14</f>
        <v>0</v>
      </c>
      <c r="C27" s="1098" t="s">
        <v>405</v>
      </c>
      <c r="D27" s="1099">
        <f>HOUR(H21)/24</f>
        <v>0</v>
      </c>
      <c r="E27" s="820"/>
      <c r="G27" s="1097" t="s">
        <v>403</v>
      </c>
      <c r="H27" s="1096">
        <f>B27*D27*24</f>
        <v>0</v>
      </c>
      <c r="I27" s="107" t="s">
        <v>181</v>
      </c>
    </row>
    <row r="28" spans="2:12" ht="17.25">
      <c r="B28" s="128">
        <f>F14</f>
        <v>0</v>
      </c>
      <c r="C28" s="1098" t="s">
        <v>406</v>
      </c>
      <c r="D28" s="129">
        <f>MINUTE(H21)</f>
        <v>0</v>
      </c>
      <c r="E28" s="130" t="s">
        <v>194</v>
      </c>
      <c r="F28" s="820">
        <v>60</v>
      </c>
      <c r="G28" s="1097" t="s">
        <v>410</v>
      </c>
      <c r="H28" s="1096">
        <f>ROUNDDOWN(F29*B28,3)</f>
        <v>0</v>
      </c>
      <c r="I28" s="107" t="s">
        <v>181</v>
      </c>
      <c r="J28" s="107"/>
      <c r="K28" s="107"/>
      <c r="L28" s="107"/>
    </row>
    <row r="29" spans="6:7" ht="17.25">
      <c r="F29" s="131">
        <f>ROUNDDOWN(D28/F28,3)</f>
        <v>0</v>
      </c>
      <c r="G29" s="591" t="s">
        <v>404</v>
      </c>
    </row>
    <row r="30" ht="13.5">
      <c r="G30" s="2"/>
    </row>
  </sheetData>
  <sheetProtection/>
  <mergeCells count="2">
    <mergeCell ref="B1:H1"/>
    <mergeCell ref="H4:J4"/>
  </mergeCells>
  <dataValidations count="2">
    <dataValidation type="list" allowBlank="1" showInputMessage="1" showErrorMessage="1" sqref="F25:F26">
      <formula1>$K$25:$K$27</formula1>
    </dataValidation>
    <dataValidation allowBlank="1" showInputMessage="1" showErrorMessage="1" imeMode="halfAlpha" sqref="G9 F24 G16 E16 E18:E20 F8:F13 C8:C13 G18:G20"/>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0"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V46"/>
  <sheetViews>
    <sheetView showGridLines="0" zoomScale="75" zoomScaleNormal="75" zoomScaleSheetLayoutView="73" workbookViewId="0" topLeftCell="A21">
      <selection activeCell="A40" sqref="A40"/>
    </sheetView>
  </sheetViews>
  <sheetFormatPr defaultColWidth="9.140625" defaultRowHeight="15"/>
  <cols>
    <col min="1" max="1" width="1.57421875" style="591" customWidth="1"/>
    <col min="2" max="2" width="4.7109375" style="591" customWidth="1"/>
    <col min="3" max="3" width="5.28125" style="591" customWidth="1"/>
    <col min="4" max="4" width="5.140625" style="591" customWidth="1"/>
    <col min="5" max="5" width="4.57421875" style="591" customWidth="1"/>
    <col min="6" max="20" width="16.28125" style="591" customWidth="1"/>
    <col min="21" max="21" width="2.421875" style="591" customWidth="1"/>
    <col min="22" max="22" width="10.28125" style="591" bestFit="1" customWidth="1"/>
    <col min="23" max="16384" width="9.00390625" style="591" customWidth="1"/>
  </cols>
  <sheetData>
    <row r="1" spans="1:6" ht="17.25">
      <c r="A1" s="1313" t="s">
        <v>29</v>
      </c>
      <c r="B1" s="1313"/>
      <c r="C1" s="1313"/>
      <c r="D1" s="1313"/>
      <c r="E1" s="1313"/>
      <c r="F1" s="107"/>
    </row>
    <row r="2" spans="1:20" ht="17.25">
      <c r="A2" s="773"/>
      <c r="B2" s="774" t="s">
        <v>175</v>
      </c>
      <c r="C2" s="1314" t="s">
        <v>33</v>
      </c>
      <c r="D2" s="1314"/>
      <c r="E2" s="1314"/>
      <c r="F2" s="1314"/>
      <c r="G2" s="1180"/>
      <c r="H2" s="1180"/>
      <c r="I2" s="1180"/>
      <c r="J2" s="1180"/>
      <c r="K2" s="1180"/>
      <c r="L2" s="1180"/>
      <c r="M2" s="1180"/>
      <c r="N2" s="1180"/>
      <c r="O2" s="1180"/>
      <c r="P2" s="1180"/>
      <c r="Q2" s="1180"/>
      <c r="R2" s="1180"/>
      <c r="S2" s="1180"/>
      <c r="T2" s="1180"/>
    </row>
    <row r="3" spans="1:20" ht="17.25">
      <c r="A3" s="1180"/>
      <c r="B3" s="66"/>
      <c r="C3" s="66"/>
      <c r="D3" s="66"/>
      <c r="E3" s="66"/>
      <c r="F3" s="1180"/>
      <c r="G3" s="1180"/>
      <c r="H3" s="1180"/>
      <c r="I3" s="1180"/>
      <c r="J3" s="1180"/>
      <c r="K3" s="1180"/>
      <c r="L3" s="1180"/>
      <c r="M3" s="1180"/>
      <c r="N3" s="1180"/>
      <c r="O3" s="1180"/>
      <c r="P3" s="1180"/>
      <c r="Q3" s="1180"/>
      <c r="S3" s="1180"/>
      <c r="T3" s="773" t="s">
        <v>38</v>
      </c>
    </row>
    <row r="4" spans="1:22" ht="17.25">
      <c r="A4" s="1180"/>
      <c r="B4" s="66" t="s">
        <v>2</v>
      </c>
      <c r="C4" s="66"/>
      <c r="D4" s="66"/>
      <c r="E4" s="66"/>
      <c r="F4" s="1180"/>
      <c r="G4" s="1180"/>
      <c r="H4" s="1180"/>
      <c r="I4" s="1180"/>
      <c r="J4" s="1180"/>
      <c r="K4" s="1180"/>
      <c r="L4" s="1180"/>
      <c r="N4" s="775"/>
      <c r="O4" s="67"/>
      <c r="Q4" s="775" t="s">
        <v>195</v>
      </c>
      <c r="R4" s="105" t="str">
        <f>IF('使い方'!$E$6="","",'使い方'!$E$6)</f>
        <v>Ｂ金属株式会社</v>
      </c>
      <c r="S4" s="1180"/>
      <c r="T4" s="67"/>
      <c r="V4" s="2"/>
    </row>
    <row r="5" spans="1:22" ht="14.25" thickBot="1">
      <c r="A5" s="1180"/>
      <c r="B5" s="66" t="s">
        <v>2</v>
      </c>
      <c r="C5" s="66"/>
      <c r="D5" s="66"/>
      <c r="E5" s="66"/>
      <c r="F5" s="1180"/>
      <c r="G5" s="1180"/>
      <c r="H5" s="1180"/>
      <c r="I5" s="1180"/>
      <c r="J5" s="1180"/>
      <c r="K5" s="1180"/>
      <c r="L5" s="1180"/>
      <c r="M5" s="1180"/>
      <c r="N5" s="1180"/>
      <c r="O5" s="1180"/>
      <c r="P5" s="1180"/>
      <c r="Q5" s="1180"/>
      <c r="R5" s="1180"/>
      <c r="S5" s="1180"/>
      <c r="T5" s="1180"/>
      <c r="V5" s="2"/>
    </row>
    <row r="6" spans="1:22" ht="35.25" customHeight="1" thickBot="1">
      <c r="A6" s="1180"/>
      <c r="B6" s="1315" t="s">
        <v>352</v>
      </c>
      <c r="C6" s="1316"/>
      <c r="D6" s="1316"/>
      <c r="E6" s="1317"/>
      <c r="F6" s="1312">
        <f>'対象者一覧表'!C24</f>
      </c>
      <c r="G6" s="1310"/>
      <c r="H6" s="1310"/>
      <c r="I6" s="1310"/>
      <c r="J6" s="1311"/>
      <c r="K6" s="1318">
        <f>'対象者一覧表'!C25</f>
      </c>
      <c r="L6" s="1319"/>
      <c r="M6" s="1319"/>
      <c r="N6" s="1319"/>
      <c r="O6" s="1320"/>
      <c r="P6" s="1321">
        <f>'対象者一覧表'!C26</f>
      </c>
      <c r="Q6" s="1322"/>
      <c r="R6" s="1322"/>
      <c r="S6" s="1322"/>
      <c r="T6" s="1323"/>
      <c r="V6" s="68"/>
    </row>
    <row r="7" spans="1:22" ht="33.75" customHeight="1">
      <c r="A7" s="1180"/>
      <c r="B7" s="1303"/>
      <c r="C7" s="69"/>
      <c r="D7" s="69"/>
      <c r="E7" s="70"/>
      <c r="F7" s="71" t="s">
        <v>4</v>
      </c>
      <c r="G7" s="72" t="s">
        <v>5</v>
      </c>
      <c r="H7" s="73" t="s">
        <v>6</v>
      </c>
      <c r="I7" s="1299" t="s">
        <v>399</v>
      </c>
      <c r="J7" s="1299" t="s">
        <v>400</v>
      </c>
      <c r="K7" s="71" t="s">
        <v>4</v>
      </c>
      <c r="L7" s="72" t="s">
        <v>5</v>
      </c>
      <c r="M7" s="73" t="s">
        <v>6</v>
      </c>
      <c r="N7" s="1299" t="s">
        <v>399</v>
      </c>
      <c r="O7" s="1299" t="s">
        <v>400</v>
      </c>
      <c r="P7" s="71" t="s">
        <v>4</v>
      </c>
      <c r="Q7" s="72" t="s">
        <v>5</v>
      </c>
      <c r="R7" s="74" t="s">
        <v>6</v>
      </c>
      <c r="S7" s="1299" t="s">
        <v>399</v>
      </c>
      <c r="T7" s="1299" t="s">
        <v>400</v>
      </c>
      <c r="V7" s="68"/>
    </row>
    <row r="8" spans="1:22" ht="13.5">
      <c r="A8" s="1180"/>
      <c r="B8" s="1304"/>
      <c r="C8" s="75"/>
      <c r="D8" s="75"/>
      <c r="E8" s="76"/>
      <c r="F8" s="77" t="s">
        <v>7</v>
      </c>
      <c r="G8" s="78" t="s">
        <v>8</v>
      </c>
      <c r="H8" s="79"/>
      <c r="I8" s="1300"/>
      <c r="J8" s="1300"/>
      <c r="K8" s="77" t="s">
        <v>7</v>
      </c>
      <c r="L8" s="78" t="s">
        <v>8</v>
      </c>
      <c r="M8" s="79"/>
      <c r="N8" s="1300"/>
      <c r="O8" s="1300"/>
      <c r="P8" s="77" t="s">
        <v>7</v>
      </c>
      <c r="Q8" s="78" t="s">
        <v>8</v>
      </c>
      <c r="R8" s="80"/>
      <c r="S8" s="1300"/>
      <c r="T8" s="1300"/>
      <c r="V8" s="68"/>
    </row>
    <row r="9" spans="1:22" ht="14.25" thickBot="1">
      <c r="A9" s="1180"/>
      <c r="B9" s="1304"/>
      <c r="C9" s="75"/>
      <c r="D9" s="75"/>
      <c r="E9" s="76"/>
      <c r="F9" s="77" t="s">
        <v>9</v>
      </c>
      <c r="G9" s="78" t="s">
        <v>10</v>
      </c>
      <c r="H9" s="79" t="s">
        <v>11</v>
      </c>
      <c r="I9" s="1300"/>
      <c r="J9" s="1300"/>
      <c r="K9" s="77" t="s">
        <v>9</v>
      </c>
      <c r="L9" s="78" t="s">
        <v>10</v>
      </c>
      <c r="M9" s="79" t="s">
        <v>11</v>
      </c>
      <c r="N9" s="1300"/>
      <c r="O9" s="1300"/>
      <c r="P9" s="77" t="s">
        <v>9</v>
      </c>
      <c r="Q9" s="78" t="s">
        <v>10</v>
      </c>
      <c r="R9" s="80" t="s">
        <v>11</v>
      </c>
      <c r="S9" s="1300"/>
      <c r="T9" s="1300"/>
      <c r="V9" s="68"/>
    </row>
    <row r="10" spans="1:20" ht="25.5" customHeight="1">
      <c r="A10" s="1180"/>
      <c r="B10" s="794">
        <v>26</v>
      </c>
      <c r="C10" s="795" t="s">
        <v>31</v>
      </c>
      <c r="D10" s="795">
        <v>7</v>
      </c>
      <c r="E10" s="795" t="s">
        <v>32</v>
      </c>
      <c r="F10" s="756">
        <f>IF('対象者一覧表'!$G$24="","",'対象者一覧表'!$G$24)</f>
      </c>
      <c r="G10" s="750"/>
      <c r="H10" s="757">
        <f aca="true" t="shared" si="0" ref="H10:H20">IF(F10="","",ROUNDDOWN((G10*F10),0))</f>
      </c>
      <c r="I10" s="1113"/>
      <c r="J10" s="1194">
        <f>IF(F10="","",MIN(H10,I10))</f>
      </c>
      <c r="K10" s="756">
        <f>IF('対象者一覧表'!$G$25="","",'対象者一覧表'!$G$25)</f>
      </c>
      <c r="L10" s="750"/>
      <c r="M10" s="758">
        <f aca="true" t="shared" si="1" ref="M10:M20">IF(K10="","",ROUNDDOWN((L10*K10),0))</f>
      </c>
      <c r="N10" s="1113"/>
      <c r="O10" s="1197">
        <f>IF(K10="","",MIN(M10,N10))</f>
      </c>
      <c r="P10" s="756">
        <f>IF('対象者一覧表'!$G$26="","",'対象者一覧表'!$G$26)</f>
      </c>
      <c r="Q10" s="750"/>
      <c r="R10" s="758">
        <f aca="true" t="shared" si="2" ref="R10:R20">IF(P10="","",ROUNDDOWN((Q10*P10),0))</f>
      </c>
      <c r="S10" s="1116"/>
      <c r="T10" s="1198">
        <f aca="true" t="shared" si="3" ref="T10:T20">IF(P10="","",MIN(R10,S10))</f>
      </c>
    </row>
    <row r="11" spans="1:20" ht="25.5" customHeight="1">
      <c r="A11" s="1180"/>
      <c r="B11" s="761"/>
      <c r="C11" s="762" t="s">
        <v>31</v>
      </c>
      <c r="D11" s="762">
        <v>8</v>
      </c>
      <c r="E11" s="762" t="s">
        <v>32</v>
      </c>
      <c r="F11" s="752">
        <f>IF('対象者一覧表'!$G$24="","",'対象者一覧表'!$G$24)</f>
      </c>
      <c r="G11" s="740"/>
      <c r="H11" s="759">
        <f t="shared" si="0"/>
      </c>
      <c r="I11" s="1114"/>
      <c r="J11" s="1195">
        <f aca="true" t="shared" si="4" ref="J11:J20">IF(F11="","",MIN(H11,I11))</f>
      </c>
      <c r="K11" s="752">
        <f>IF('対象者一覧表'!$G$25="","",'対象者一覧表'!$G$25)</f>
      </c>
      <c r="L11" s="740"/>
      <c r="M11" s="751">
        <f t="shared" si="1"/>
      </c>
      <c r="N11" s="1114"/>
      <c r="O11" s="1195">
        <f aca="true" t="shared" si="5" ref="O11:O20">IF(K11="","",MIN(M11,N11))</f>
      </c>
      <c r="P11" s="752">
        <f>IF('対象者一覧表'!$G$26="","",'対象者一覧表'!$G$26)</f>
      </c>
      <c r="Q11" s="740"/>
      <c r="R11" s="751">
        <f t="shared" si="2"/>
      </c>
      <c r="S11" s="1117"/>
      <c r="T11" s="1199">
        <f t="shared" si="3"/>
      </c>
    </row>
    <row r="12" spans="1:20" ht="25.5" customHeight="1">
      <c r="A12" s="1180"/>
      <c r="B12" s="761"/>
      <c r="C12" s="762" t="s">
        <v>31</v>
      </c>
      <c r="D12" s="762">
        <v>9</v>
      </c>
      <c r="E12" s="762" t="s">
        <v>32</v>
      </c>
      <c r="F12" s="752">
        <f>IF('対象者一覧表'!$G$24="","",'対象者一覧表'!$G$24)</f>
      </c>
      <c r="G12" s="740"/>
      <c r="H12" s="759">
        <f t="shared" si="0"/>
      </c>
      <c r="I12" s="1114"/>
      <c r="J12" s="1195">
        <f t="shared" si="4"/>
      </c>
      <c r="K12" s="752">
        <f>IF('対象者一覧表'!$G$25="","",'対象者一覧表'!$G$25)</f>
      </c>
      <c r="L12" s="740"/>
      <c r="M12" s="751">
        <f t="shared" si="1"/>
      </c>
      <c r="N12" s="1114"/>
      <c r="O12" s="1195">
        <f t="shared" si="5"/>
      </c>
      <c r="P12" s="752">
        <f>IF('対象者一覧表'!$G$26="","",'対象者一覧表'!$G$26)</f>
      </c>
      <c r="Q12" s="740"/>
      <c r="R12" s="751">
        <f t="shared" si="2"/>
      </c>
      <c r="S12" s="1117"/>
      <c r="T12" s="1199">
        <f t="shared" si="3"/>
      </c>
    </row>
    <row r="13" spans="1:20" ht="25.5" customHeight="1">
      <c r="A13" s="1180"/>
      <c r="B13" s="761"/>
      <c r="C13" s="762" t="s">
        <v>31</v>
      </c>
      <c r="D13" s="762">
        <v>10</v>
      </c>
      <c r="E13" s="762" t="s">
        <v>32</v>
      </c>
      <c r="F13" s="752">
        <f>IF('対象者一覧表'!$G$24="","",'対象者一覧表'!$G$24)</f>
      </c>
      <c r="G13" s="738"/>
      <c r="H13" s="759">
        <f t="shared" si="0"/>
      </c>
      <c r="I13" s="1114"/>
      <c r="J13" s="1195">
        <f t="shared" si="4"/>
      </c>
      <c r="K13" s="752">
        <f>IF('対象者一覧表'!$G$25="","",'対象者一覧表'!$G$25)</f>
      </c>
      <c r="L13" s="738"/>
      <c r="M13" s="751">
        <f t="shared" si="1"/>
      </c>
      <c r="N13" s="1114"/>
      <c r="O13" s="1195">
        <f t="shared" si="5"/>
      </c>
      <c r="P13" s="752">
        <f>IF('対象者一覧表'!$G$26="","",'対象者一覧表'!$G$26)</f>
      </c>
      <c r="Q13" s="738"/>
      <c r="R13" s="751">
        <f t="shared" si="2"/>
      </c>
      <c r="S13" s="1117"/>
      <c r="T13" s="1199">
        <f t="shared" si="3"/>
      </c>
    </row>
    <row r="14" spans="1:20" ht="25.5" customHeight="1">
      <c r="A14" s="1180"/>
      <c r="B14" s="763"/>
      <c r="C14" s="764" t="s">
        <v>31</v>
      </c>
      <c r="D14" s="764">
        <v>11</v>
      </c>
      <c r="E14" s="762" t="s">
        <v>22</v>
      </c>
      <c r="F14" s="752">
        <f>IF('対象者一覧表'!$G$24="","",'対象者一覧表'!$G$24)</f>
      </c>
      <c r="G14" s="740"/>
      <c r="H14" s="759">
        <f t="shared" si="0"/>
      </c>
      <c r="I14" s="1114"/>
      <c r="J14" s="1195">
        <f t="shared" si="4"/>
      </c>
      <c r="K14" s="752">
        <f>IF('対象者一覧表'!$G$25="","",'対象者一覧表'!$G$25)</f>
      </c>
      <c r="L14" s="740"/>
      <c r="M14" s="751">
        <f t="shared" si="1"/>
      </c>
      <c r="N14" s="1114"/>
      <c r="O14" s="1195">
        <f t="shared" si="5"/>
      </c>
      <c r="P14" s="752">
        <f>IF('対象者一覧表'!$G$26="","",'対象者一覧表'!$G$26)</f>
      </c>
      <c r="Q14" s="740"/>
      <c r="R14" s="751">
        <f t="shared" si="2"/>
      </c>
      <c r="S14" s="1117"/>
      <c r="T14" s="1199">
        <f t="shared" si="3"/>
      </c>
    </row>
    <row r="15" spans="1:22" ht="25.5" customHeight="1">
      <c r="A15" s="1180"/>
      <c r="B15" s="761"/>
      <c r="C15" s="762" t="s">
        <v>31</v>
      </c>
      <c r="D15" s="762">
        <v>12</v>
      </c>
      <c r="E15" s="762" t="s">
        <v>22</v>
      </c>
      <c r="F15" s="752">
        <f>IF('対象者一覧表'!$G$24="","",'対象者一覧表'!$G$24)</f>
      </c>
      <c r="G15" s="740"/>
      <c r="H15" s="759">
        <f t="shared" si="0"/>
      </c>
      <c r="I15" s="1114"/>
      <c r="J15" s="1195">
        <f t="shared" si="4"/>
      </c>
      <c r="K15" s="752">
        <f>IF('対象者一覧表'!$G$25="","",'対象者一覧表'!$G$25)</f>
      </c>
      <c r="L15" s="740"/>
      <c r="M15" s="751">
        <f t="shared" si="1"/>
      </c>
      <c r="N15" s="1114"/>
      <c r="O15" s="1195">
        <f t="shared" si="5"/>
      </c>
      <c r="P15" s="752">
        <f>IF('対象者一覧表'!$G$26="","",'対象者一覧表'!$G$26)</f>
      </c>
      <c r="Q15" s="740"/>
      <c r="R15" s="751">
        <f t="shared" si="2"/>
      </c>
      <c r="S15" s="1117"/>
      <c r="T15" s="1199">
        <f t="shared" si="3"/>
      </c>
      <c r="V15" s="648"/>
    </row>
    <row r="16" spans="1:22" ht="25.5" customHeight="1">
      <c r="A16" s="1180"/>
      <c r="B16" s="761">
        <v>27</v>
      </c>
      <c r="C16" s="762" t="s">
        <v>31</v>
      </c>
      <c r="D16" s="762">
        <v>1</v>
      </c>
      <c r="E16" s="762" t="s">
        <v>22</v>
      </c>
      <c r="F16" s="752">
        <f>IF('対象者一覧表'!$G$24="","",'対象者一覧表'!$G$24)</f>
      </c>
      <c r="G16" s="740"/>
      <c r="H16" s="759">
        <f t="shared" si="0"/>
      </c>
      <c r="I16" s="1114"/>
      <c r="J16" s="1195">
        <f t="shared" si="4"/>
      </c>
      <c r="K16" s="752">
        <f>IF('対象者一覧表'!$G$25="","",'対象者一覧表'!$G$25)</f>
      </c>
      <c r="L16" s="740"/>
      <c r="M16" s="751">
        <f t="shared" si="1"/>
      </c>
      <c r="N16" s="1114"/>
      <c r="O16" s="1195">
        <f t="shared" si="5"/>
      </c>
      <c r="P16" s="752">
        <f>IF('対象者一覧表'!$G$26="","",'対象者一覧表'!$G$26)</f>
      </c>
      <c r="Q16" s="740"/>
      <c r="R16" s="751">
        <f t="shared" si="2"/>
      </c>
      <c r="S16" s="1117"/>
      <c r="T16" s="1199">
        <f t="shared" si="3"/>
      </c>
      <c r="V16" s="648"/>
    </row>
    <row r="17" spans="1:22" ht="25.5" customHeight="1">
      <c r="A17" s="1180"/>
      <c r="B17" s="761"/>
      <c r="C17" s="762" t="s">
        <v>31</v>
      </c>
      <c r="D17" s="762">
        <v>2</v>
      </c>
      <c r="E17" s="762" t="s">
        <v>22</v>
      </c>
      <c r="F17" s="752">
        <f>IF('対象者一覧表'!$G$24="","",'対象者一覧表'!$G$24)</f>
      </c>
      <c r="G17" s="740"/>
      <c r="H17" s="759">
        <f t="shared" si="0"/>
      </c>
      <c r="I17" s="1114"/>
      <c r="J17" s="1195">
        <f t="shared" si="4"/>
      </c>
      <c r="K17" s="752">
        <f>IF('対象者一覧表'!$G$25="","",'対象者一覧表'!$G$25)</f>
      </c>
      <c r="L17" s="740"/>
      <c r="M17" s="751">
        <f t="shared" si="1"/>
      </c>
      <c r="N17" s="1114"/>
      <c r="O17" s="1195">
        <f t="shared" si="5"/>
      </c>
      <c r="P17" s="752">
        <f>IF('対象者一覧表'!$G$26="","",'対象者一覧表'!$G$26)</f>
      </c>
      <c r="Q17" s="740"/>
      <c r="R17" s="751">
        <f t="shared" si="2"/>
      </c>
      <c r="S17" s="1117"/>
      <c r="T17" s="1199">
        <f t="shared" si="3"/>
      </c>
      <c r="V17" s="344"/>
    </row>
    <row r="18" spans="1:22" ht="25.5" customHeight="1">
      <c r="A18" s="1180"/>
      <c r="B18" s="761"/>
      <c r="C18" s="762" t="s">
        <v>31</v>
      </c>
      <c r="D18" s="762">
        <v>3</v>
      </c>
      <c r="E18" s="762" t="s">
        <v>248</v>
      </c>
      <c r="F18" s="752">
        <f>IF('対象者一覧表'!$G$24="","",'対象者一覧表'!$G$24)</f>
      </c>
      <c r="G18" s="740"/>
      <c r="H18" s="759">
        <f t="shared" si="0"/>
      </c>
      <c r="I18" s="1114"/>
      <c r="J18" s="1195">
        <f t="shared" si="4"/>
      </c>
      <c r="K18" s="752">
        <f>IF('対象者一覧表'!$G$25="","",'対象者一覧表'!$G$25)</f>
      </c>
      <c r="L18" s="740"/>
      <c r="M18" s="751">
        <f t="shared" si="1"/>
      </c>
      <c r="N18" s="1114"/>
      <c r="O18" s="1195">
        <f t="shared" si="5"/>
      </c>
      <c r="P18" s="752">
        <f>IF('対象者一覧表'!$G$26="","",'対象者一覧表'!$G$26)</f>
      </c>
      <c r="Q18" s="740"/>
      <c r="R18" s="751">
        <f t="shared" si="2"/>
      </c>
      <c r="S18" s="1117"/>
      <c r="T18" s="1199">
        <f t="shared" si="3"/>
      </c>
      <c r="V18" s="344"/>
    </row>
    <row r="19" spans="1:22" ht="25.5" customHeight="1">
      <c r="A19" s="1180"/>
      <c r="B19" s="761"/>
      <c r="C19" s="762" t="s">
        <v>31</v>
      </c>
      <c r="D19" s="762">
        <v>4</v>
      </c>
      <c r="E19" s="762" t="s">
        <v>22</v>
      </c>
      <c r="F19" s="752">
        <f>IF('対象者一覧表'!$G$24="","",'対象者一覧表'!$G$24)</f>
      </c>
      <c r="G19" s="738"/>
      <c r="H19" s="759">
        <f t="shared" si="0"/>
      </c>
      <c r="I19" s="1114"/>
      <c r="J19" s="1195">
        <f t="shared" si="4"/>
      </c>
      <c r="K19" s="752">
        <f>IF('対象者一覧表'!$G$25="","",'対象者一覧表'!$G$25)</f>
      </c>
      <c r="L19" s="738"/>
      <c r="M19" s="751">
        <f t="shared" si="1"/>
      </c>
      <c r="N19" s="1114"/>
      <c r="O19" s="1195">
        <f t="shared" si="5"/>
      </c>
      <c r="P19" s="752">
        <f>IF('対象者一覧表'!$G$26="","",'対象者一覧表'!$G$26)</f>
      </c>
      <c r="Q19" s="738"/>
      <c r="R19" s="751">
        <f t="shared" si="2"/>
      </c>
      <c r="S19" s="1117"/>
      <c r="T19" s="1199">
        <f t="shared" si="3"/>
      </c>
      <c r="V19" s="344"/>
    </row>
    <row r="20" spans="1:20" ht="25.5" customHeight="1" thickBot="1">
      <c r="A20" s="1180"/>
      <c r="B20" s="765"/>
      <c r="C20" s="766" t="s">
        <v>31</v>
      </c>
      <c r="D20" s="766">
        <v>5</v>
      </c>
      <c r="E20" s="766" t="s">
        <v>22</v>
      </c>
      <c r="F20" s="796">
        <f>IF('対象者一覧表'!$G$24="","",'対象者一覧表'!$G$24)</f>
      </c>
      <c r="G20" s="797"/>
      <c r="H20" s="798">
        <f t="shared" si="0"/>
      </c>
      <c r="I20" s="1115"/>
      <c r="J20" s="1196">
        <f t="shared" si="4"/>
      </c>
      <c r="K20" s="796">
        <f>IF('対象者一覧表'!$G$25="","",'対象者一覧表'!$G$25)</f>
      </c>
      <c r="L20" s="797"/>
      <c r="M20" s="799">
        <f t="shared" si="1"/>
      </c>
      <c r="N20" s="1115"/>
      <c r="O20" s="1196">
        <f t="shared" si="5"/>
      </c>
      <c r="P20" s="796">
        <f>IF('対象者一覧表'!$G$26="","",'対象者一覧表'!$G$26)</f>
      </c>
      <c r="Q20" s="797"/>
      <c r="R20" s="799">
        <f t="shared" si="2"/>
      </c>
      <c r="S20" s="1118"/>
      <c r="T20" s="1200">
        <f t="shared" si="3"/>
      </c>
    </row>
    <row r="21" spans="1:20" ht="25.5" customHeight="1" thickBot="1">
      <c r="A21" s="1180"/>
      <c r="B21" s="767"/>
      <c r="C21" s="768"/>
      <c r="D21" s="768"/>
      <c r="E21" s="769" t="s">
        <v>1</v>
      </c>
      <c r="F21" s="744"/>
      <c r="G21" s="745">
        <f>SUM(G10:G20)</f>
        <v>0</v>
      </c>
      <c r="H21" s="746">
        <f>SUM(H10:H20)</f>
        <v>0</v>
      </c>
      <c r="I21" s="746">
        <f>SUM(I10:I20)</f>
        <v>0</v>
      </c>
      <c r="J21" s="995">
        <f>SUM(J10:J20)</f>
        <v>0</v>
      </c>
      <c r="K21" s="747"/>
      <c r="L21" s="745">
        <f>SUM(L10:L20)</f>
        <v>0</v>
      </c>
      <c r="M21" s="746">
        <f>SUM(M10:M20)</f>
        <v>0</v>
      </c>
      <c r="N21" s="746">
        <f>SUM(N10:N20)</f>
        <v>0</v>
      </c>
      <c r="O21" s="995">
        <f>SUM(O10:O20)</f>
        <v>0</v>
      </c>
      <c r="P21" s="747"/>
      <c r="Q21" s="745">
        <f>SUM(Q10:Q20)</f>
        <v>0</v>
      </c>
      <c r="R21" s="748">
        <f>SUM(R10:R20)</f>
        <v>0</v>
      </c>
      <c r="S21" s="1051">
        <f>SUM(S10:S20)</f>
        <v>0</v>
      </c>
      <c r="T21" s="1052">
        <f>SUM(T10:T20)</f>
        <v>0</v>
      </c>
    </row>
    <row r="22" spans="1:20" ht="14.25" thickBot="1">
      <c r="A22" s="1180"/>
      <c r="B22" s="81"/>
      <c r="C22" s="81"/>
      <c r="D22" s="81"/>
      <c r="E22" s="81"/>
      <c r="F22" s="1180"/>
      <c r="G22" s="1180"/>
      <c r="H22" s="1180"/>
      <c r="I22" s="1180"/>
      <c r="J22" s="1180"/>
      <c r="K22" s="1180"/>
      <c r="L22" s="1180"/>
      <c r="M22" s="1180"/>
      <c r="N22" s="1180"/>
      <c r="O22" s="1180"/>
      <c r="P22" s="1180"/>
      <c r="Q22" s="1180"/>
      <c r="R22" s="1180"/>
      <c r="S22" s="1180"/>
      <c r="T22" s="1180"/>
    </row>
    <row r="23" spans="1:20" ht="35.25" customHeight="1" thickBot="1">
      <c r="A23" s="1180"/>
      <c r="B23" s="1305" t="s">
        <v>3</v>
      </c>
      <c r="C23" s="1306"/>
      <c r="D23" s="1306"/>
      <c r="E23" s="1306"/>
      <c r="F23" s="1309">
        <f>'対象者一覧表'!C27</f>
      </c>
      <c r="G23" s="1310"/>
      <c r="H23" s="1310"/>
      <c r="I23" s="1310"/>
      <c r="J23" s="1311"/>
      <c r="K23" s="1312">
        <f>'対象者一覧表'!C28</f>
      </c>
      <c r="L23" s="1310"/>
      <c r="M23" s="1310"/>
      <c r="N23" s="1310"/>
      <c r="O23" s="1311"/>
      <c r="P23" s="1312">
        <f>'対象者一覧表'!C29</f>
      </c>
      <c r="Q23" s="1310"/>
      <c r="R23" s="1310"/>
      <c r="S23" s="1310"/>
      <c r="T23" s="1324"/>
    </row>
    <row r="24" spans="1:20" ht="21" customHeight="1">
      <c r="A24" s="1180"/>
      <c r="B24" s="1307"/>
      <c r="C24" s="69"/>
      <c r="D24" s="69"/>
      <c r="E24" s="69"/>
      <c r="F24" s="322" t="s">
        <v>4</v>
      </c>
      <c r="G24" s="72" t="s">
        <v>5</v>
      </c>
      <c r="H24" s="73" t="s">
        <v>6</v>
      </c>
      <c r="I24" s="1299" t="s">
        <v>399</v>
      </c>
      <c r="J24" s="1299" t="s">
        <v>400</v>
      </c>
      <c r="K24" s="71" t="s">
        <v>4</v>
      </c>
      <c r="L24" s="72" t="s">
        <v>5</v>
      </c>
      <c r="M24" s="73" t="s">
        <v>6</v>
      </c>
      <c r="N24" s="1299" t="s">
        <v>399</v>
      </c>
      <c r="O24" s="1299" t="s">
        <v>400</v>
      </c>
      <c r="P24" s="71" t="s">
        <v>4</v>
      </c>
      <c r="Q24" s="72" t="s">
        <v>5</v>
      </c>
      <c r="R24" s="73" t="s">
        <v>6</v>
      </c>
      <c r="S24" s="1299" t="s">
        <v>399</v>
      </c>
      <c r="T24" s="1299" t="s">
        <v>400</v>
      </c>
    </row>
    <row r="25" spans="1:20" ht="13.5">
      <c r="A25" s="1180"/>
      <c r="B25" s="1308"/>
      <c r="C25" s="75"/>
      <c r="D25" s="75"/>
      <c r="E25" s="75"/>
      <c r="F25" s="323" t="s">
        <v>7</v>
      </c>
      <c r="G25" s="78" t="s">
        <v>8</v>
      </c>
      <c r="H25" s="79"/>
      <c r="I25" s="1300"/>
      <c r="J25" s="1300"/>
      <c r="K25" s="77" t="s">
        <v>7</v>
      </c>
      <c r="L25" s="78" t="s">
        <v>8</v>
      </c>
      <c r="M25" s="79"/>
      <c r="N25" s="1300"/>
      <c r="O25" s="1300"/>
      <c r="P25" s="77" t="s">
        <v>7</v>
      </c>
      <c r="Q25" s="78" t="s">
        <v>8</v>
      </c>
      <c r="R25" s="79"/>
      <c r="S25" s="1300"/>
      <c r="T25" s="1300"/>
    </row>
    <row r="26" spans="1:20" ht="14.25" thickBot="1">
      <c r="A26" s="1180"/>
      <c r="B26" s="1308"/>
      <c r="C26" s="75"/>
      <c r="D26" s="75"/>
      <c r="E26" s="75"/>
      <c r="F26" s="323" t="s">
        <v>9</v>
      </c>
      <c r="G26" s="78" t="s">
        <v>10</v>
      </c>
      <c r="H26" s="79" t="s">
        <v>11</v>
      </c>
      <c r="I26" s="1300"/>
      <c r="J26" s="1300"/>
      <c r="K26" s="77" t="s">
        <v>9</v>
      </c>
      <c r="L26" s="78" t="s">
        <v>10</v>
      </c>
      <c r="M26" s="79" t="s">
        <v>11</v>
      </c>
      <c r="N26" s="1300"/>
      <c r="O26" s="1300"/>
      <c r="P26" s="77" t="s">
        <v>9</v>
      </c>
      <c r="Q26" s="78" t="s">
        <v>10</v>
      </c>
      <c r="R26" s="79" t="s">
        <v>11</v>
      </c>
      <c r="S26" s="1300"/>
      <c r="T26" s="1300"/>
    </row>
    <row r="27" spans="1:22" ht="25.5" customHeight="1">
      <c r="A27" s="1180"/>
      <c r="B27" s="794">
        <v>26</v>
      </c>
      <c r="C27" s="795" t="s">
        <v>31</v>
      </c>
      <c r="D27" s="795">
        <v>7</v>
      </c>
      <c r="E27" s="795" t="s">
        <v>32</v>
      </c>
      <c r="F27" s="756">
        <f>IF('対象者一覧表'!$G$27="","",'対象者一覧表'!$G$27)</f>
      </c>
      <c r="G27" s="750"/>
      <c r="H27" s="758">
        <f aca="true" t="shared" si="6" ref="H27:H37">IF(F27="","",ROUNDDOWN((G27*F27),0))</f>
      </c>
      <c r="I27" s="1113"/>
      <c r="J27" s="1194">
        <f>IF(F27="","",MIN(H27,I27))</f>
      </c>
      <c r="K27" s="756">
        <f>IF('対象者一覧表'!$G$28="","",'対象者一覧表'!$G$28)</f>
      </c>
      <c r="L27" s="750"/>
      <c r="M27" s="758">
        <f aca="true" t="shared" si="7" ref="M27:M37">IF(K27="","",ROUNDDOWN((L27*K27),0))</f>
      </c>
      <c r="N27" s="1113"/>
      <c r="O27" s="1194">
        <f>IF(K27="","",MIN(M27,N27))</f>
      </c>
      <c r="P27" s="756">
        <f>IF('対象者一覧表'!$G$29="","",'対象者一覧表'!$G$29)</f>
      </c>
      <c r="Q27" s="750"/>
      <c r="R27" s="758">
        <f aca="true" t="shared" si="8" ref="R27:R37">IF(P27="","",ROUNDDOWN((Q27*P27),0))</f>
      </c>
      <c r="S27" s="1116"/>
      <c r="T27" s="1194">
        <f>IF(P27="","",MIN(R27,S27))</f>
      </c>
      <c r="V27" s="2"/>
    </row>
    <row r="28" spans="1:22" ht="25.5" customHeight="1">
      <c r="A28" s="1180"/>
      <c r="B28" s="761"/>
      <c r="C28" s="762" t="s">
        <v>31</v>
      </c>
      <c r="D28" s="762">
        <v>8</v>
      </c>
      <c r="E28" s="762" t="s">
        <v>32</v>
      </c>
      <c r="F28" s="752">
        <f>IF('対象者一覧表'!$G$27="","",'対象者一覧表'!$G$27)</f>
      </c>
      <c r="G28" s="740"/>
      <c r="H28" s="751">
        <f t="shared" si="6"/>
      </c>
      <c r="I28" s="1114"/>
      <c r="J28" s="1195">
        <f aca="true" t="shared" si="9" ref="J28:J37">IF(F28="","",MIN(H28,I28))</f>
      </c>
      <c r="K28" s="752">
        <f>IF('対象者一覧表'!$G$28="","",'対象者一覧表'!$G$28)</f>
      </c>
      <c r="L28" s="740"/>
      <c r="M28" s="751">
        <f t="shared" si="7"/>
      </c>
      <c r="N28" s="1114"/>
      <c r="O28" s="1195">
        <f aca="true" t="shared" si="10" ref="O28:O37">IF(K28="","",MIN(M28,N28))</f>
      </c>
      <c r="P28" s="752">
        <f>IF('対象者一覧表'!$G$29="","",'対象者一覧表'!$G$29)</f>
      </c>
      <c r="Q28" s="740"/>
      <c r="R28" s="751">
        <f t="shared" si="8"/>
      </c>
      <c r="S28" s="1117"/>
      <c r="T28" s="1199">
        <f aca="true" t="shared" si="11" ref="T28:T37">IF(P28="","",MIN(R28,S28))</f>
      </c>
      <c r="V28" s="2"/>
    </row>
    <row r="29" spans="1:22" ht="25.5" customHeight="1">
      <c r="A29" s="1180"/>
      <c r="B29" s="761"/>
      <c r="C29" s="762" t="s">
        <v>31</v>
      </c>
      <c r="D29" s="762">
        <v>9</v>
      </c>
      <c r="E29" s="762" t="s">
        <v>32</v>
      </c>
      <c r="F29" s="752">
        <f>IF('対象者一覧表'!$G$27="","",'対象者一覧表'!$G$27)</f>
      </c>
      <c r="G29" s="740"/>
      <c r="H29" s="751">
        <f t="shared" si="6"/>
      </c>
      <c r="I29" s="1114"/>
      <c r="J29" s="1195">
        <f t="shared" si="9"/>
      </c>
      <c r="K29" s="752">
        <f>IF('対象者一覧表'!$G$28="","",'対象者一覧表'!$G$28)</f>
      </c>
      <c r="L29" s="740"/>
      <c r="M29" s="751">
        <f t="shared" si="7"/>
      </c>
      <c r="N29" s="1114"/>
      <c r="O29" s="1195">
        <f t="shared" si="10"/>
      </c>
      <c r="P29" s="752">
        <f>IF('対象者一覧表'!$G$29="","",'対象者一覧表'!$G$29)</f>
      </c>
      <c r="Q29" s="740"/>
      <c r="R29" s="751">
        <f t="shared" si="8"/>
      </c>
      <c r="S29" s="1117"/>
      <c r="T29" s="1199">
        <f t="shared" si="11"/>
      </c>
      <c r="V29" s="99"/>
    </row>
    <row r="30" spans="1:20" ht="25.5" customHeight="1">
      <c r="A30" s="1180"/>
      <c r="B30" s="761"/>
      <c r="C30" s="762" t="s">
        <v>31</v>
      </c>
      <c r="D30" s="762">
        <v>10</v>
      </c>
      <c r="E30" s="762" t="s">
        <v>32</v>
      </c>
      <c r="F30" s="752">
        <f>IF('対象者一覧表'!$G$27="","",'対象者一覧表'!$G$27)</f>
      </c>
      <c r="G30" s="738"/>
      <c r="H30" s="751">
        <f t="shared" si="6"/>
      </c>
      <c r="I30" s="1114"/>
      <c r="J30" s="1195">
        <f t="shared" si="9"/>
      </c>
      <c r="K30" s="752">
        <f>IF('対象者一覧表'!$G$28="","",'対象者一覧表'!$G$28)</f>
      </c>
      <c r="L30" s="738"/>
      <c r="M30" s="751">
        <f t="shared" si="7"/>
      </c>
      <c r="N30" s="1114"/>
      <c r="O30" s="1195">
        <f t="shared" si="10"/>
      </c>
      <c r="P30" s="752">
        <f>IF('対象者一覧表'!$G$29="","",'対象者一覧表'!$G$29)</f>
      </c>
      <c r="Q30" s="738"/>
      <c r="R30" s="751">
        <f t="shared" si="8"/>
      </c>
      <c r="S30" s="1117"/>
      <c r="T30" s="1199">
        <f t="shared" si="11"/>
      </c>
    </row>
    <row r="31" spans="1:20" ht="25.5" customHeight="1">
      <c r="A31" s="1180"/>
      <c r="B31" s="763"/>
      <c r="C31" s="764" t="s">
        <v>31</v>
      </c>
      <c r="D31" s="764">
        <v>11</v>
      </c>
      <c r="E31" s="762" t="s">
        <v>22</v>
      </c>
      <c r="F31" s="752">
        <f>IF('対象者一覧表'!$G$27="","",'対象者一覧表'!$G$27)</f>
      </c>
      <c r="G31" s="740"/>
      <c r="H31" s="751">
        <f t="shared" si="6"/>
      </c>
      <c r="I31" s="1114"/>
      <c r="J31" s="1195">
        <f t="shared" si="9"/>
      </c>
      <c r="K31" s="752">
        <f>IF('対象者一覧表'!$G$28="","",'対象者一覧表'!$G$28)</f>
      </c>
      <c r="L31" s="740"/>
      <c r="M31" s="751">
        <f t="shared" si="7"/>
      </c>
      <c r="N31" s="1114"/>
      <c r="O31" s="1195">
        <f t="shared" si="10"/>
      </c>
      <c r="P31" s="752">
        <f>IF('対象者一覧表'!$G$29="","",'対象者一覧表'!$G$29)</f>
      </c>
      <c r="Q31" s="740"/>
      <c r="R31" s="751">
        <f t="shared" si="8"/>
      </c>
      <c r="S31" s="1117"/>
      <c r="T31" s="1199">
        <f t="shared" si="11"/>
      </c>
    </row>
    <row r="32" spans="1:20" ht="25.5" customHeight="1">
      <c r="A32" s="1180"/>
      <c r="B32" s="761"/>
      <c r="C32" s="762" t="s">
        <v>31</v>
      </c>
      <c r="D32" s="762">
        <v>12</v>
      </c>
      <c r="E32" s="762" t="s">
        <v>22</v>
      </c>
      <c r="F32" s="752">
        <f>IF('対象者一覧表'!$G$27="","",'対象者一覧表'!$G$27)</f>
      </c>
      <c r="G32" s="740"/>
      <c r="H32" s="751">
        <f t="shared" si="6"/>
      </c>
      <c r="I32" s="1114"/>
      <c r="J32" s="1195">
        <f t="shared" si="9"/>
      </c>
      <c r="K32" s="752">
        <f>IF('対象者一覧表'!$G$28="","",'対象者一覧表'!$G$28)</f>
      </c>
      <c r="L32" s="740"/>
      <c r="M32" s="751">
        <f t="shared" si="7"/>
      </c>
      <c r="N32" s="1114"/>
      <c r="O32" s="1195">
        <f t="shared" si="10"/>
      </c>
      <c r="P32" s="752">
        <f>IF('対象者一覧表'!$G$29="","",'対象者一覧表'!$G$29)</f>
      </c>
      <c r="Q32" s="740"/>
      <c r="R32" s="751">
        <f t="shared" si="8"/>
      </c>
      <c r="S32" s="1117"/>
      <c r="T32" s="1199">
        <f t="shared" si="11"/>
      </c>
    </row>
    <row r="33" spans="1:20" ht="25.5" customHeight="1">
      <c r="A33" s="1180"/>
      <c r="B33" s="761">
        <v>27</v>
      </c>
      <c r="C33" s="762" t="s">
        <v>31</v>
      </c>
      <c r="D33" s="762">
        <v>1</v>
      </c>
      <c r="E33" s="762" t="s">
        <v>22</v>
      </c>
      <c r="F33" s="752">
        <f>IF('対象者一覧表'!$G$27="","",'対象者一覧表'!$G$27)</f>
      </c>
      <c r="G33" s="740"/>
      <c r="H33" s="751">
        <f t="shared" si="6"/>
      </c>
      <c r="I33" s="1114"/>
      <c r="J33" s="1195">
        <f t="shared" si="9"/>
      </c>
      <c r="K33" s="752">
        <f>IF('対象者一覧表'!$G$28="","",'対象者一覧表'!$G$28)</f>
      </c>
      <c r="L33" s="740"/>
      <c r="M33" s="751">
        <f t="shared" si="7"/>
      </c>
      <c r="N33" s="1114"/>
      <c r="O33" s="1195">
        <f t="shared" si="10"/>
      </c>
      <c r="P33" s="752">
        <f>IF('対象者一覧表'!$G$29="","",'対象者一覧表'!$G$29)</f>
      </c>
      <c r="Q33" s="740"/>
      <c r="R33" s="751">
        <f t="shared" si="8"/>
      </c>
      <c r="S33" s="1117"/>
      <c r="T33" s="1199">
        <f t="shared" si="11"/>
      </c>
    </row>
    <row r="34" spans="1:20" ht="25.5" customHeight="1">
      <c r="A34" s="1180"/>
      <c r="B34" s="761"/>
      <c r="C34" s="762" t="s">
        <v>31</v>
      </c>
      <c r="D34" s="762">
        <v>2</v>
      </c>
      <c r="E34" s="762" t="s">
        <v>22</v>
      </c>
      <c r="F34" s="752">
        <f>IF('対象者一覧表'!$G$27="","",'対象者一覧表'!$G$27)</f>
      </c>
      <c r="G34" s="740"/>
      <c r="H34" s="751">
        <f t="shared" si="6"/>
      </c>
      <c r="I34" s="1114"/>
      <c r="J34" s="1195">
        <f t="shared" si="9"/>
      </c>
      <c r="K34" s="752">
        <f>IF('対象者一覧表'!$G$28="","",'対象者一覧表'!$G$28)</f>
      </c>
      <c r="L34" s="740"/>
      <c r="M34" s="751">
        <f t="shared" si="7"/>
      </c>
      <c r="N34" s="1114"/>
      <c r="O34" s="1195">
        <f t="shared" si="10"/>
      </c>
      <c r="P34" s="752">
        <f>IF('対象者一覧表'!$G$29="","",'対象者一覧表'!$G$29)</f>
      </c>
      <c r="Q34" s="740"/>
      <c r="R34" s="751">
        <f t="shared" si="8"/>
      </c>
      <c r="S34" s="1117"/>
      <c r="T34" s="1199">
        <f t="shared" si="11"/>
      </c>
    </row>
    <row r="35" spans="1:20" ht="25.5" customHeight="1">
      <c r="A35" s="1180"/>
      <c r="B35" s="761"/>
      <c r="C35" s="762" t="s">
        <v>31</v>
      </c>
      <c r="D35" s="762">
        <v>3</v>
      </c>
      <c r="E35" s="762" t="s">
        <v>22</v>
      </c>
      <c r="F35" s="752">
        <f>IF('対象者一覧表'!$G$27="","",'対象者一覧表'!$G$27)</f>
      </c>
      <c r="G35" s="740"/>
      <c r="H35" s="751">
        <f t="shared" si="6"/>
      </c>
      <c r="I35" s="1114"/>
      <c r="J35" s="1195">
        <f t="shared" si="9"/>
      </c>
      <c r="K35" s="752">
        <f>IF('対象者一覧表'!$G$28="","",'対象者一覧表'!$G$28)</f>
      </c>
      <c r="L35" s="740"/>
      <c r="M35" s="751">
        <f t="shared" si="7"/>
      </c>
      <c r="N35" s="1114"/>
      <c r="O35" s="1195">
        <f t="shared" si="10"/>
      </c>
      <c r="P35" s="752">
        <f>IF('対象者一覧表'!$G$29="","",'対象者一覧表'!$G$29)</f>
      </c>
      <c r="Q35" s="740"/>
      <c r="R35" s="751">
        <f t="shared" si="8"/>
      </c>
      <c r="S35" s="1117"/>
      <c r="T35" s="1199">
        <f t="shared" si="11"/>
      </c>
    </row>
    <row r="36" spans="1:20" ht="25.5" customHeight="1">
      <c r="A36" s="1180"/>
      <c r="B36" s="761"/>
      <c r="C36" s="762" t="s">
        <v>31</v>
      </c>
      <c r="D36" s="762">
        <v>4</v>
      </c>
      <c r="E36" s="762" t="s">
        <v>248</v>
      </c>
      <c r="F36" s="752">
        <f>IF('対象者一覧表'!$G$27="","",'対象者一覧表'!$G$27)</f>
      </c>
      <c r="G36" s="738"/>
      <c r="H36" s="751">
        <f t="shared" si="6"/>
      </c>
      <c r="I36" s="1114"/>
      <c r="J36" s="1195">
        <f t="shared" si="9"/>
      </c>
      <c r="K36" s="752">
        <f>IF('対象者一覧表'!$G$28="","",'対象者一覧表'!$G$28)</f>
      </c>
      <c r="L36" s="738"/>
      <c r="M36" s="751">
        <f t="shared" si="7"/>
      </c>
      <c r="N36" s="1114"/>
      <c r="O36" s="1195">
        <f t="shared" si="10"/>
      </c>
      <c r="P36" s="752">
        <f>IF('対象者一覧表'!$G$29="","",'対象者一覧表'!$G$29)</f>
      </c>
      <c r="Q36" s="738"/>
      <c r="R36" s="751">
        <f t="shared" si="8"/>
      </c>
      <c r="S36" s="1117"/>
      <c r="T36" s="1199">
        <f t="shared" si="11"/>
      </c>
    </row>
    <row r="37" spans="1:20" ht="25.5" customHeight="1" thickBot="1">
      <c r="A37" s="1180"/>
      <c r="B37" s="765"/>
      <c r="C37" s="766" t="s">
        <v>31</v>
      </c>
      <c r="D37" s="766">
        <v>5</v>
      </c>
      <c r="E37" s="766" t="s">
        <v>22</v>
      </c>
      <c r="F37" s="796">
        <f>IF('対象者一覧表'!$G$27="","",'対象者一覧表'!$G$27)</f>
      </c>
      <c r="G37" s="797"/>
      <c r="H37" s="799">
        <f t="shared" si="6"/>
      </c>
      <c r="I37" s="1115"/>
      <c r="J37" s="1196">
        <f t="shared" si="9"/>
      </c>
      <c r="K37" s="796">
        <f>IF('対象者一覧表'!$G$28="","",'対象者一覧表'!$G$28)</f>
      </c>
      <c r="L37" s="797"/>
      <c r="M37" s="799">
        <f t="shared" si="7"/>
      </c>
      <c r="N37" s="1115"/>
      <c r="O37" s="1196">
        <f t="shared" si="10"/>
      </c>
      <c r="P37" s="796">
        <f>IF('対象者一覧表'!$G$29="","",'対象者一覧表'!$G$29)</f>
      </c>
      <c r="Q37" s="797"/>
      <c r="R37" s="799">
        <f t="shared" si="8"/>
      </c>
      <c r="S37" s="1118"/>
      <c r="T37" s="1200">
        <f t="shared" si="11"/>
      </c>
    </row>
    <row r="38" spans="1:20" ht="25.5" customHeight="1" thickBot="1">
      <c r="A38" s="1180"/>
      <c r="B38" s="770"/>
      <c r="C38" s="771"/>
      <c r="D38" s="771"/>
      <c r="E38" s="772" t="s">
        <v>1</v>
      </c>
      <c r="F38" s="744"/>
      <c r="G38" s="745">
        <f>SUM(G27:G37)</f>
        <v>0</v>
      </c>
      <c r="H38" s="746">
        <f>SUM(H27:H37)</f>
        <v>0</v>
      </c>
      <c r="I38" s="746">
        <f>SUM(I27:I37)</f>
        <v>0</v>
      </c>
      <c r="J38" s="995">
        <f>SUM(J27:J37)</f>
        <v>0</v>
      </c>
      <c r="K38" s="747"/>
      <c r="L38" s="745">
        <f>SUM(L27:L37)</f>
        <v>0</v>
      </c>
      <c r="M38" s="746">
        <f>SUM(M27:M37)</f>
        <v>0</v>
      </c>
      <c r="N38" s="746">
        <f>SUM(N27:N37)</f>
        <v>0</v>
      </c>
      <c r="O38" s="995">
        <f>SUM(O27:O37)</f>
        <v>0</v>
      </c>
      <c r="P38" s="747"/>
      <c r="Q38" s="745">
        <f>SUM(Q27:Q37)</f>
        <v>0</v>
      </c>
      <c r="R38" s="746">
        <f>SUM(R27:R37)</f>
        <v>0</v>
      </c>
      <c r="S38" s="746">
        <f>SUM(S27:S37)</f>
        <v>0</v>
      </c>
      <c r="T38" s="995">
        <f>SUM(T27:T37)</f>
        <v>0</v>
      </c>
    </row>
    <row r="39" spans="1:20" ht="14.25" thickBot="1">
      <c r="A39" s="1180"/>
      <c r="B39" s="82"/>
      <c r="C39" s="82"/>
      <c r="D39" s="82"/>
      <c r="E39" s="82"/>
      <c r="F39" s="348"/>
      <c r="G39" s="348"/>
      <c r="H39" s="348"/>
      <c r="I39" s="348"/>
      <c r="J39" s="348"/>
      <c r="K39" s="348"/>
      <c r="L39" s="348"/>
      <c r="M39" s="348"/>
      <c r="N39" s="348"/>
      <c r="O39" s="348"/>
      <c r="P39" s="348"/>
      <c r="Q39" s="348"/>
      <c r="R39" s="348"/>
      <c r="S39" s="348"/>
      <c r="T39" s="348"/>
    </row>
    <row r="40" spans="1:20" ht="25.5" customHeight="1" thickBot="1">
      <c r="A40" s="1180"/>
      <c r="B40" s="1301" t="s">
        <v>174</v>
      </c>
      <c r="C40" s="1302"/>
      <c r="D40" s="1302"/>
      <c r="E40" s="1302"/>
      <c r="F40" s="349"/>
      <c r="G40" s="754">
        <f>J21+O21+T21+J38+O38+T38</f>
        <v>0</v>
      </c>
      <c r="H40" s="350" t="s">
        <v>12</v>
      </c>
      <c r="I40" s="683"/>
      <c r="J40" s="683"/>
      <c r="K40" s="348"/>
      <c r="L40" s="348"/>
      <c r="M40" s="348"/>
      <c r="N40" s="348"/>
      <c r="O40" s="348"/>
      <c r="P40" s="348"/>
      <c r="Q40" s="348"/>
      <c r="R40" s="348"/>
      <c r="S40" s="348"/>
      <c r="T40" s="348"/>
    </row>
    <row r="41" spans="1:20" ht="13.5">
      <c r="A41" s="1180"/>
      <c r="B41" s="708"/>
      <c r="C41" s="708"/>
      <c r="D41" s="708"/>
      <c r="E41" s="708"/>
      <c r="F41" s="83"/>
      <c r="G41" s="83"/>
      <c r="H41" s="84"/>
      <c r="I41" s="84"/>
      <c r="J41" s="84"/>
      <c r="K41" s="1180"/>
      <c r="L41" s="1180"/>
      <c r="M41" s="1180"/>
      <c r="N41" s="1180"/>
      <c r="O41" s="1180"/>
      <c r="P41" s="1180"/>
      <c r="Q41" s="1180"/>
      <c r="R41" s="1180"/>
      <c r="S41" s="1180"/>
      <c r="T41" s="1180"/>
    </row>
    <row r="42" ht="13.5">
      <c r="B42" s="591" t="s">
        <v>454</v>
      </c>
    </row>
    <row r="43" spans="2:12" ht="13.5">
      <c r="B43" s="591" t="s">
        <v>323</v>
      </c>
      <c r="L43" s="648"/>
    </row>
    <row r="44" spans="2:12" ht="13.5">
      <c r="B44" s="591" t="s">
        <v>320</v>
      </c>
      <c r="C44" s="591" t="s">
        <v>321</v>
      </c>
      <c r="L44" s="648"/>
    </row>
    <row r="45" spans="2:21" ht="13.5">
      <c r="B45" s="591" t="s">
        <v>401</v>
      </c>
      <c r="C45" s="10"/>
      <c r="D45" s="10"/>
      <c r="E45" s="10"/>
      <c r="F45" s="10"/>
      <c r="G45" s="10"/>
      <c r="H45" s="10"/>
      <c r="I45" s="10"/>
      <c r="J45" s="10"/>
      <c r="K45" s="682"/>
      <c r="L45" s="10"/>
      <c r="M45" s="10"/>
      <c r="N45" s="10"/>
      <c r="O45" s="10"/>
      <c r="P45" s="10"/>
      <c r="Q45" s="10"/>
      <c r="R45" s="10"/>
      <c r="S45" s="10"/>
      <c r="T45" s="10"/>
      <c r="U45" s="10"/>
    </row>
    <row r="46" spans="2:12" ht="13.5">
      <c r="B46" s="591" t="s">
        <v>322</v>
      </c>
      <c r="L46" s="648"/>
    </row>
  </sheetData>
  <sheetProtection/>
  <mergeCells count="25">
    <mergeCell ref="T7:T9"/>
    <mergeCell ref="T24:T26"/>
    <mergeCell ref="I7:I9"/>
    <mergeCell ref="N7:N9"/>
    <mergeCell ref="S7:S9"/>
    <mergeCell ref="J7:J9"/>
    <mergeCell ref="I24:I26"/>
    <mergeCell ref="N24:N26"/>
    <mergeCell ref="S24:S26"/>
    <mergeCell ref="P23:T23"/>
    <mergeCell ref="A1:E1"/>
    <mergeCell ref="C2:F2"/>
    <mergeCell ref="B6:E6"/>
    <mergeCell ref="F6:J6"/>
    <mergeCell ref="K6:O6"/>
    <mergeCell ref="P6:T6"/>
    <mergeCell ref="J24:J26"/>
    <mergeCell ref="O7:O9"/>
    <mergeCell ref="B40:E40"/>
    <mergeCell ref="B7:B9"/>
    <mergeCell ref="B23:E23"/>
    <mergeCell ref="B24:B26"/>
    <mergeCell ref="F23:J23"/>
    <mergeCell ref="K23:O23"/>
    <mergeCell ref="O24:O26"/>
  </mergeCells>
  <dataValidations count="2">
    <dataValidation allowBlank="1" showInputMessage="1" showErrorMessage="1" imeMode="halfAlpha" sqref="V29 F27:T37 F10:T20"/>
    <dataValidation allowBlank="1" showInputMessage="1" showErrorMessage="1" imeMode="hiragana" sqref="R4"/>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8" r:id="rId1"/>
  <colBreaks count="1" manualBreakCount="1">
    <brk id="21"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V47"/>
  <sheetViews>
    <sheetView showGridLines="0" zoomScale="75" zoomScaleNormal="75" zoomScaleSheetLayoutView="73" workbookViewId="0" topLeftCell="A7">
      <selection activeCell="A41" sqref="A41"/>
    </sheetView>
  </sheetViews>
  <sheetFormatPr defaultColWidth="9.140625" defaultRowHeight="15"/>
  <cols>
    <col min="1" max="1" width="1.57421875" style="591" customWidth="1"/>
    <col min="2" max="2" width="4.7109375" style="591" customWidth="1"/>
    <col min="3" max="3" width="5.28125" style="591" customWidth="1"/>
    <col min="4" max="4" width="5.140625" style="591" customWidth="1"/>
    <col min="5" max="5" width="4.57421875" style="591" customWidth="1"/>
    <col min="6" max="20" width="16.28125" style="591" customWidth="1"/>
    <col min="21" max="21" width="9.00390625" style="591" customWidth="1"/>
    <col min="22" max="22" width="10.28125" style="591" bestFit="1" customWidth="1"/>
    <col min="23" max="16384" width="9.00390625" style="591" customWidth="1"/>
  </cols>
  <sheetData>
    <row r="1" spans="1:6" ht="17.25">
      <c r="A1" s="1313" t="s">
        <v>29</v>
      </c>
      <c r="B1" s="1313"/>
      <c r="C1" s="1313"/>
      <c r="D1" s="1313"/>
      <c r="E1" s="1313"/>
      <c r="F1" s="107"/>
    </row>
    <row r="2" spans="1:20" ht="17.25">
      <c r="A2" s="773"/>
      <c r="B2" s="774" t="s">
        <v>351</v>
      </c>
      <c r="C2" s="1314" t="s">
        <v>33</v>
      </c>
      <c r="D2" s="1314"/>
      <c r="E2" s="1314"/>
      <c r="F2" s="1314"/>
      <c r="G2" s="23"/>
      <c r="H2" s="23"/>
      <c r="I2" s="23"/>
      <c r="J2" s="23"/>
      <c r="K2" s="23"/>
      <c r="L2" s="23"/>
      <c r="M2" s="23"/>
      <c r="N2" s="23"/>
      <c r="O2" s="23"/>
      <c r="P2" s="23"/>
      <c r="Q2" s="23"/>
      <c r="R2" s="23"/>
      <c r="S2" s="23"/>
      <c r="T2" s="23"/>
    </row>
    <row r="3" spans="1:20" ht="17.25">
      <c r="A3" s="23"/>
      <c r="B3" s="66"/>
      <c r="C3" s="66"/>
      <c r="D3" s="66"/>
      <c r="E3" s="66"/>
      <c r="F3" s="23"/>
      <c r="G3" s="23"/>
      <c r="H3" s="23"/>
      <c r="I3" s="23"/>
      <c r="J3" s="23"/>
      <c r="K3" s="23"/>
      <c r="L3" s="23"/>
      <c r="M3" s="23"/>
      <c r="N3" s="23"/>
      <c r="O3" s="23"/>
      <c r="P3" s="23"/>
      <c r="Q3" s="23"/>
      <c r="R3" s="773"/>
      <c r="S3" s="773"/>
      <c r="T3" s="773" t="s">
        <v>38</v>
      </c>
    </row>
    <row r="4" spans="1:22" ht="17.25">
      <c r="A4" s="23"/>
      <c r="B4" s="66" t="s">
        <v>2</v>
      </c>
      <c r="C4" s="66"/>
      <c r="D4" s="66"/>
      <c r="E4" s="66"/>
      <c r="F4" s="23"/>
      <c r="G4" s="23"/>
      <c r="H4" s="23"/>
      <c r="I4" s="23"/>
      <c r="J4" s="23"/>
      <c r="K4" s="23"/>
      <c r="L4" s="23"/>
      <c r="N4" s="775"/>
      <c r="O4" s="67"/>
      <c r="P4" s="917"/>
      <c r="Q4" s="775" t="s">
        <v>195</v>
      </c>
      <c r="R4" s="1298" t="str">
        <f>IF('対象者一覧表'!$G$4="","",'対象者一覧表'!$G$4)</f>
        <v>Ｂ金属株式会社</v>
      </c>
      <c r="S4" s="1298"/>
      <c r="T4" s="1298"/>
      <c r="V4" s="2"/>
    </row>
    <row r="5" spans="1:22" ht="14.25" thickBot="1">
      <c r="A5" s="23"/>
      <c r="B5" s="66" t="s">
        <v>2</v>
      </c>
      <c r="C5" s="66"/>
      <c r="D5" s="66"/>
      <c r="E5" s="66"/>
      <c r="F5" s="23"/>
      <c r="G5" s="23"/>
      <c r="H5" s="23"/>
      <c r="I5" s="23"/>
      <c r="J5" s="23"/>
      <c r="K5" s="23"/>
      <c r="L5" s="23"/>
      <c r="M5" s="23"/>
      <c r="N5" s="23"/>
      <c r="O5" s="23"/>
      <c r="P5" s="23"/>
      <c r="Q5" s="23"/>
      <c r="R5" s="23"/>
      <c r="S5" s="23"/>
      <c r="T5" s="23"/>
      <c r="V5" s="2"/>
    </row>
    <row r="6" spans="1:22" ht="34.5" customHeight="1" thickBot="1">
      <c r="A6" s="23"/>
      <c r="B6" s="1315" t="s">
        <v>3</v>
      </c>
      <c r="C6" s="1316"/>
      <c r="D6" s="1316"/>
      <c r="E6" s="1316"/>
      <c r="F6" s="1309">
        <f>'対象者一覧表'!C30</f>
      </c>
      <c r="G6" s="1310"/>
      <c r="H6" s="1310"/>
      <c r="I6" s="1310"/>
      <c r="J6" s="1311"/>
      <c r="K6" s="1318">
        <f>'対象者一覧表'!C31</f>
      </c>
      <c r="L6" s="1319"/>
      <c r="M6" s="1319"/>
      <c r="N6" s="1319"/>
      <c r="O6" s="1320"/>
      <c r="P6" s="1318">
        <f>'対象者一覧表'!C32</f>
      </c>
      <c r="Q6" s="1319"/>
      <c r="R6" s="1319"/>
      <c r="S6" s="1319"/>
      <c r="T6" s="1331"/>
      <c r="V6" s="68"/>
    </row>
    <row r="7" spans="1:22" ht="33.75" customHeight="1">
      <c r="A7" s="23"/>
      <c r="B7" s="1303"/>
      <c r="C7" s="69"/>
      <c r="D7" s="69"/>
      <c r="E7" s="69"/>
      <c r="F7" s="322" t="s">
        <v>4</v>
      </c>
      <c r="G7" s="72" t="s">
        <v>5</v>
      </c>
      <c r="H7" s="985" t="s">
        <v>6</v>
      </c>
      <c r="I7" s="1299" t="s">
        <v>399</v>
      </c>
      <c r="J7" s="1299" t="s">
        <v>400</v>
      </c>
      <c r="K7" s="987" t="s">
        <v>4</v>
      </c>
      <c r="L7" s="72" t="s">
        <v>5</v>
      </c>
      <c r="M7" s="985" t="s">
        <v>6</v>
      </c>
      <c r="N7" s="1299" t="s">
        <v>399</v>
      </c>
      <c r="O7" s="1299" t="s">
        <v>400</v>
      </c>
      <c r="P7" s="987" t="s">
        <v>4</v>
      </c>
      <c r="Q7" s="72" t="s">
        <v>5</v>
      </c>
      <c r="R7" s="985" t="s">
        <v>6</v>
      </c>
      <c r="S7" s="1299" t="s">
        <v>399</v>
      </c>
      <c r="T7" s="1299" t="s">
        <v>400</v>
      </c>
      <c r="V7" s="68"/>
    </row>
    <row r="8" spans="1:22" ht="13.5">
      <c r="A8" s="23"/>
      <c r="B8" s="1304"/>
      <c r="C8" s="75"/>
      <c r="D8" s="75"/>
      <c r="E8" s="75"/>
      <c r="F8" s="323" t="s">
        <v>7</v>
      </c>
      <c r="G8" s="78" t="s">
        <v>8</v>
      </c>
      <c r="H8" s="986"/>
      <c r="I8" s="1300"/>
      <c r="J8" s="1300"/>
      <c r="K8" s="988" t="s">
        <v>7</v>
      </c>
      <c r="L8" s="78" t="s">
        <v>8</v>
      </c>
      <c r="M8" s="986"/>
      <c r="N8" s="1300"/>
      <c r="O8" s="1300"/>
      <c r="P8" s="988" t="s">
        <v>7</v>
      </c>
      <c r="Q8" s="78" t="s">
        <v>8</v>
      </c>
      <c r="R8" s="986"/>
      <c r="S8" s="1300"/>
      <c r="T8" s="1300"/>
      <c r="V8" s="68"/>
    </row>
    <row r="9" spans="1:22" ht="14.25" thickBot="1">
      <c r="A9" s="23"/>
      <c r="B9" s="1304"/>
      <c r="C9" s="75"/>
      <c r="D9" s="75"/>
      <c r="E9" s="75"/>
      <c r="F9" s="323" t="s">
        <v>9</v>
      </c>
      <c r="G9" s="78" t="s">
        <v>10</v>
      </c>
      <c r="H9" s="986" t="s">
        <v>11</v>
      </c>
      <c r="I9" s="1300"/>
      <c r="J9" s="1300"/>
      <c r="K9" s="988" t="s">
        <v>9</v>
      </c>
      <c r="L9" s="78" t="s">
        <v>10</v>
      </c>
      <c r="M9" s="986" t="s">
        <v>11</v>
      </c>
      <c r="N9" s="1300"/>
      <c r="O9" s="1300"/>
      <c r="P9" s="988" t="s">
        <v>9</v>
      </c>
      <c r="Q9" s="78" t="s">
        <v>10</v>
      </c>
      <c r="R9" s="986" t="s">
        <v>11</v>
      </c>
      <c r="S9" s="1300"/>
      <c r="T9" s="1300"/>
      <c r="V9" s="68"/>
    </row>
    <row r="10" spans="1:20" ht="25.5" customHeight="1">
      <c r="A10" s="23"/>
      <c r="B10" s="794">
        <v>26</v>
      </c>
      <c r="C10" s="795" t="s">
        <v>31</v>
      </c>
      <c r="D10" s="795">
        <v>7</v>
      </c>
      <c r="E10" s="795" t="s">
        <v>32</v>
      </c>
      <c r="F10" s="756">
        <f>IF('対象者一覧表'!$G$30="","",'対象者一覧表'!$G$30)</f>
      </c>
      <c r="G10" s="750"/>
      <c r="H10" s="801">
        <f aca="true" t="shared" si="0" ref="H10:H20">IF(F10="","",ROUNDDOWN((G10*F10),0))</f>
      </c>
      <c r="I10" s="1119"/>
      <c r="J10" s="996">
        <f>IF(F10="","",MIN(H10,I10))</f>
      </c>
      <c r="K10" s="803">
        <f>IF('対象者一覧表'!$G$31="","",'対象者一覧表'!$G$31)</f>
      </c>
      <c r="L10" s="750"/>
      <c r="M10" s="801">
        <f aca="true" t="shared" si="1" ref="M10:M20">IF(K10="","",ROUNDDOWN((L10*K10),0))</f>
      </c>
      <c r="N10" s="1122"/>
      <c r="O10" s="996">
        <f>IF(K10="","",MIN(M10,N10))</f>
      </c>
      <c r="P10" s="803">
        <f>IF('対象者一覧表'!$G$32="","",'対象者一覧表'!$G$32)</f>
      </c>
      <c r="Q10" s="750"/>
      <c r="R10" s="801">
        <f aca="true" t="shared" si="2" ref="R10:R20">IF(P10="","",ROUNDDOWN((Q10*P10),0))</f>
      </c>
      <c r="S10" s="1122"/>
      <c r="T10" s="996">
        <f>IF(P10="","",MIN(R10,S10))</f>
      </c>
    </row>
    <row r="11" spans="1:20" ht="25.5" customHeight="1">
      <c r="A11" s="23"/>
      <c r="B11" s="761"/>
      <c r="C11" s="762" t="s">
        <v>31</v>
      </c>
      <c r="D11" s="762">
        <v>8</v>
      </c>
      <c r="E11" s="762" t="s">
        <v>32</v>
      </c>
      <c r="F11" s="752">
        <f>IF('対象者一覧表'!$G$30="","",'対象者一覧表'!$G$30)</f>
      </c>
      <c r="G11" s="740"/>
      <c r="H11" s="741">
        <f t="shared" si="0"/>
      </c>
      <c r="I11" s="1120"/>
      <c r="J11" s="997">
        <f aca="true" t="shared" si="3" ref="J11:J20">IF(F11="","",MIN(H11,I11))</f>
      </c>
      <c r="K11" s="743">
        <f>IF('対象者一覧表'!$G$31="","",'対象者一覧表'!$G$31)</f>
      </c>
      <c r="L11" s="740"/>
      <c r="M11" s="741">
        <f t="shared" si="1"/>
      </c>
      <c r="N11" s="1123"/>
      <c r="O11" s="997">
        <f aca="true" t="shared" si="4" ref="O11:O20">IF(K11="","",MIN(M11,N11))</f>
      </c>
      <c r="P11" s="743">
        <f>IF('対象者一覧表'!$G$32="","",'対象者一覧表'!$G$32)</f>
      </c>
      <c r="Q11" s="740"/>
      <c r="R11" s="741">
        <f t="shared" si="2"/>
      </c>
      <c r="S11" s="1123"/>
      <c r="T11" s="997">
        <f aca="true" t="shared" si="5" ref="T11:T20">IF(P11="","",MIN(R11,S11))</f>
      </c>
    </row>
    <row r="12" spans="1:20" ht="25.5" customHeight="1">
      <c r="A12" s="23"/>
      <c r="B12" s="761"/>
      <c r="C12" s="762" t="s">
        <v>31</v>
      </c>
      <c r="D12" s="762">
        <v>9</v>
      </c>
      <c r="E12" s="762" t="s">
        <v>32</v>
      </c>
      <c r="F12" s="752">
        <f>IF('対象者一覧表'!$G$30="","",'対象者一覧表'!$G$30)</f>
      </c>
      <c r="G12" s="740"/>
      <c r="H12" s="741">
        <f t="shared" si="0"/>
      </c>
      <c r="I12" s="1120"/>
      <c r="J12" s="997">
        <f t="shared" si="3"/>
      </c>
      <c r="K12" s="743">
        <f>IF('対象者一覧表'!$G$31="","",'対象者一覧表'!$G$31)</f>
      </c>
      <c r="L12" s="740"/>
      <c r="M12" s="741">
        <f t="shared" si="1"/>
      </c>
      <c r="N12" s="1123"/>
      <c r="O12" s="997">
        <f t="shared" si="4"/>
      </c>
      <c r="P12" s="743">
        <f>IF('対象者一覧表'!$G$32="","",'対象者一覧表'!$G$32)</f>
      </c>
      <c r="Q12" s="740"/>
      <c r="R12" s="741">
        <f t="shared" si="2"/>
      </c>
      <c r="S12" s="1123"/>
      <c r="T12" s="997">
        <f t="shared" si="5"/>
      </c>
    </row>
    <row r="13" spans="1:20" ht="25.5" customHeight="1">
      <c r="A13" s="23"/>
      <c r="B13" s="761"/>
      <c r="C13" s="762" t="s">
        <v>31</v>
      </c>
      <c r="D13" s="762">
        <v>10</v>
      </c>
      <c r="E13" s="762" t="s">
        <v>32</v>
      </c>
      <c r="F13" s="752">
        <f>IF('対象者一覧表'!$G$30="","",'対象者一覧表'!$G$30)</f>
      </c>
      <c r="G13" s="738"/>
      <c r="H13" s="741">
        <f t="shared" si="0"/>
      </c>
      <c r="I13" s="1120"/>
      <c r="J13" s="997">
        <f t="shared" si="3"/>
      </c>
      <c r="K13" s="743">
        <f>IF('対象者一覧表'!$G$31="","",'対象者一覧表'!$G$31)</f>
      </c>
      <c r="L13" s="738"/>
      <c r="M13" s="741">
        <f t="shared" si="1"/>
      </c>
      <c r="N13" s="1123"/>
      <c r="O13" s="997">
        <f t="shared" si="4"/>
      </c>
      <c r="P13" s="743">
        <f>IF('対象者一覧表'!$G$32="","",'対象者一覧表'!$G$32)</f>
      </c>
      <c r="Q13" s="738"/>
      <c r="R13" s="741">
        <f t="shared" si="2"/>
      </c>
      <c r="S13" s="1123"/>
      <c r="T13" s="997">
        <f t="shared" si="5"/>
      </c>
    </row>
    <row r="14" spans="1:20" ht="25.5" customHeight="1">
      <c r="A14" s="23"/>
      <c r="B14" s="763"/>
      <c r="C14" s="764" t="s">
        <v>31</v>
      </c>
      <c r="D14" s="764">
        <v>11</v>
      </c>
      <c r="E14" s="762" t="s">
        <v>22</v>
      </c>
      <c r="F14" s="752">
        <f>IF('対象者一覧表'!$G$30="","",'対象者一覧表'!$G$30)</f>
      </c>
      <c r="G14" s="740"/>
      <c r="H14" s="741">
        <f t="shared" si="0"/>
      </c>
      <c r="I14" s="1120"/>
      <c r="J14" s="997">
        <f t="shared" si="3"/>
      </c>
      <c r="K14" s="743">
        <f>IF('対象者一覧表'!$G$31="","",'対象者一覧表'!$G$31)</f>
      </c>
      <c r="L14" s="740"/>
      <c r="M14" s="741">
        <f t="shared" si="1"/>
      </c>
      <c r="N14" s="1123"/>
      <c r="O14" s="997">
        <f t="shared" si="4"/>
      </c>
      <c r="P14" s="743">
        <f>IF('対象者一覧表'!$G$32="","",'対象者一覧表'!$G$32)</f>
      </c>
      <c r="Q14" s="740"/>
      <c r="R14" s="741">
        <f t="shared" si="2"/>
      </c>
      <c r="S14" s="1123"/>
      <c r="T14" s="997">
        <f t="shared" si="5"/>
      </c>
    </row>
    <row r="15" spans="1:22" ht="25.5" customHeight="1">
      <c r="A15" s="23"/>
      <c r="B15" s="761"/>
      <c r="C15" s="762" t="s">
        <v>31</v>
      </c>
      <c r="D15" s="762">
        <v>12</v>
      </c>
      <c r="E15" s="762" t="s">
        <v>22</v>
      </c>
      <c r="F15" s="752">
        <f>IF('対象者一覧表'!$G$30="","",'対象者一覧表'!$G$30)</f>
      </c>
      <c r="G15" s="740"/>
      <c r="H15" s="741">
        <f t="shared" si="0"/>
      </c>
      <c r="I15" s="1120"/>
      <c r="J15" s="997">
        <f t="shared" si="3"/>
      </c>
      <c r="K15" s="743">
        <f>IF('対象者一覧表'!$G$31="","",'対象者一覧表'!$G$31)</f>
      </c>
      <c r="L15" s="740"/>
      <c r="M15" s="741">
        <f t="shared" si="1"/>
      </c>
      <c r="N15" s="1123"/>
      <c r="O15" s="997">
        <f t="shared" si="4"/>
      </c>
      <c r="P15" s="743">
        <f>IF('対象者一覧表'!$G$32="","",'対象者一覧表'!$G$32)</f>
      </c>
      <c r="Q15" s="740"/>
      <c r="R15" s="741">
        <f t="shared" si="2"/>
      </c>
      <c r="S15" s="1123"/>
      <c r="T15" s="997">
        <f t="shared" si="5"/>
      </c>
      <c r="V15" s="648"/>
    </row>
    <row r="16" spans="1:22" ht="25.5" customHeight="1">
      <c r="A16" s="23"/>
      <c r="B16" s="761">
        <v>27</v>
      </c>
      <c r="C16" s="762" t="s">
        <v>31</v>
      </c>
      <c r="D16" s="762">
        <v>1</v>
      </c>
      <c r="E16" s="762" t="s">
        <v>22</v>
      </c>
      <c r="F16" s="752">
        <f>IF('対象者一覧表'!$G$30="","",'対象者一覧表'!$G$30)</f>
      </c>
      <c r="G16" s="740"/>
      <c r="H16" s="741">
        <f t="shared" si="0"/>
      </c>
      <c r="I16" s="1120"/>
      <c r="J16" s="997">
        <f t="shared" si="3"/>
      </c>
      <c r="K16" s="743">
        <f>IF('対象者一覧表'!$G$31="","",'対象者一覧表'!$G$31)</f>
      </c>
      <c r="L16" s="740"/>
      <c r="M16" s="741">
        <f t="shared" si="1"/>
      </c>
      <c r="N16" s="1123"/>
      <c r="O16" s="997">
        <f t="shared" si="4"/>
      </c>
      <c r="P16" s="743">
        <f>IF('対象者一覧表'!$G$32="","",'対象者一覧表'!$G$32)</f>
      </c>
      <c r="Q16" s="740"/>
      <c r="R16" s="741">
        <f t="shared" si="2"/>
      </c>
      <c r="S16" s="1123"/>
      <c r="T16" s="997">
        <f t="shared" si="5"/>
      </c>
      <c r="V16" s="648"/>
    </row>
    <row r="17" spans="1:22" ht="25.5" customHeight="1">
      <c r="A17" s="23"/>
      <c r="B17" s="761"/>
      <c r="C17" s="762" t="s">
        <v>31</v>
      </c>
      <c r="D17" s="762">
        <v>2</v>
      </c>
      <c r="E17" s="762" t="s">
        <v>22</v>
      </c>
      <c r="F17" s="752">
        <f>IF('対象者一覧表'!$G$30="","",'対象者一覧表'!$G$30)</f>
      </c>
      <c r="G17" s="740"/>
      <c r="H17" s="741">
        <f t="shared" si="0"/>
      </c>
      <c r="I17" s="1120"/>
      <c r="J17" s="997">
        <f t="shared" si="3"/>
      </c>
      <c r="K17" s="743">
        <f>IF('対象者一覧表'!$G$31="","",'対象者一覧表'!$G$31)</f>
      </c>
      <c r="L17" s="740"/>
      <c r="M17" s="741">
        <f t="shared" si="1"/>
      </c>
      <c r="N17" s="1123"/>
      <c r="O17" s="997">
        <f t="shared" si="4"/>
      </c>
      <c r="P17" s="743">
        <f>IF('対象者一覧表'!$G$32="","",'対象者一覧表'!$G$32)</f>
      </c>
      <c r="Q17" s="740"/>
      <c r="R17" s="741">
        <f t="shared" si="2"/>
      </c>
      <c r="S17" s="1123"/>
      <c r="T17" s="997">
        <f t="shared" si="5"/>
      </c>
      <c r="V17" s="344"/>
    </row>
    <row r="18" spans="1:22" ht="25.5" customHeight="1">
      <c r="A18" s="23"/>
      <c r="B18" s="761"/>
      <c r="C18" s="762" t="s">
        <v>31</v>
      </c>
      <c r="D18" s="762">
        <v>3</v>
      </c>
      <c r="E18" s="762" t="s">
        <v>22</v>
      </c>
      <c r="F18" s="752">
        <f>IF('対象者一覧表'!$G$30="","",'対象者一覧表'!$G$30)</f>
      </c>
      <c r="G18" s="740"/>
      <c r="H18" s="741">
        <f t="shared" si="0"/>
      </c>
      <c r="I18" s="1120"/>
      <c r="J18" s="997">
        <f t="shared" si="3"/>
      </c>
      <c r="K18" s="743">
        <f>IF('対象者一覧表'!$G$31="","",'対象者一覧表'!$G$31)</f>
      </c>
      <c r="L18" s="740"/>
      <c r="M18" s="741">
        <f t="shared" si="1"/>
      </c>
      <c r="N18" s="1123"/>
      <c r="O18" s="997">
        <f t="shared" si="4"/>
      </c>
      <c r="P18" s="743">
        <f>IF('対象者一覧表'!$G$32="","",'対象者一覧表'!$G$32)</f>
      </c>
      <c r="Q18" s="740"/>
      <c r="R18" s="741">
        <f t="shared" si="2"/>
      </c>
      <c r="S18" s="1123"/>
      <c r="T18" s="997">
        <f t="shared" si="5"/>
      </c>
      <c r="V18" s="344"/>
    </row>
    <row r="19" spans="1:22" ht="25.5" customHeight="1">
      <c r="A19" s="23"/>
      <c r="B19" s="761"/>
      <c r="C19" s="762" t="s">
        <v>31</v>
      </c>
      <c r="D19" s="762">
        <v>4</v>
      </c>
      <c r="E19" s="762" t="s">
        <v>248</v>
      </c>
      <c r="F19" s="752">
        <f>IF('対象者一覧表'!$G$30="","",'対象者一覧表'!$G$30)</f>
      </c>
      <c r="G19" s="738"/>
      <c r="H19" s="741">
        <f t="shared" si="0"/>
      </c>
      <c r="I19" s="1120"/>
      <c r="J19" s="997">
        <f t="shared" si="3"/>
      </c>
      <c r="K19" s="743">
        <f>IF('対象者一覧表'!$G$31="","",'対象者一覧表'!$G$31)</f>
      </c>
      <c r="L19" s="738"/>
      <c r="M19" s="741">
        <f t="shared" si="1"/>
      </c>
      <c r="N19" s="1123"/>
      <c r="O19" s="997">
        <f t="shared" si="4"/>
      </c>
      <c r="P19" s="743">
        <f>IF('対象者一覧表'!$G$32="","",'対象者一覧表'!$G$32)</f>
      </c>
      <c r="Q19" s="738"/>
      <c r="R19" s="741">
        <f t="shared" si="2"/>
      </c>
      <c r="S19" s="1123"/>
      <c r="T19" s="997">
        <f t="shared" si="5"/>
      </c>
      <c r="V19" s="344"/>
    </row>
    <row r="20" spans="1:20" ht="25.5" customHeight="1" thickBot="1">
      <c r="A20" s="23"/>
      <c r="B20" s="765"/>
      <c r="C20" s="766" t="s">
        <v>31</v>
      </c>
      <c r="D20" s="766"/>
      <c r="E20" s="766" t="s">
        <v>22</v>
      </c>
      <c r="F20" s="796">
        <f>IF('対象者一覧表'!$G$30="","",'対象者一覧表'!$G$30)</f>
      </c>
      <c r="G20" s="797"/>
      <c r="H20" s="804">
        <f t="shared" si="0"/>
      </c>
      <c r="I20" s="1121"/>
      <c r="J20" s="998">
        <f t="shared" si="3"/>
      </c>
      <c r="K20" s="806">
        <f>IF('対象者一覧表'!$G$31="","",'対象者一覧表'!$G$31)</f>
      </c>
      <c r="L20" s="797"/>
      <c r="M20" s="804">
        <f t="shared" si="1"/>
      </c>
      <c r="N20" s="1124"/>
      <c r="O20" s="999">
        <f t="shared" si="4"/>
      </c>
      <c r="P20" s="806">
        <f>IF('対象者一覧表'!$G$32="","",'対象者一覧表'!$G$32)</f>
      </c>
      <c r="Q20" s="797"/>
      <c r="R20" s="804">
        <f t="shared" si="2"/>
      </c>
      <c r="S20" s="1124"/>
      <c r="T20" s="999">
        <f t="shared" si="5"/>
      </c>
    </row>
    <row r="21" spans="1:20" ht="25.5" customHeight="1" thickBot="1">
      <c r="A21" s="23"/>
      <c r="B21" s="767"/>
      <c r="C21" s="768"/>
      <c r="D21" s="768"/>
      <c r="E21" s="769" t="s">
        <v>1</v>
      </c>
      <c r="F21" s="744"/>
      <c r="G21" s="745">
        <f>SUM(G10:G20)</f>
        <v>0</v>
      </c>
      <c r="H21" s="984">
        <f>SUM(H10:H20)</f>
        <v>0</v>
      </c>
      <c r="I21" s="990">
        <f>SUM(I10:I20)</f>
        <v>0</v>
      </c>
      <c r="J21" s="995">
        <f>SUM(J10:J20)</f>
        <v>0</v>
      </c>
      <c r="K21" s="989"/>
      <c r="L21" s="745">
        <f>SUM(L10:L20)</f>
        <v>0</v>
      </c>
      <c r="M21" s="984">
        <f>SUM(M10:M20)</f>
        <v>0</v>
      </c>
      <c r="N21" s="990">
        <f>SUM(N10:N20)</f>
        <v>0</v>
      </c>
      <c r="O21" s="995">
        <f>SUM(O10:O20)</f>
        <v>0</v>
      </c>
      <c r="P21" s="989"/>
      <c r="Q21" s="745">
        <f>SUM(Q10:Q20)</f>
        <v>0</v>
      </c>
      <c r="R21" s="984">
        <f>SUM(R10:R20)</f>
        <v>0</v>
      </c>
      <c r="S21" s="990">
        <f>SUM(S10:S20)</f>
        <v>0</v>
      </c>
      <c r="T21" s="995">
        <f>SUM(T10:T20)</f>
        <v>0</v>
      </c>
    </row>
    <row r="22" spans="1:20" ht="14.25" thickBot="1">
      <c r="A22" s="23"/>
      <c r="B22" s="81"/>
      <c r="C22" s="81"/>
      <c r="D22" s="81"/>
      <c r="E22" s="81"/>
      <c r="F22" s="23"/>
      <c r="G22" s="23"/>
      <c r="H22" s="23"/>
      <c r="I22" s="23"/>
      <c r="J22" s="23"/>
      <c r="K22" s="23"/>
      <c r="L22" s="23"/>
      <c r="M22" s="23"/>
      <c r="N22" s="23"/>
      <c r="O22" s="23"/>
      <c r="P22" s="23"/>
      <c r="Q22" s="23"/>
      <c r="R22" s="23"/>
      <c r="S22" s="23"/>
      <c r="T22" s="23"/>
    </row>
    <row r="23" spans="1:20" ht="34.5" customHeight="1" thickBot="1">
      <c r="A23" s="23"/>
      <c r="B23" s="1305" t="s">
        <v>3</v>
      </c>
      <c r="C23" s="1306"/>
      <c r="D23" s="1306"/>
      <c r="E23" s="1306"/>
      <c r="F23" s="1326">
        <f>'対象者一覧表'!C33</f>
      </c>
      <c r="G23" s="1327"/>
      <c r="H23" s="1327"/>
      <c r="I23" s="1327"/>
      <c r="J23" s="1328"/>
      <c r="K23" s="1329">
        <f>'対象者一覧表'!C34</f>
      </c>
      <c r="L23" s="1327"/>
      <c r="M23" s="1327"/>
      <c r="N23" s="1327"/>
      <c r="O23" s="1328"/>
      <c r="P23" s="1329">
        <f>'対象者一覧表'!C35</f>
      </c>
      <c r="Q23" s="1327"/>
      <c r="R23" s="1327"/>
      <c r="S23" s="1327"/>
      <c r="T23" s="1330"/>
    </row>
    <row r="24" spans="1:20" ht="21" customHeight="1">
      <c r="A24" s="23"/>
      <c r="B24" s="1307"/>
      <c r="C24" s="69"/>
      <c r="D24" s="69"/>
      <c r="E24" s="69"/>
      <c r="F24" s="705" t="s">
        <v>4</v>
      </c>
      <c r="G24" s="706" t="s">
        <v>5</v>
      </c>
      <c r="H24" s="991" t="s">
        <v>6</v>
      </c>
      <c r="I24" s="1299" t="s">
        <v>399</v>
      </c>
      <c r="J24" s="1299" t="s">
        <v>400</v>
      </c>
      <c r="K24" s="992" t="s">
        <v>4</v>
      </c>
      <c r="L24" s="706" t="s">
        <v>5</v>
      </c>
      <c r="M24" s="707" t="s">
        <v>6</v>
      </c>
      <c r="N24" s="1299" t="s">
        <v>399</v>
      </c>
      <c r="O24" s="1299" t="s">
        <v>400</v>
      </c>
      <c r="P24" s="705" t="s">
        <v>4</v>
      </c>
      <c r="Q24" s="706" t="s">
        <v>5</v>
      </c>
      <c r="R24" s="707" t="s">
        <v>6</v>
      </c>
      <c r="S24" s="1299" t="s">
        <v>399</v>
      </c>
      <c r="T24" s="1299" t="s">
        <v>400</v>
      </c>
    </row>
    <row r="25" spans="1:20" ht="13.5">
      <c r="A25" s="23"/>
      <c r="B25" s="1308"/>
      <c r="C25" s="75"/>
      <c r="D25" s="75"/>
      <c r="E25" s="75"/>
      <c r="F25" s="323" t="s">
        <v>7</v>
      </c>
      <c r="G25" s="78" t="s">
        <v>8</v>
      </c>
      <c r="H25" s="986"/>
      <c r="I25" s="1300"/>
      <c r="J25" s="1300"/>
      <c r="K25" s="988" t="s">
        <v>7</v>
      </c>
      <c r="L25" s="78" t="s">
        <v>8</v>
      </c>
      <c r="M25" s="80"/>
      <c r="N25" s="1300"/>
      <c r="O25" s="1300"/>
      <c r="P25" s="323" t="s">
        <v>7</v>
      </c>
      <c r="Q25" s="78" t="s">
        <v>8</v>
      </c>
      <c r="R25" s="80"/>
      <c r="S25" s="1300"/>
      <c r="T25" s="1300"/>
    </row>
    <row r="26" spans="1:20" ht="14.25" customHeight="1" thickBot="1">
      <c r="A26" s="23"/>
      <c r="B26" s="1325"/>
      <c r="C26" s="75"/>
      <c r="D26" s="75"/>
      <c r="E26" s="75"/>
      <c r="F26" s="323" t="s">
        <v>9</v>
      </c>
      <c r="G26" s="78" t="s">
        <v>10</v>
      </c>
      <c r="H26" s="986" t="s">
        <v>11</v>
      </c>
      <c r="I26" s="1300"/>
      <c r="J26" s="1300"/>
      <c r="K26" s="988" t="s">
        <v>9</v>
      </c>
      <c r="L26" s="78" t="s">
        <v>10</v>
      </c>
      <c r="M26" s="80" t="s">
        <v>11</v>
      </c>
      <c r="N26" s="1300"/>
      <c r="O26" s="1300"/>
      <c r="P26" s="323" t="s">
        <v>9</v>
      </c>
      <c r="Q26" s="78" t="s">
        <v>10</v>
      </c>
      <c r="R26" s="80" t="s">
        <v>11</v>
      </c>
      <c r="S26" s="1300"/>
      <c r="T26" s="1300"/>
    </row>
    <row r="27" spans="1:22" ht="26.25" customHeight="1">
      <c r="A27" s="23"/>
      <c r="B27" s="760">
        <v>26</v>
      </c>
      <c r="C27" s="795" t="s">
        <v>31</v>
      </c>
      <c r="D27" s="795">
        <v>7</v>
      </c>
      <c r="E27" s="935" t="s">
        <v>32</v>
      </c>
      <c r="F27" s="756">
        <f>IF('対象者一覧表'!$G$33="","",'対象者一覧表'!$G$33)</f>
      </c>
      <c r="G27" s="750"/>
      <c r="H27" s="801">
        <f aca="true" t="shared" si="6" ref="H27:H37">IF(F27="","",ROUNDDOWN((G27*F27),0))</f>
      </c>
      <c r="I27" s="1122"/>
      <c r="J27" s="996">
        <f>IF(F27="","",MIN(H27,I27))</f>
      </c>
      <c r="K27" s="803">
        <f>IF('対象者一覧表'!$G$34="","",'対象者一覧表'!$G$34)</f>
      </c>
      <c r="L27" s="750"/>
      <c r="M27" s="758">
        <f aca="true" t="shared" si="7" ref="M27:M37">IF(K27="","",ROUNDDOWN((L27*K27),0))</f>
      </c>
      <c r="N27" s="1125"/>
      <c r="O27" s="1000">
        <f>IF(K27="","",MIN(M27,N27))</f>
      </c>
      <c r="P27" s="756">
        <f>IF('対象者一覧表'!$G$35="","",'対象者一覧表'!$G$35)</f>
      </c>
      <c r="Q27" s="750"/>
      <c r="R27" s="758">
        <f aca="true" t="shared" si="8" ref="R27:R37">IF(P27="","",ROUNDDOWN((Q27*P27),0))</f>
      </c>
      <c r="S27" s="1125"/>
      <c r="T27" s="802">
        <f>IF(P27="","",MIN(R27,S27))</f>
      </c>
      <c r="V27" s="2"/>
    </row>
    <row r="28" spans="1:22" ht="26.25" customHeight="1">
      <c r="A28" s="23"/>
      <c r="B28" s="761"/>
      <c r="C28" s="762" t="s">
        <v>31</v>
      </c>
      <c r="D28" s="762">
        <v>8</v>
      </c>
      <c r="E28" s="936" t="s">
        <v>32</v>
      </c>
      <c r="F28" s="749">
        <f>IF('対象者一覧表'!$G$33="","",'対象者一覧表'!$G$33)</f>
      </c>
      <c r="G28" s="740"/>
      <c r="H28" s="741">
        <f t="shared" si="6"/>
      </c>
      <c r="I28" s="1123"/>
      <c r="J28" s="997">
        <f aca="true" t="shared" si="9" ref="J28:J37">IF(F28="","",MIN(H28,I28))</f>
      </c>
      <c r="K28" s="743">
        <f>IF('対象者一覧表'!$G$34="","",'対象者一覧表'!$G$34)</f>
      </c>
      <c r="L28" s="740"/>
      <c r="M28" s="751">
        <f t="shared" si="7"/>
      </c>
      <c r="N28" s="1126"/>
      <c r="O28" s="1002">
        <f aca="true" t="shared" si="10" ref="O28:O37">IF(K28="","",MIN(M28,N28))</f>
      </c>
      <c r="P28" s="752">
        <f>IF('対象者一覧表'!$G$35="","",'対象者一覧表'!$G$35)</f>
      </c>
      <c r="Q28" s="740"/>
      <c r="R28" s="751">
        <f t="shared" si="8"/>
      </c>
      <c r="S28" s="1126"/>
      <c r="T28" s="742">
        <f aca="true" t="shared" si="11" ref="T28:T37">IF(P28="","",MIN(R28,S28))</f>
      </c>
      <c r="V28" s="2"/>
    </row>
    <row r="29" spans="1:22" ht="26.25" customHeight="1">
      <c r="A29" s="23"/>
      <c r="B29" s="761"/>
      <c r="C29" s="762" t="s">
        <v>31</v>
      </c>
      <c r="D29" s="762">
        <v>9</v>
      </c>
      <c r="E29" s="936" t="s">
        <v>32</v>
      </c>
      <c r="F29" s="749">
        <f>IF('対象者一覧表'!$G$33="","",'対象者一覧表'!$G$33)</f>
      </c>
      <c r="G29" s="740"/>
      <c r="H29" s="741">
        <f t="shared" si="6"/>
      </c>
      <c r="I29" s="1123"/>
      <c r="J29" s="997">
        <f t="shared" si="9"/>
      </c>
      <c r="K29" s="993">
        <f>IF('対象者一覧表'!$G$34="","",'対象者一覧表'!$G$34)</f>
      </c>
      <c r="L29" s="740"/>
      <c r="M29" s="751">
        <f t="shared" si="7"/>
      </c>
      <c r="N29" s="1126"/>
      <c r="O29" s="1001">
        <f t="shared" si="10"/>
      </c>
      <c r="P29" s="749">
        <f>IF('対象者一覧表'!$G$35="","",'対象者一覧表'!$G$35)</f>
      </c>
      <c r="Q29" s="740"/>
      <c r="R29" s="751">
        <f t="shared" si="8"/>
      </c>
      <c r="S29" s="1126"/>
      <c r="T29" s="742">
        <f t="shared" si="11"/>
      </c>
      <c r="V29" s="99"/>
    </row>
    <row r="30" spans="1:20" ht="26.25" customHeight="1">
      <c r="A30" s="23"/>
      <c r="B30" s="761"/>
      <c r="C30" s="762" t="s">
        <v>31</v>
      </c>
      <c r="D30" s="762">
        <v>10</v>
      </c>
      <c r="E30" s="936" t="s">
        <v>32</v>
      </c>
      <c r="F30" s="749">
        <f>IF('対象者一覧表'!$G$33="","",'対象者一覧表'!$G$33)</f>
      </c>
      <c r="G30" s="738"/>
      <c r="H30" s="741">
        <f t="shared" si="6"/>
      </c>
      <c r="I30" s="1123"/>
      <c r="J30" s="997">
        <f t="shared" si="9"/>
      </c>
      <c r="K30" s="743">
        <f>IF('対象者一覧表'!$G$34="","",'対象者一覧表'!$G$34)</f>
      </c>
      <c r="L30" s="738"/>
      <c r="M30" s="751">
        <f t="shared" si="7"/>
      </c>
      <c r="N30" s="1126"/>
      <c r="O30" s="1001">
        <f t="shared" si="10"/>
      </c>
      <c r="P30" s="752">
        <f>IF('対象者一覧表'!$G$35="","",'対象者一覧表'!$G$35)</f>
      </c>
      <c r="Q30" s="738"/>
      <c r="R30" s="751">
        <f t="shared" si="8"/>
      </c>
      <c r="S30" s="1126"/>
      <c r="T30" s="742">
        <f t="shared" si="11"/>
      </c>
    </row>
    <row r="31" spans="1:20" ht="26.25" customHeight="1">
      <c r="A31" s="23"/>
      <c r="B31" s="763"/>
      <c r="C31" s="764" t="s">
        <v>31</v>
      </c>
      <c r="D31" s="764">
        <v>11</v>
      </c>
      <c r="E31" s="936" t="s">
        <v>22</v>
      </c>
      <c r="F31" s="749">
        <f>IF('対象者一覧表'!$G$33="","",'対象者一覧表'!$G$33)</f>
      </c>
      <c r="G31" s="740"/>
      <c r="H31" s="741">
        <f t="shared" si="6"/>
      </c>
      <c r="I31" s="1123"/>
      <c r="J31" s="997">
        <f t="shared" si="9"/>
      </c>
      <c r="K31" s="993">
        <f>IF('対象者一覧表'!$G$34="","",'対象者一覧表'!$G$34)</f>
      </c>
      <c r="L31" s="740"/>
      <c r="M31" s="751">
        <f t="shared" si="7"/>
      </c>
      <c r="N31" s="1126"/>
      <c r="O31" s="1001">
        <f t="shared" si="10"/>
      </c>
      <c r="P31" s="749">
        <f>IF('対象者一覧表'!$G$35="","",'対象者一覧表'!$G$35)</f>
      </c>
      <c r="Q31" s="740"/>
      <c r="R31" s="751">
        <f t="shared" si="8"/>
      </c>
      <c r="S31" s="1126"/>
      <c r="T31" s="742">
        <f t="shared" si="11"/>
      </c>
    </row>
    <row r="32" spans="1:20" ht="26.25" customHeight="1">
      <c r="A32" s="23"/>
      <c r="B32" s="761"/>
      <c r="C32" s="762" t="s">
        <v>31</v>
      </c>
      <c r="D32" s="762">
        <v>12</v>
      </c>
      <c r="E32" s="936" t="s">
        <v>22</v>
      </c>
      <c r="F32" s="749">
        <f>IF('対象者一覧表'!$G$33="","",'対象者一覧表'!$G$33)</f>
      </c>
      <c r="G32" s="740"/>
      <c r="H32" s="741">
        <f t="shared" si="6"/>
      </c>
      <c r="I32" s="1123"/>
      <c r="J32" s="997">
        <f t="shared" si="9"/>
      </c>
      <c r="K32" s="743">
        <f>IF('対象者一覧表'!$G$34="","",'対象者一覧表'!$G$34)</f>
      </c>
      <c r="L32" s="740"/>
      <c r="M32" s="751">
        <f t="shared" si="7"/>
      </c>
      <c r="N32" s="1126"/>
      <c r="O32" s="1001">
        <f t="shared" si="10"/>
      </c>
      <c r="P32" s="752">
        <f>IF('対象者一覧表'!$G$35="","",'対象者一覧表'!$G$35)</f>
      </c>
      <c r="Q32" s="740"/>
      <c r="R32" s="751">
        <f t="shared" si="8"/>
      </c>
      <c r="S32" s="1126"/>
      <c r="T32" s="742">
        <f t="shared" si="11"/>
      </c>
    </row>
    <row r="33" spans="1:20" ht="26.25" customHeight="1">
      <c r="A33" s="23"/>
      <c r="B33" s="761">
        <v>27</v>
      </c>
      <c r="C33" s="762" t="s">
        <v>31</v>
      </c>
      <c r="D33" s="762">
        <v>1</v>
      </c>
      <c r="E33" s="936" t="s">
        <v>22</v>
      </c>
      <c r="F33" s="749">
        <f>IF('対象者一覧表'!$G$33="","",'対象者一覧表'!$G$33)</f>
      </c>
      <c r="G33" s="740"/>
      <c r="H33" s="741">
        <f t="shared" si="6"/>
      </c>
      <c r="I33" s="1123"/>
      <c r="J33" s="997">
        <f t="shared" si="9"/>
      </c>
      <c r="K33" s="993">
        <f>IF('対象者一覧表'!$G$34="","",'対象者一覧表'!$G$34)</f>
      </c>
      <c r="L33" s="740"/>
      <c r="M33" s="751">
        <f t="shared" si="7"/>
      </c>
      <c r="N33" s="1126"/>
      <c r="O33" s="1001">
        <f t="shared" si="10"/>
      </c>
      <c r="P33" s="749">
        <f>IF('対象者一覧表'!$G$35="","",'対象者一覧表'!$G$35)</f>
      </c>
      <c r="Q33" s="740"/>
      <c r="R33" s="751">
        <f t="shared" si="8"/>
      </c>
      <c r="S33" s="1126"/>
      <c r="T33" s="742">
        <f t="shared" si="11"/>
      </c>
    </row>
    <row r="34" spans="1:20" ht="26.25" customHeight="1">
      <c r="A34" s="23"/>
      <c r="B34" s="761"/>
      <c r="C34" s="762" t="s">
        <v>31</v>
      </c>
      <c r="D34" s="762">
        <v>2</v>
      </c>
      <c r="E34" s="936" t="s">
        <v>22</v>
      </c>
      <c r="F34" s="749">
        <f>IF('対象者一覧表'!$G$33="","",'対象者一覧表'!$G$33)</f>
      </c>
      <c r="G34" s="740"/>
      <c r="H34" s="741">
        <f t="shared" si="6"/>
      </c>
      <c r="I34" s="1123"/>
      <c r="J34" s="997">
        <f t="shared" si="9"/>
      </c>
      <c r="K34" s="743">
        <f>IF('対象者一覧表'!$G$34="","",'対象者一覧表'!$G$34)</f>
      </c>
      <c r="L34" s="740"/>
      <c r="M34" s="751">
        <f t="shared" si="7"/>
      </c>
      <c r="N34" s="1126"/>
      <c r="O34" s="1001">
        <f t="shared" si="10"/>
      </c>
      <c r="P34" s="752">
        <f>IF('対象者一覧表'!$G$35="","",'対象者一覧表'!$G$35)</f>
      </c>
      <c r="Q34" s="740"/>
      <c r="R34" s="751">
        <f t="shared" si="8"/>
      </c>
      <c r="S34" s="1126"/>
      <c r="T34" s="742">
        <f t="shared" si="11"/>
      </c>
    </row>
    <row r="35" spans="1:20" ht="26.25" customHeight="1">
      <c r="A35" s="23"/>
      <c r="B35" s="761"/>
      <c r="C35" s="762" t="s">
        <v>31</v>
      </c>
      <c r="D35" s="762">
        <v>3</v>
      </c>
      <c r="E35" s="936" t="s">
        <v>332</v>
      </c>
      <c r="F35" s="749">
        <f>IF('対象者一覧表'!$G$33="","",'対象者一覧表'!$G$33)</f>
      </c>
      <c r="G35" s="740"/>
      <c r="H35" s="741">
        <f t="shared" si="6"/>
      </c>
      <c r="I35" s="1123"/>
      <c r="J35" s="997">
        <f t="shared" si="9"/>
      </c>
      <c r="K35" s="993">
        <f>IF('対象者一覧表'!$G$34="","",'対象者一覧表'!$G$34)</f>
      </c>
      <c r="L35" s="740"/>
      <c r="M35" s="751">
        <f t="shared" si="7"/>
      </c>
      <c r="N35" s="1126"/>
      <c r="O35" s="1001">
        <f t="shared" si="10"/>
      </c>
      <c r="P35" s="749">
        <f>IF('対象者一覧表'!$G$35="","",'対象者一覧表'!$G$35)</f>
      </c>
      <c r="Q35" s="740"/>
      <c r="R35" s="751">
        <f t="shared" si="8"/>
      </c>
      <c r="S35" s="1126"/>
      <c r="T35" s="742">
        <f t="shared" si="11"/>
      </c>
    </row>
    <row r="36" spans="1:20" ht="26.25" customHeight="1">
      <c r="A36" s="23"/>
      <c r="B36" s="761"/>
      <c r="C36" s="762" t="s">
        <v>31</v>
      </c>
      <c r="D36" s="762">
        <v>4</v>
      </c>
      <c r="E36" s="936" t="s">
        <v>332</v>
      </c>
      <c r="F36" s="749">
        <f>IF('対象者一覧表'!$G$33="","",'対象者一覧表'!$G$33)</f>
      </c>
      <c r="G36" s="738"/>
      <c r="H36" s="741">
        <f t="shared" si="6"/>
      </c>
      <c r="I36" s="1123"/>
      <c r="J36" s="997">
        <f t="shared" si="9"/>
      </c>
      <c r="K36" s="743">
        <f>IF('対象者一覧表'!$G$34="","",'対象者一覧表'!$G$34)</f>
      </c>
      <c r="L36" s="738"/>
      <c r="M36" s="751">
        <f t="shared" si="7"/>
      </c>
      <c r="N36" s="1126"/>
      <c r="O36" s="1001">
        <f t="shared" si="10"/>
      </c>
      <c r="P36" s="752">
        <f>IF('対象者一覧表'!$G$35="","",'対象者一覧表'!$G$35)</f>
      </c>
      <c r="Q36" s="738"/>
      <c r="R36" s="751">
        <f t="shared" si="8"/>
      </c>
      <c r="S36" s="1126"/>
      <c r="T36" s="742">
        <f t="shared" si="11"/>
      </c>
    </row>
    <row r="37" spans="1:20" ht="26.25" customHeight="1" thickBot="1">
      <c r="A37" s="23"/>
      <c r="B37" s="765"/>
      <c r="C37" s="766" t="s">
        <v>31</v>
      </c>
      <c r="D37" s="766"/>
      <c r="E37" s="937" t="s">
        <v>22</v>
      </c>
      <c r="F37" s="800">
        <f>IF('対象者一覧表'!$G$33="","",'対象者一覧表'!$G$33)</f>
      </c>
      <c r="G37" s="797"/>
      <c r="H37" s="804">
        <f t="shared" si="6"/>
      </c>
      <c r="I37" s="1124"/>
      <c r="J37" s="999">
        <f t="shared" si="9"/>
      </c>
      <c r="K37" s="994">
        <f>IF('対象者一覧表'!$G$34="","",'対象者一覧表'!$G$34)</f>
      </c>
      <c r="L37" s="797"/>
      <c r="M37" s="799">
        <f t="shared" si="7"/>
      </c>
      <c r="N37" s="1127"/>
      <c r="O37" s="1003">
        <f t="shared" si="10"/>
      </c>
      <c r="P37" s="800">
        <f>IF('対象者一覧表'!$G$35="","",'対象者一覧表'!$G$35)</f>
      </c>
      <c r="Q37" s="797"/>
      <c r="R37" s="799">
        <f t="shared" si="8"/>
      </c>
      <c r="S37" s="1127"/>
      <c r="T37" s="805">
        <f t="shared" si="11"/>
      </c>
    </row>
    <row r="38" spans="1:20" ht="26.25" customHeight="1" thickBot="1">
      <c r="A38" s="23"/>
      <c r="B38" s="770"/>
      <c r="C38" s="771"/>
      <c r="D38" s="771"/>
      <c r="E38" s="772" t="s">
        <v>1</v>
      </c>
      <c r="F38" s="744"/>
      <c r="G38" s="745">
        <f>SUM(G27:G37)</f>
        <v>0</v>
      </c>
      <c r="H38" s="984">
        <f>SUM(H27:H37)</f>
        <v>0</v>
      </c>
      <c r="I38" s="990">
        <f>SUM(I27:I37)</f>
        <v>0</v>
      </c>
      <c r="J38" s="995">
        <f>SUM(J27:J37)</f>
        <v>0</v>
      </c>
      <c r="K38" s="989"/>
      <c r="L38" s="745">
        <f>SUM(L27:L37)</f>
        <v>0</v>
      </c>
      <c r="M38" s="746">
        <f>SUM(M27:M37)</f>
        <v>0</v>
      </c>
      <c r="N38" s="984">
        <f>SUM(N27:N37)</f>
        <v>0</v>
      </c>
      <c r="O38" s="995">
        <f>SUM(O27:O37)</f>
        <v>0</v>
      </c>
      <c r="P38" s="747"/>
      <c r="Q38" s="745">
        <f>SUM(Q27:Q37)</f>
        <v>0</v>
      </c>
      <c r="R38" s="746">
        <f>SUM(R27:R37)</f>
        <v>0</v>
      </c>
      <c r="S38" s="746">
        <f>SUM(S27:S37)</f>
        <v>0</v>
      </c>
      <c r="T38" s="748">
        <f>SUM(T27:T37)</f>
        <v>0</v>
      </c>
    </row>
    <row r="39" spans="1:20" ht="14.25" thickBot="1">
      <c r="A39" s="23"/>
      <c r="B39" s="82"/>
      <c r="C39" s="82"/>
      <c r="D39" s="82"/>
      <c r="E39" s="82"/>
      <c r="F39" s="348"/>
      <c r="G39" s="348"/>
      <c r="H39" s="348"/>
      <c r="I39" s="348"/>
      <c r="J39" s="348"/>
      <c r="K39" s="348"/>
      <c r="L39" s="348"/>
      <c r="M39" s="348"/>
      <c r="N39" s="348"/>
      <c r="O39" s="348"/>
      <c r="P39" s="348"/>
      <c r="Q39" s="348"/>
      <c r="R39" s="348"/>
      <c r="S39" s="348"/>
      <c r="T39" s="348"/>
    </row>
    <row r="40" spans="1:20" ht="25.5" customHeight="1" thickBot="1">
      <c r="A40" s="23"/>
      <c r="B40" s="1301" t="s">
        <v>340</v>
      </c>
      <c r="C40" s="1302"/>
      <c r="D40" s="1302"/>
      <c r="E40" s="1302"/>
      <c r="F40" s="753"/>
      <c r="G40" s="754">
        <f>J21+O21+T21+J38+O38+T38</f>
        <v>0</v>
      </c>
      <c r="H40" s="755" t="s">
        <v>12</v>
      </c>
      <c r="I40" s="983"/>
      <c r="J40" s="683"/>
      <c r="K40" s="348"/>
      <c r="L40" s="348"/>
      <c r="M40" s="348"/>
      <c r="N40" s="348"/>
      <c r="O40" s="348"/>
      <c r="P40" s="348"/>
      <c r="Q40" s="348"/>
      <c r="R40" s="348"/>
      <c r="S40" s="348"/>
      <c r="T40" s="348"/>
    </row>
    <row r="41" spans="1:20" ht="25.5" customHeight="1" thickBot="1">
      <c r="A41" s="23"/>
      <c r="B41" s="1301" t="s">
        <v>341</v>
      </c>
      <c r="C41" s="1302"/>
      <c r="D41" s="1302"/>
      <c r="E41" s="1302"/>
      <c r="F41" s="753"/>
      <c r="G41" s="754">
        <f>G40+'様式第６の別紙２　直接人件費支出明細書(1)'!G40</f>
        <v>0</v>
      </c>
      <c r="H41" s="755" t="s">
        <v>12</v>
      </c>
      <c r="I41" s="983"/>
      <c r="J41" s="683"/>
      <c r="K41" s="348"/>
      <c r="L41" s="348"/>
      <c r="M41" s="348"/>
      <c r="N41" s="348"/>
      <c r="O41" s="348"/>
      <c r="P41" s="348"/>
      <c r="Q41" s="348"/>
      <c r="R41" s="348"/>
      <c r="S41" s="348"/>
      <c r="T41" s="348"/>
    </row>
    <row r="42" spans="1:20" ht="13.5">
      <c r="A42" s="23"/>
      <c r="B42" s="708"/>
      <c r="C42" s="708"/>
      <c r="D42" s="708"/>
      <c r="E42" s="708"/>
      <c r="F42" s="83"/>
      <c r="G42" s="83"/>
      <c r="H42" s="84"/>
      <c r="I42" s="84"/>
      <c r="J42" s="84"/>
      <c r="K42" s="23"/>
      <c r="L42" s="23"/>
      <c r="M42" s="23"/>
      <c r="N42" s="23"/>
      <c r="O42" s="23"/>
      <c r="P42" s="23"/>
      <c r="Q42" s="23"/>
      <c r="R42" s="23"/>
      <c r="S42" s="23"/>
      <c r="T42" s="23"/>
    </row>
    <row r="43" ht="13.5">
      <c r="B43" s="591" t="s">
        <v>454</v>
      </c>
    </row>
    <row r="44" spans="2:12" ht="13.5">
      <c r="B44" s="591" t="s">
        <v>323</v>
      </c>
      <c r="L44" s="648"/>
    </row>
    <row r="45" spans="2:12" ht="13.5">
      <c r="B45" s="591" t="s">
        <v>320</v>
      </c>
      <c r="C45" s="591" t="s">
        <v>321</v>
      </c>
      <c r="L45" s="648"/>
    </row>
    <row r="46" spans="2:21" ht="13.5">
      <c r="B46" s="591" t="s">
        <v>401</v>
      </c>
      <c r="C46" s="10"/>
      <c r="D46" s="10"/>
      <c r="E46" s="10"/>
      <c r="F46" s="10"/>
      <c r="G46" s="10"/>
      <c r="H46" s="10"/>
      <c r="I46" s="10"/>
      <c r="J46" s="10"/>
      <c r="K46" s="682"/>
      <c r="L46" s="10"/>
      <c r="M46" s="10"/>
      <c r="N46" s="10"/>
      <c r="O46" s="10"/>
      <c r="P46" s="10"/>
      <c r="Q46" s="10"/>
      <c r="R46" s="10"/>
      <c r="S46" s="10"/>
      <c r="T46" s="10"/>
      <c r="U46" s="10"/>
    </row>
    <row r="47" spans="2:12" ht="13.5">
      <c r="B47" s="591" t="s">
        <v>322</v>
      </c>
      <c r="L47" s="648"/>
    </row>
  </sheetData>
  <sheetProtection/>
  <mergeCells count="27">
    <mergeCell ref="P6:T6"/>
    <mergeCell ref="I7:I9"/>
    <mergeCell ref="I24:I26"/>
    <mergeCell ref="N7:N9"/>
    <mergeCell ref="S7:S9"/>
    <mergeCell ref="O24:O26"/>
    <mergeCell ref="S24:S26"/>
    <mergeCell ref="B23:E23"/>
    <mergeCell ref="B41:E41"/>
    <mergeCell ref="F23:J23"/>
    <mergeCell ref="K23:O23"/>
    <mergeCell ref="P23:T23"/>
    <mergeCell ref="A1:E1"/>
    <mergeCell ref="C2:F2"/>
    <mergeCell ref="B6:E6"/>
    <mergeCell ref="F6:J6"/>
    <mergeCell ref="K6:O6"/>
    <mergeCell ref="R4:T4"/>
    <mergeCell ref="B24:B26"/>
    <mergeCell ref="J24:J26"/>
    <mergeCell ref="N24:N26"/>
    <mergeCell ref="T24:T26"/>
    <mergeCell ref="B40:E40"/>
    <mergeCell ref="B7:B9"/>
    <mergeCell ref="J7:J9"/>
    <mergeCell ref="O7:O9"/>
    <mergeCell ref="T7:T9"/>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7" r:id="rId1"/>
  <colBreaks count="1" manualBreakCount="1">
    <brk id="21" max="65535" man="1"/>
  </colBreaks>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S2" sqref="S2:U2"/>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IF('対象者一覧表'!E7="","",'対象者一覧表'!E7)</f>
      </c>
      <c r="T3" s="1365"/>
      <c r="U3" s="1056">
        <f>IF('対象者一覧表'!F7="","",'対象者一覧表'!F7)</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IF('対象者一覧表'!D7="","",'対象者一覧表'!D7)</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IF('対象者一覧表'!H7="","",'対象者一覧表'!H7)</f>
      </c>
      <c r="T5" s="1367"/>
      <c r="U5" s="541">
        <f>IF(S5="","",DATEDIF(S5,D7,"Y"))</f>
      </c>
      <c r="V5" s="556"/>
      <c r="W5" s="556"/>
      <c r="X5" s="556"/>
      <c r="Y5" s="556"/>
      <c r="Z5" s="556"/>
      <c r="AA5" s="556"/>
      <c r="AB5" s="556"/>
      <c r="AC5" s="556"/>
      <c r="AD5" s="542"/>
      <c r="AE5" s="58"/>
      <c r="AF5" s="58"/>
      <c r="AG5" s="58"/>
      <c r="AH5" s="58"/>
    </row>
    <row r="6" spans="1:3" ht="15" customHeight="1" thickBot="1">
      <c r="A6" s="1355"/>
      <c r="B6" s="1355"/>
      <c r="C6" s="46"/>
    </row>
    <row r="7" spans="1:25" ht="15" customHeight="1" thickBot="1">
      <c r="A7" s="553" t="s">
        <v>81</v>
      </c>
      <c r="B7" s="1361" t="s">
        <v>82</v>
      </c>
      <c r="C7" s="1362"/>
      <c r="D7" s="724">
        <v>41394</v>
      </c>
      <c r="E7" s="560" t="s">
        <v>369</v>
      </c>
      <c r="F7" s="560" t="s">
        <v>371</v>
      </c>
      <c r="G7" s="560" t="s">
        <v>83</v>
      </c>
      <c r="H7" s="560" t="s">
        <v>373</v>
      </c>
      <c r="I7" s="560" t="s">
        <v>375</v>
      </c>
      <c r="J7" s="560" t="s">
        <v>376</v>
      </c>
      <c r="K7" s="560" t="s">
        <v>377</v>
      </c>
      <c r="L7" s="560" t="s">
        <v>378</v>
      </c>
      <c r="M7" s="560" t="s">
        <v>380</v>
      </c>
      <c r="N7" s="709" t="s">
        <v>83</v>
      </c>
      <c r="O7" s="716">
        <v>41670</v>
      </c>
      <c r="P7" s="560" t="s">
        <v>233</v>
      </c>
      <c r="Q7" s="560" t="s">
        <v>234</v>
      </c>
      <c r="R7" s="560" t="s">
        <v>366</v>
      </c>
      <c r="S7" s="560" t="s">
        <v>235</v>
      </c>
      <c r="T7" s="709" t="s">
        <v>183</v>
      </c>
      <c r="U7" s="709" t="s">
        <v>371</v>
      </c>
      <c r="V7" s="560" t="s">
        <v>387</v>
      </c>
      <c r="W7" s="560" t="s">
        <v>388</v>
      </c>
      <c r="X7" s="709" t="s">
        <v>389</v>
      </c>
      <c r="Y7" s="553" t="s">
        <v>56</v>
      </c>
    </row>
    <row r="8" spans="1:25" ht="17.25" customHeight="1">
      <c r="A8" s="568" t="s">
        <v>237</v>
      </c>
      <c r="B8" s="1359" t="s">
        <v>238</v>
      </c>
      <c r="C8" s="1360"/>
      <c r="D8" s="725">
        <v>200000</v>
      </c>
      <c r="E8" s="561">
        <v>200000</v>
      </c>
      <c r="F8" s="725">
        <v>200000</v>
      </c>
      <c r="G8" s="561">
        <v>200000</v>
      </c>
      <c r="H8" s="725">
        <v>200000</v>
      </c>
      <c r="I8" s="561">
        <v>200000</v>
      </c>
      <c r="J8" s="725">
        <v>200000</v>
      </c>
      <c r="K8" s="561">
        <v>200000</v>
      </c>
      <c r="L8" s="725">
        <v>200000</v>
      </c>
      <c r="M8" s="561">
        <v>200000</v>
      </c>
      <c r="N8" s="725">
        <v>200000</v>
      </c>
      <c r="O8" s="561">
        <v>200000</v>
      </c>
      <c r="P8" s="725">
        <v>200000</v>
      </c>
      <c r="Q8" s="561">
        <v>200000</v>
      </c>
      <c r="R8" s="561"/>
      <c r="S8" s="561"/>
      <c r="T8" s="710"/>
      <c r="U8" s="561"/>
      <c r="V8" s="561"/>
      <c r="W8" s="561"/>
      <c r="X8" s="710"/>
      <c r="Y8" s="779">
        <f>SUM(D8:X8)</f>
        <v>2800000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6"/>
      <c r="W9" s="1006"/>
      <c r="X9" s="1009"/>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6"/>
      <c r="W10" s="1006"/>
      <c r="X10" s="1009"/>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6"/>
      <c r="W11" s="1006"/>
      <c r="X11" s="1009"/>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6"/>
      <c r="W12" s="1006"/>
      <c r="X12" s="1009"/>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6"/>
      <c r="W13" s="1006"/>
      <c r="X13" s="1009"/>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6"/>
      <c r="W14" s="1006"/>
      <c r="X14" s="1009"/>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6"/>
      <c r="W15" s="1006"/>
      <c r="X15" s="1009"/>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6"/>
      <c r="W16" s="1006"/>
      <c r="X16" s="1009"/>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6"/>
      <c r="W17" s="1006"/>
      <c r="X17" s="1009"/>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6"/>
      <c r="W18" s="1006"/>
      <c r="X18" s="1009"/>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07"/>
      <c r="W19" s="1007"/>
      <c r="X19" s="1010"/>
      <c r="Y19" s="1019">
        <f t="shared" si="0"/>
        <v>0</v>
      </c>
    </row>
    <row r="20" spans="1:26" ht="17.25" customHeight="1">
      <c r="A20" s="571"/>
      <c r="B20" s="1336" t="s">
        <v>91</v>
      </c>
      <c r="C20" s="1337"/>
      <c r="D20" s="776">
        <f aca="true" t="shared" si="1" ref="D20:I20">SUM(D8:D19)</f>
        <v>200000</v>
      </c>
      <c r="E20" s="544">
        <f t="shared" si="1"/>
        <v>200000</v>
      </c>
      <c r="F20" s="544">
        <f t="shared" si="1"/>
        <v>200000</v>
      </c>
      <c r="G20" s="544">
        <f t="shared" si="1"/>
        <v>200000</v>
      </c>
      <c r="H20" s="544">
        <f t="shared" si="1"/>
        <v>200000</v>
      </c>
      <c r="I20" s="544">
        <f t="shared" si="1"/>
        <v>200000</v>
      </c>
      <c r="J20" s="544">
        <f aca="true" t="shared" si="2" ref="J20:X20">SUM(J8:J19)</f>
        <v>200000</v>
      </c>
      <c r="K20" s="544">
        <f t="shared" si="2"/>
        <v>200000</v>
      </c>
      <c r="L20" s="544">
        <f t="shared" si="2"/>
        <v>200000</v>
      </c>
      <c r="M20" s="544">
        <f t="shared" si="2"/>
        <v>200000</v>
      </c>
      <c r="N20" s="713">
        <f t="shared" si="2"/>
        <v>200000</v>
      </c>
      <c r="O20" s="544">
        <f t="shared" si="2"/>
        <v>200000</v>
      </c>
      <c r="P20" s="544">
        <f t="shared" si="2"/>
        <v>200000</v>
      </c>
      <c r="Q20" s="544">
        <f t="shared" si="2"/>
        <v>200000</v>
      </c>
      <c r="R20" s="544">
        <f t="shared" si="2"/>
        <v>0</v>
      </c>
      <c r="S20" s="544">
        <f t="shared" si="2"/>
        <v>0</v>
      </c>
      <c r="T20" s="713">
        <f t="shared" si="2"/>
        <v>0</v>
      </c>
      <c r="U20" s="713">
        <f t="shared" si="2"/>
        <v>0</v>
      </c>
      <c r="V20" s="1015">
        <f t="shared" si="2"/>
        <v>0</v>
      </c>
      <c r="W20" s="713">
        <f t="shared" si="2"/>
        <v>0</v>
      </c>
      <c r="X20" s="713">
        <f t="shared" si="2"/>
        <v>0</v>
      </c>
      <c r="Y20" s="1020">
        <f>SUM(D20:X20)</f>
        <v>2800000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16"/>
      <c r="W21" s="566"/>
      <c r="X21" s="1011"/>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17"/>
      <c r="W22" s="1008"/>
      <c r="X22" s="1012"/>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369</v>
      </c>
      <c r="F25" s="560" t="s">
        <v>371</v>
      </c>
      <c r="G25" s="560" t="s">
        <v>83</v>
      </c>
      <c r="H25" s="560" t="s">
        <v>373</v>
      </c>
      <c r="I25" s="560" t="s">
        <v>375</v>
      </c>
      <c r="J25" s="560" t="s">
        <v>376</v>
      </c>
      <c r="K25" s="560" t="s">
        <v>377</v>
      </c>
      <c r="L25" s="560" t="s">
        <v>378</v>
      </c>
      <c r="M25" s="560" t="s">
        <v>380</v>
      </c>
      <c r="N25" s="709" t="s">
        <v>83</v>
      </c>
      <c r="O25" s="716">
        <v>41670</v>
      </c>
      <c r="P25" s="560" t="s">
        <v>233</v>
      </c>
      <c r="Q25" s="560" t="s">
        <v>234</v>
      </c>
      <c r="R25" s="560" t="s">
        <v>366</v>
      </c>
      <c r="S25" s="560" t="s">
        <v>235</v>
      </c>
      <c r="T25" s="560" t="s">
        <v>183</v>
      </c>
      <c r="U25" s="560" t="s">
        <v>371</v>
      </c>
      <c r="V25" s="560" t="s">
        <v>387</v>
      </c>
      <c r="W25" s="560" t="s">
        <v>373</v>
      </c>
      <c r="X25" s="709" t="s">
        <v>390</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v>9970</v>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v>9970</v>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730">
        <f>IF(U21=0,"",ROUND(LOOKUP(U21,'2409'!$D$15:$E$61,'2409'!$C$15:$C$61)*$C$26/1000,0))</f>
      </c>
      <c r="V26" s="563">
        <f>IF(V20=0,"",ROUND((ROUNDDOWN(V20,-3)*$C$26/1000),0))</f>
      </c>
      <c r="W26" s="730">
        <f>IF(W21=0,"",ROUND(LOOKUP(W21,'2409'!$D$15:$E$61,'2409'!$C$15:$C$61)*$C$26/1000,0))</f>
      </c>
      <c r="X26" s="1053">
        <f>IF(X21=0,"",ROUND(LOOKUP(X21,'2409'!$D$15:$E$61,'2409'!$C$15:$C$61)*$C$26/1000,0))</f>
      </c>
      <c r="Y26" s="557">
        <f>SUM(D26:X26)</f>
        <v>19940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v>0</v>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v>0</v>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731">
        <f>IF(U21=0,"",ROUND(LOOKUP(U21,'2409'!$D$15:$E$61,'2409'!$C$15:$C$61)*$C$27/1000,0))</f>
      </c>
      <c r="V27" s="341">
        <f>IF(V20=0,"",ROUND((ROUNDDOWN(V20,-3)*$C$27/1000),0))</f>
      </c>
      <c r="W27" s="731">
        <f>IF(W21=0,"",ROUND(LOOKUP(W21,'2409'!$D$15:$E$61,'2409'!$C$15:$C$61)*$C$27/1000,0))</f>
      </c>
      <c r="X27" s="1054">
        <f>IF(X21=0,"",ROUND(LOOKUP(X21,'2409'!$D$15:$E$61,'2409'!$C$15:$C$61)*$C$27/1000,0))</f>
      </c>
      <c r="Y27" s="557">
        <f aca="true" t="shared" si="3" ref="Y27:Y39">SUM(D27:X27)</f>
        <v>0</v>
      </c>
    </row>
    <row r="28" spans="1:25" ht="17.25" customHeight="1" thickBot="1">
      <c r="A28" s="1058" t="s">
        <v>397</v>
      </c>
      <c r="B28" s="49" t="s">
        <v>96</v>
      </c>
      <c r="C28" s="551">
        <v>0</v>
      </c>
      <c r="D28" s="732"/>
      <c r="E28" s="574"/>
      <c r="F28" s="574"/>
      <c r="G28" s="341">
        <f>IF(G20=0,"",ROUND((ROUNDDOWN(G20,-3)*$C$28/1000),0))</f>
        <v>0</v>
      </c>
      <c r="H28" s="574"/>
      <c r="I28" s="574"/>
      <c r="J28" s="574"/>
      <c r="K28" s="574"/>
      <c r="L28" s="574"/>
      <c r="M28" s="574"/>
      <c r="N28" s="718">
        <f>IF(N20=0,"",ROUND((ROUNDDOWN(N20,-3)*$C$28/1000),0))</f>
        <v>0</v>
      </c>
      <c r="O28" s="574"/>
      <c r="P28" s="574"/>
      <c r="Q28" s="574"/>
      <c r="R28" s="341">
        <f>IF(R20=0,"",ROUND((ROUNDDOWN(R20,-3)*$C$28/1000),0))</f>
      </c>
      <c r="S28" s="732"/>
      <c r="T28" s="574"/>
      <c r="U28" s="574"/>
      <c r="V28" s="341">
        <f>IF(V20=0,"",ROUND((ROUNDDOWN(V20,-3)*$C$28/1000),0))</f>
      </c>
      <c r="W28" s="574"/>
      <c r="X28" s="719"/>
      <c r="Y28" s="557">
        <f t="shared" si="3"/>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341">
        <f>IF(U22=0,"",ROUND(LOOKUP(U22,'2409'!$D$19:$E$48,'2409'!$C$19:$C$48)*$C$29/1000,0))</f>
      </c>
      <c r="V29" s="574"/>
      <c r="W29" s="341">
        <f>IF(W22=0,"",ROUND(LOOKUP(W22,'2409'!$D$19:$E$48,'2409'!$C$19:$C$48)*$C$29/1000,0))</f>
      </c>
      <c r="X29" s="718">
        <f>IF(X22=0,"",ROUND(LOOKUP(X22,'2409'!$D$19:$E$48,'2409'!$C$19:$C$48)*$C$29/1000,0))</f>
      </c>
      <c r="Y29" s="557">
        <f t="shared" si="3"/>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v>16766</v>
      </c>
      <c r="H30" s="341">
        <f>IF(H22=0,"",ROUND(LOOKUP(H22,'2409'!$D$19:$E$48,'2409'!$C$19:$C$48)*$C$30/1000,0))</f>
      </c>
      <c r="I30" s="341">
        <f>IF(I22=0,"",ROUND(LOOKUP(I22,'2409'!$D$19:$E$48,'2409'!$C$19:$C$48)*$C$30/1000,0))</f>
      </c>
      <c r="J30" s="574"/>
      <c r="K30" s="574"/>
      <c r="L30" s="574"/>
      <c r="M30" s="574"/>
      <c r="N30" s="719"/>
      <c r="O30" s="574"/>
      <c r="P30" s="574"/>
      <c r="Q30" s="574"/>
      <c r="R30" s="574"/>
      <c r="S30" s="732"/>
      <c r="T30" s="574"/>
      <c r="U30" s="574"/>
      <c r="V30" s="574"/>
      <c r="W30" s="574"/>
      <c r="X30" s="719"/>
      <c r="Y30" s="557">
        <f t="shared" si="3"/>
        <v>16766</v>
      </c>
    </row>
    <row r="31" spans="1:25" ht="17.25" customHeight="1" thickBot="1">
      <c r="A31" s="1058" t="s">
        <v>397</v>
      </c>
      <c r="B31" s="49" t="s">
        <v>96</v>
      </c>
      <c r="C31" s="551">
        <v>0</v>
      </c>
      <c r="D31" s="732"/>
      <c r="E31" s="574"/>
      <c r="F31" s="574"/>
      <c r="G31" s="341">
        <f>IF(G20=0,"",ROUND((ROUNDDOWN(G20,-3)*$C$31/1000),0))</f>
        <v>0</v>
      </c>
      <c r="H31" s="574"/>
      <c r="I31" s="574"/>
      <c r="J31" s="574"/>
      <c r="K31" s="574"/>
      <c r="L31" s="574"/>
      <c r="M31" s="574"/>
      <c r="N31" s="718">
        <f>IF(N20=0,"",ROUND((ROUNDDOWN(N20,-3)*$C$31/1000),0))</f>
        <v>0</v>
      </c>
      <c r="O31" s="574"/>
      <c r="P31" s="574"/>
      <c r="Q31" s="574"/>
      <c r="R31" s="341">
        <f>IF(R20=0,"",ROUND((ROUNDDOWN(R20,-3)*$C$31/1000),0))</f>
      </c>
      <c r="S31" s="732"/>
      <c r="T31" s="574"/>
      <c r="U31" s="574"/>
      <c r="V31" s="341">
        <f>IF(V20=0,"",ROUND((ROUNDDOWN(V20,-3)*$C$31/1000),0))</f>
      </c>
      <c r="W31" s="574"/>
      <c r="X31" s="719"/>
      <c r="Y31" s="557">
        <f t="shared" si="3"/>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341">
        <f>IF(U22=0,"",ROUND(LOOKUP(U22,'2409'!$D$19:$E$48,'2409'!$C$19:$C$48)*$C$32/1000,0))</f>
      </c>
      <c r="V32" s="574"/>
      <c r="W32" s="341">
        <f>IF(W22=0,"",ROUND(LOOKUP(W22,'2409'!$D$19:$E$48,'2409'!$C$19:$C$48)*$C$32/1000,0))</f>
      </c>
      <c r="X32" s="718">
        <f>IF(X22=0,"",ROUND(LOOKUP(X22,'2409'!$D$19:$E$48,'2409'!$C$19:$C$48)*$C$32/1000,0))</f>
      </c>
      <c r="Y32" s="557">
        <f t="shared" si="3"/>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v>17120</v>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341">
        <f>IF(U22=0,"",ROUND(LOOKUP(U22,'2409'!$D$19:$E$48,'2409'!$C$19:$C$48)*$C$33/1000,0))</f>
      </c>
      <c r="V33" s="341">
        <f>IF(V20=0,"",ROUND((ROUNDDOWN(V20,-3)*$C$33/1000),0))</f>
      </c>
      <c r="W33" s="341">
        <f>IF(W22=0,"",ROUND(LOOKUP(W22,'2409'!$D$19:$E$48,'2409'!$C$19:$C$48)*$C$33/1000,0))</f>
      </c>
      <c r="X33" s="718">
        <f>IF(X22=0,"",ROUND(LOOKUP(X22,'2409'!$D$19:$E$48,'2409'!$C$19:$C$48)*$C$33/1000,0))</f>
      </c>
      <c r="Y33" s="557">
        <f t="shared" si="3"/>
        <v>17120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v>0</v>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v>0</v>
      </c>
      <c r="O34" s="341">
        <f>IF(O21=0,"",ROUND(LOOKUP(O21,'2409'!$D$15:$E$61,'2409'!$C$15:$C$61)*$C$34/1000,0))</f>
      </c>
      <c r="P34" s="731">
        <f>IF(P21=0,"",ROUND(LOOKUP(P21,'2409'!$D$15:$E$61,'2409'!$C$15:$C$61)*$C$34/1000,0))</f>
      </c>
      <c r="Q34" s="574"/>
      <c r="R34" s="341"/>
      <c r="S34" s="732"/>
      <c r="T34" s="574"/>
      <c r="U34" s="574"/>
      <c r="V34" s="341"/>
      <c r="W34" s="574"/>
      <c r="X34" s="719"/>
      <c r="Y34" s="557">
        <f t="shared" si="3"/>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341">
        <f>IF(U21=0,"",ROUND(LOOKUP(U21,'2409'!$D$15:$E$61,'2409'!$C$15:$C$61)*$C$35/1000,0))</f>
      </c>
      <c r="V35" s="341">
        <f>IF(V20=0,"",ROUND((ROUNDDOWN(V20,-3)*$C$35/1000),0))</f>
      </c>
      <c r="W35" s="341">
        <f>IF(W21=0,"",ROUND(LOOKUP(W21,'2409'!$D$15:$E$61,'2409'!$C$15:$C$61)*$C$35/1000,0))</f>
      </c>
      <c r="X35" s="718">
        <f>IF(X21=0,"",ROUND(LOOKUP(X21,'2409'!$D$15:$E$61,'2409'!$C$15:$C$61)*$C$35/1000,0))</f>
      </c>
      <c r="Y35" s="557">
        <f t="shared" si="3"/>
        <v>0</v>
      </c>
    </row>
    <row r="36" spans="1:25" ht="17.25" customHeight="1" thickBot="1">
      <c r="A36" s="1059" t="s">
        <v>97</v>
      </c>
      <c r="B36" s="49" t="s">
        <v>96</v>
      </c>
      <c r="C36" s="551">
        <v>0</v>
      </c>
      <c r="D36" s="731">
        <f aca="true" t="shared" si="4" ref="D36:I36">IF(D20=0,"",ROUND(D20*$C$36/1000,0))</f>
        <v>0</v>
      </c>
      <c r="E36" s="341">
        <f t="shared" si="4"/>
        <v>0</v>
      </c>
      <c r="F36" s="341">
        <f t="shared" si="4"/>
        <v>0</v>
      </c>
      <c r="G36" s="341">
        <f t="shared" si="4"/>
        <v>0</v>
      </c>
      <c r="H36" s="341">
        <f t="shared" si="4"/>
        <v>0</v>
      </c>
      <c r="I36" s="341">
        <f t="shared" si="4"/>
        <v>0</v>
      </c>
      <c r="J36" s="341">
        <f aca="true" t="shared" si="5" ref="J36:T36">IF(J20=0,"",ROUND(J20*$C$36/1000,0))</f>
        <v>0</v>
      </c>
      <c r="K36" s="341">
        <f t="shared" si="5"/>
        <v>0</v>
      </c>
      <c r="L36" s="341">
        <f t="shared" si="5"/>
        <v>0</v>
      </c>
      <c r="M36" s="341">
        <f t="shared" si="5"/>
        <v>0</v>
      </c>
      <c r="N36" s="718">
        <f t="shared" si="5"/>
        <v>0</v>
      </c>
      <c r="O36" s="341">
        <f t="shared" si="5"/>
        <v>0</v>
      </c>
      <c r="P36" s="341">
        <f t="shared" si="5"/>
        <v>0</v>
      </c>
      <c r="Q36" s="341">
        <f>IF(Q20=0,"",ROUND(Q20*$C$36/1000,0))</f>
        <v>0</v>
      </c>
      <c r="R36" s="341">
        <f>IF(R20=0,"",ROUND(R20*$C$36/1000,0))</f>
      </c>
      <c r="S36" s="731">
        <f>IF(S20=0,"",ROUND(S20*$C$36/1000,0))</f>
      </c>
      <c r="T36" s="341">
        <f t="shared" si="5"/>
      </c>
      <c r="U36" s="341">
        <f>IF(U20=0,"",ROUND(U20*$C$36/1000,0))</f>
      </c>
      <c r="V36" s="341">
        <f>IF(V20=0,"",ROUND(V20*$C$36/1000,0))</f>
      </c>
      <c r="W36" s="341">
        <f>IF(W20=0,"",ROUND(W20*$C$36/1000,0))</f>
      </c>
      <c r="X36" s="718">
        <f>IF(X20=0,"",ROUND(X20*$C$36/1000,0))</f>
      </c>
      <c r="Y36" s="557">
        <f t="shared" si="3"/>
        <v>0</v>
      </c>
    </row>
    <row r="37" spans="1:25" ht="17.25" customHeight="1" thickBot="1">
      <c r="A37" s="1059" t="s">
        <v>98</v>
      </c>
      <c r="B37" s="49" t="s">
        <v>96</v>
      </c>
      <c r="C37" s="554">
        <v>0</v>
      </c>
      <c r="D37" s="731">
        <f aca="true" t="shared" si="6" ref="D37:K37">IF(D20=0,"",ROUNDDOWN(D20*$C$37/1000,0))</f>
        <v>0</v>
      </c>
      <c r="E37" s="341">
        <f t="shared" si="6"/>
        <v>0</v>
      </c>
      <c r="F37" s="341">
        <f t="shared" si="6"/>
        <v>0</v>
      </c>
      <c r="G37" s="341">
        <f t="shared" si="6"/>
        <v>0</v>
      </c>
      <c r="H37" s="341">
        <f t="shared" si="6"/>
        <v>0</v>
      </c>
      <c r="I37" s="341">
        <f t="shared" si="6"/>
        <v>0</v>
      </c>
      <c r="J37" s="341">
        <f t="shared" si="6"/>
        <v>0</v>
      </c>
      <c r="K37" s="341">
        <f t="shared" si="6"/>
        <v>0</v>
      </c>
      <c r="L37" s="341">
        <f aca="true" t="shared" si="7" ref="L37:T37">IF(L20=0,"",ROUNDDOWN(L20*$C$37/1000,0))</f>
        <v>0</v>
      </c>
      <c r="M37" s="341">
        <f t="shared" si="7"/>
        <v>0</v>
      </c>
      <c r="N37" s="718">
        <f t="shared" si="7"/>
        <v>0</v>
      </c>
      <c r="O37" s="341">
        <f t="shared" si="7"/>
        <v>0</v>
      </c>
      <c r="P37" s="341">
        <f t="shared" si="7"/>
        <v>0</v>
      </c>
      <c r="Q37" s="341">
        <f>IF(Q20=0,"",ROUNDDOWN(Q20*$C$37/1000,0))</f>
        <v>0</v>
      </c>
      <c r="R37" s="341">
        <f>IF(R20=0,"",ROUNDDOWN(R20*$C$37/1000,0))</f>
      </c>
      <c r="S37" s="731">
        <f>IF(S20=0,"",ROUNDDOWN(S20*$C$37/1000,0))</f>
      </c>
      <c r="T37" s="341">
        <f t="shared" si="7"/>
      </c>
      <c r="U37" s="341">
        <f>IF(U20=0,"",ROUNDDOWN(U20*$C$37/1000,0))</f>
      </c>
      <c r="V37" s="341">
        <f>IF(V20=0,"",ROUNDDOWN(V20*$C$37/1000,0))</f>
      </c>
      <c r="W37" s="341">
        <f>IF(W20=0,"",ROUNDDOWN(W20*$C$37/1000,0))</f>
      </c>
      <c r="X37" s="718">
        <f>IF(X20=0,"",ROUNDDOWN(X20*$C$37/1000,0))</f>
      </c>
      <c r="Y37" s="557">
        <f t="shared" si="3"/>
        <v>0</v>
      </c>
    </row>
    <row r="38" spans="1:25" ht="17.25" customHeight="1" thickBot="1">
      <c r="A38" s="1059" t="s">
        <v>98</v>
      </c>
      <c r="B38" s="49" t="s">
        <v>96</v>
      </c>
      <c r="C38" s="554">
        <v>0</v>
      </c>
      <c r="D38" s="731">
        <f aca="true" t="shared" si="8" ref="D38:N38">IF(D20=0,"",ROUNDDOWN(D20*$C$38/1000,0))</f>
        <v>0</v>
      </c>
      <c r="E38" s="341">
        <f t="shared" si="8"/>
        <v>0</v>
      </c>
      <c r="F38" s="341">
        <f t="shared" si="8"/>
        <v>0</v>
      </c>
      <c r="G38" s="341">
        <f t="shared" si="8"/>
        <v>0</v>
      </c>
      <c r="H38" s="341">
        <f t="shared" si="8"/>
        <v>0</v>
      </c>
      <c r="I38" s="341">
        <f t="shared" si="8"/>
        <v>0</v>
      </c>
      <c r="J38" s="341">
        <f t="shared" si="8"/>
        <v>0</v>
      </c>
      <c r="K38" s="341">
        <f t="shared" si="8"/>
        <v>0</v>
      </c>
      <c r="L38" s="341">
        <f t="shared" si="8"/>
        <v>0</v>
      </c>
      <c r="M38" s="341">
        <f t="shared" si="8"/>
        <v>0</v>
      </c>
      <c r="N38" s="718">
        <f t="shared" si="8"/>
        <v>0</v>
      </c>
      <c r="O38" s="341">
        <f aca="true" t="shared" si="9" ref="O38:T38">IF(O20=0,"",ROUNDDOWN(O20*$C$38/1000,0))</f>
        <v>0</v>
      </c>
      <c r="P38" s="341">
        <f t="shared" si="9"/>
        <v>0</v>
      </c>
      <c r="Q38" s="341">
        <f t="shared" si="9"/>
        <v>0</v>
      </c>
      <c r="R38" s="341">
        <f t="shared" si="9"/>
      </c>
      <c r="S38" s="731">
        <f t="shared" si="9"/>
      </c>
      <c r="T38" s="341">
        <f t="shared" si="9"/>
      </c>
      <c r="U38" s="341">
        <f>IF(U20=0,"",ROUNDDOWN(U20*$C$38/1000,0))</f>
      </c>
      <c r="V38" s="341">
        <f>IF(V20=0,"",ROUNDDOWN(V20*$C$38/1000,0))</f>
      </c>
      <c r="W38" s="341">
        <f>IF(W20=0,"",ROUNDDOWN(W20*$C$38/1000,0))</f>
      </c>
      <c r="X38" s="718">
        <f>IF(X20=0,"",ROUNDDOWN(X20*$C$38/1000,0))</f>
      </c>
      <c r="Y38" s="557">
        <f t="shared" si="3"/>
        <v>0</v>
      </c>
    </row>
    <row r="39" spans="1:25" ht="17.25" customHeight="1" thickBot="1">
      <c r="A39" s="1060" t="s">
        <v>205</v>
      </c>
      <c r="B39" s="780" t="s">
        <v>96</v>
      </c>
      <c r="C39" s="781">
        <v>1.5</v>
      </c>
      <c r="D39" s="782">
        <f>IF(D22=0,"",ROUND(LOOKUP(D22,'2409'!$D$19:$E$48,'2409'!$C$19:$C$48)*$C$39/1000,0))</f>
      </c>
      <c r="E39" s="783">
        <f>IF(E22=0,"",ROUND(LOOKUP(E22,'2409'!$D$19:$E$48,'2409'!$C$19:$C$48)*$C$39/1000,0))</f>
      </c>
      <c r="F39" s="783">
        <f>IF(F22=0,"",ROUND(LOOKUP(F22,'2409'!$D$19:$E$48,'2409'!$C$19:$C$48)*$C$39/1000,0))</f>
      </c>
      <c r="G39" s="783">
        <f>IF(G20=0,"",ROUND((ROUNDDOWN(G20,-3)*$C$39/1000),0))</f>
        <v>300</v>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v>300</v>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783">
        <f>IF(U22=0,"",ROUND(LOOKUP(U22,'2409'!$D$19:$E$48,'2409'!$C$19:$C$48)*$C$39/1000,0))</f>
      </c>
      <c r="V39" s="783">
        <f>IF(V20=0,"",ROUND((ROUNDDOWN(V20,-3)*$C$39/1000),0))</f>
      </c>
      <c r="W39" s="783">
        <f>IF(W22=0,"",ROUND(LOOKUP(W22,'2409'!$D$19:$E$48,'2409'!$C$19:$C$48)*$C$39/1000,0))</f>
      </c>
      <c r="X39" s="784">
        <f>IF(X22=0,"",ROUND(LOOKUP(X22,'2409'!$D$19:$E$48,'2409'!$C$19:$C$48)*$C$39/1000,0))</f>
      </c>
      <c r="Y39" s="557">
        <f t="shared" si="3"/>
        <v>600</v>
      </c>
    </row>
    <row r="40" spans="1:26" ht="17.25" customHeight="1" thickBot="1">
      <c r="A40" s="822" t="s">
        <v>99</v>
      </c>
      <c r="B40" s="822"/>
      <c r="C40" s="733"/>
      <c r="D40" s="785">
        <f aca="true" t="shared" si="10" ref="D40:J40">SUM(D26:D39)</f>
        <v>0</v>
      </c>
      <c r="E40" s="786">
        <f t="shared" si="10"/>
        <v>0</v>
      </c>
      <c r="F40" s="786">
        <f t="shared" si="10"/>
        <v>0</v>
      </c>
      <c r="G40" s="786">
        <f>SUM(G26:G39)</f>
        <v>27036</v>
      </c>
      <c r="H40" s="786">
        <f t="shared" si="10"/>
        <v>0</v>
      </c>
      <c r="I40" s="786">
        <f t="shared" si="10"/>
        <v>0</v>
      </c>
      <c r="J40" s="786">
        <f t="shared" si="10"/>
        <v>0</v>
      </c>
      <c r="K40" s="786">
        <f aca="true" t="shared" si="11" ref="K40:T40">SUM(K26:K39)</f>
        <v>0</v>
      </c>
      <c r="L40" s="786">
        <f t="shared" si="11"/>
        <v>0</v>
      </c>
      <c r="M40" s="786">
        <f t="shared" si="11"/>
        <v>0</v>
      </c>
      <c r="N40" s="787">
        <f t="shared" si="11"/>
        <v>27390</v>
      </c>
      <c r="O40" s="786">
        <f t="shared" si="11"/>
        <v>0</v>
      </c>
      <c r="P40" s="786">
        <f t="shared" si="11"/>
        <v>0</v>
      </c>
      <c r="Q40" s="786">
        <f t="shared" si="11"/>
        <v>0</v>
      </c>
      <c r="R40" s="786">
        <f t="shared" si="11"/>
        <v>0</v>
      </c>
      <c r="S40" s="785">
        <f t="shared" si="11"/>
        <v>0</v>
      </c>
      <c r="T40" s="786">
        <f t="shared" si="11"/>
        <v>0</v>
      </c>
      <c r="U40" s="786">
        <f>SUM(U26:U39)</f>
        <v>0</v>
      </c>
      <c r="V40" s="786">
        <f>SUM(V26:V39)</f>
        <v>0</v>
      </c>
      <c r="W40" s="786">
        <f>SUM(W26:W39)</f>
        <v>0</v>
      </c>
      <c r="X40" s="787">
        <f>SUM(X26:X39)</f>
        <v>0</v>
      </c>
      <c r="Y40" s="1028">
        <f>SUM(D40:X40)</f>
        <v>54426</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2800000</v>
      </c>
      <c r="F45" s="1339"/>
      <c r="G45" s="1340"/>
      <c r="H45" s="62" t="s">
        <v>208</v>
      </c>
      <c r="I45" s="1338">
        <f>Y40</f>
        <v>54426</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8"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2:U2"/>
    <mergeCell ref="S4:U4"/>
    <mergeCell ref="A5:B6"/>
    <mergeCell ref="S5:T5"/>
    <mergeCell ref="B7:C7"/>
    <mergeCell ref="S3:T3"/>
    <mergeCell ref="B8:C8"/>
    <mergeCell ref="B9:C9"/>
    <mergeCell ref="B10:C10"/>
    <mergeCell ref="B12:C12"/>
    <mergeCell ref="B25:C25"/>
    <mergeCell ref="B11:C11"/>
    <mergeCell ref="B15:C15"/>
    <mergeCell ref="B18:C18"/>
    <mergeCell ref="B19:C19"/>
    <mergeCell ref="B13:C13"/>
    <mergeCell ref="B14:C14"/>
    <mergeCell ref="H42:J42"/>
    <mergeCell ref="B21:C21"/>
    <mergeCell ref="A23:B24"/>
    <mergeCell ref="B51:D51"/>
    <mergeCell ref="B22:C22"/>
    <mergeCell ref="B16:C16"/>
    <mergeCell ref="B17:C17"/>
    <mergeCell ref="R47:S48"/>
    <mergeCell ref="B20:C20"/>
    <mergeCell ref="I45:K45"/>
    <mergeCell ref="E42:G42"/>
    <mergeCell ref="N45:P45"/>
    <mergeCell ref="R45:S45"/>
    <mergeCell ref="R42:S42"/>
    <mergeCell ref="E45:G45"/>
    <mergeCell ref="R43:S4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X87"/>
  <sheetViews>
    <sheetView showGridLines="0" zoomScaleSheetLayoutView="80" zoomScalePageLayoutView="0" workbookViewId="0" topLeftCell="A1">
      <selection activeCell="B86" sqref="B86"/>
    </sheetView>
  </sheetViews>
  <sheetFormatPr defaultColWidth="9.140625" defaultRowHeight="15"/>
  <cols>
    <col min="1" max="1" width="3.421875" style="591" customWidth="1"/>
    <col min="2" max="2" width="19.421875" style="591" customWidth="1"/>
    <col min="3" max="3" width="10.421875" style="591" customWidth="1"/>
    <col min="4" max="4" width="11.140625" style="591" customWidth="1"/>
    <col min="5" max="5" width="14.57421875" style="591" customWidth="1"/>
    <col min="6" max="6" width="14.8515625" style="591" customWidth="1"/>
    <col min="7" max="7" width="3.8515625" style="591" customWidth="1"/>
    <col min="8" max="8" width="14.421875" style="591" customWidth="1"/>
    <col min="9" max="9" width="13.7109375" style="591" customWidth="1"/>
    <col min="10" max="10" width="18.421875" style="591" customWidth="1"/>
    <col min="11" max="11" width="13.421875" style="591" customWidth="1"/>
    <col min="12" max="16384" width="9.00390625" style="591" customWidth="1"/>
  </cols>
  <sheetData>
    <row r="1" spans="1:11" ht="21">
      <c r="A1" s="1170"/>
      <c r="B1" s="591" t="s">
        <v>502</v>
      </c>
      <c r="J1" s="591" t="s">
        <v>509</v>
      </c>
      <c r="K1" s="555">
        <v>41864</v>
      </c>
    </row>
    <row r="2" spans="1:10" ht="21">
      <c r="A2" s="1170"/>
      <c r="B2" s="1193" t="s">
        <v>501</v>
      </c>
      <c r="I2" s="1179" t="s">
        <v>500</v>
      </c>
      <c r="J2" s="591" t="s">
        <v>293</v>
      </c>
    </row>
    <row r="3" spans="1:10" ht="21">
      <c r="A3" s="1170"/>
      <c r="B3" s="591" t="s">
        <v>504</v>
      </c>
      <c r="I3" s="1179" t="s">
        <v>499</v>
      </c>
      <c r="J3" s="591" t="s">
        <v>498</v>
      </c>
    </row>
    <row r="4" spans="1:10" ht="21">
      <c r="A4" s="1170"/>
      <c r="B4" s="591" t="s">
        <v>497</v>
      </c>
      <c r="I4" s="30"/>
      <c r="J4" s="591" t="s">
        <v>496</v>
      </c>
    </row>
    <row r="5" spans="1:12" ht="15" customHeight="1" thickBot="1">
      <c r="A5" s="1170"/>
      <c r="B5" s="851"/>
      <c r="C5" s="30"/>
      <c r="D5" s="30"/>
      <c r="E5" s="30"/>
      <c r="F5" s="30"/>
      <c r="G5" s="30"/>
      <c r="H5" s="30"/>
      <c r="I5" s="30"/>
      <c r="J5" s="1231" t="s">
        <v>503</v>
      </c>
      <c r="K5" s="1231"/>
      <c r="L5" s="1163"/>
    </row>
    <row r="6" spans="1:12" ht="15" customHeight="1" thickBot="1">
      <c r="A6" s="1170"/>
      <c r="B6" s="591" t="s">
        <v>495</v>
      </c>
      <c r="D6" s="591" t="s">
        <v>494</v>
      </c>
      <c r="E6" s="1172" t="s">
        <v>493</v>
      </c>
      <c r="F6" s="1171"/>
      <c r="H6" s="1109"/>
      <c r="J6" s="1173" t="s">
        <v>43</v>
      </c>
      <c r="K6" s="1173"/>
      <c r="L6" s="1163"/>
    </row>
    <row r="7" spans="1:12" ht="15" customHeight="1">
      <c r="A7" s="1170"/>
      <c r="E7" s="1160"/>
      <c r="F7" s="1160"/>
      <c r="G7" s="1180"/>
      <c r="H7" s="1109"/>
      <c r="J7" s="1129" t="s">
        <v>45</v>
      </c>
      <c r="K7" s="1129"/>
      <c r="L7" s="1163"/>
    </row>
    <row r="8" spans="2:12" ht="15" customHeight="1">
      <c r="B8" s="1169" t="s">
        <v>367</v>
      </c>
      <c r="C8" s="1169"/>
      <c r="D8" s="1169"/>
      <c r="E8" s="1169"/>
      <c r="F8" s="1169"/>
      <c r="G8" s="1169"/>
      <c r="H8" s="1169"/>
      <c r="J8" s="1130" t="s">
        <v>58</v>
      </c>
      <c r="K8" s="1130"/>
      <c r="L8" s="1163"/>
    </row>
    <row r="9" spans="2:12" ht="15" customHeight="1">
      <c r="B9" s="40" t="s">
        <v>492</v>
      </c>
      <c r="C9" s="40"/>
      <c r="D9" s="40"/>
      <c r="E9" s="40"/>
      <c r="F9" s="40"/>
      <c r="G9" s="40"/>
      <c r="H9" s="40"/>
      <c r="J9" s="1131" t="s">
        <v>62</v>
      </c>
      <c r="K9" s="1131"/>
      <c r="L9" s="1164"/>
    </row>
    <row r="10" spans="2:12" ht="15" customHeight="1">
      <c r="B10" s="1168" t="s">
        <v>317</v>
      </c>
      <c r="C10" s="40"/>
      <c r="D10" s="40"/>
      <c r="E10" s="40"/>
      <c r="F10" s="40"/>
      <c r="G10" s="40"/>
      <c r="H10" s="40"/>
      <c r="J10" s="1128" t="s">
        <v>59</v>
      </c>
      <c r="K10" s="1128"/>
      <c r="L10" s="1164"/>
    </row>
    <row r="11" spans="2:12" ht="15" customHeight="1">
      <c r="B11" s="1168"/>
      <c r="C11" s="40"/>
      <c r="D11" s="40"/>
      <c r="E11" s="40"/>
      <c r="F11" s="40"/>
      <c r="G11" s="40"/>
      <c r="H11" s="40"/>
      <c r="J11" s="1174" t="s">
        <v>490</v>
      </c>
      <c r="K11" s="1174"/>
      <c r="L11" s="702"/>
    </row>
    <row r="12" spans="2:12" ht="15" customHeight="1">
      <c r="B12" s="591" t="s">
        <v>491</v>
      </c>
      <c r="F12" s="1160"/>
      <c r="G12" s="1160"/>
      <c r="H12" s="1109"/>
      <c r="J12" s="1175" t="s">
        <v>63</v>
      </c>
      <c r="K12" s="1175"/>
      <c r="L12" s="1167"/>
    </row>
    <row r="13" spans="2:12" ht="15" customHeight="1" thickBot="1">
      <c r="B13" s="1192"/>
      <c r="C13" s="1192" t="s">
        <v>258</v>
      </c>
      <c r="E13" s="593" t="s">
        <v>486</v>
      </c>
      <c r="F13" s="1160"/>
      <c r="G13" s="1160"/>
      <c r="H13" s="1109"/>
      <c r="J13" s="1177" t="s">
        <v>61</v>
      </c>
      <c r="K13" s="1177"/>
      <c r="L13" s="1163"/>
    </row>
    <row r="14" spans="2:12" ht="15" customHeight="1" thickBot="1">
      <c r="B14" s="1192" t="s">
        <v>489</v>
      </c>
      <c r="C14" s="1192" t="s">
        <v>261</v>
      </c>
      <c r="E14" s="1166" t="s">
        <v>278</v>
      </c>
      <c r="F14" s="1160"/>
      <c r="G14" s="1160"/>
      <c r="H14" s="1165" t="str">
        <f>IF(OR($E$14="○",$E$15="○"),"成長分野型",IF(OR($E$18="○",$E$19="○"),"一般型","小規模事業者型"))</f>
        <v>成長分野型</v>
      </c>
      <c r="J14" s="1176" t="s">
        <v>60</v>
      </c>
      <c r="K14" s="1176"/>
      <c r="L14" s="1163"/>
    </row>
    <row r="15" spans="2:12" ht="15" customHeight="1" thickBot="1">
      <c r="B15" s="1192" t="s">
        <v>487</v>
      </c>
      <c r="C15" s="1192" t="s">
        <v>263</v>
      </c>
      <c r="E15" s="1162" t="s">
        <v>256</v>
      </c>
      <c r="F15" s="1160"/>
      <c r="G15" s="1160"/>
      <c r="H15" s="1109"/>
      <c r="J15" s="1178" t="s">
        <v>64</v>
      </c>
      <c r="K15" s="1178"/>
      <c r="L15" s="1163"/>
    </row>
    <row r="16" spans="6:12" ht="15" customHeight="1">
      <c r="F16" s="1160"/>
      <c r="G16" s="1160"/>
      <c r="H16" s="1109"/>
      <c r="J16" s="1132" t="s">
        <v>488</v>
      </c>
      <c r="K16" s="1132"/>
      <c r="L16" s="1163"/>
    </row>
    <row r="17" spans="2:12" ht="15" customHeight="1" thickBot="1">
      <c r="B17" s="1192"/>
      <c r="C17" s="1192" t="s">
        <v>259</v>
      </c>
      <c r="E17" s="593" t="s">
        <v>486</v>
      </c>
      <c r="F17" s="1160"/>
      <c r="G17" s="1160"/>
      <c r="H17" s="1109"/>
      <c r="J17" s="1177" t="s">
        <v>506</v>
      </c>
      <c r="K17" s="1177"/>
      <c r="L17" s="1163"/>
    </row>
    <row r="18" spans="2:12" ht="15" customHeight="1" thickBot="1">
      <c r="B18" s="1192" t="s">
        <v>489</v>
      </c>
      <c r="C18" s="1192" t="s">
        <v>261</v>
      </c>
      <c r="E18" s="1166" t="s">
        <v>256</v>
      </c>
      <c r="F18" s="1160"/>
      <c r="G18" s="1160"/>
      <c r="H18" s="1165" t="str">
        <f>IF(OR($E$14="○",$E$18="○"),"試作開発+設備投資",IF(OR($E$15="○",$E$19="○"),"設備投資","試作開発のみ"))</f>
        <v>試作開発+設備投資</v>
      </c>
      <c r="J18" s="1227" t="s">
        <v>507</v>
      </c>
      <c r="K18" s="1227"/>
      <c r="L18" s="1164"/>
    </row>
    <row r="19" spans="2:12" ht="15" customHeight="1" thickBot="1">
      <c r="B19" s="1192" t="s">
        <v>487</v>
      </c>
      <c r="C19" s="1192" t="s">
        <v>263</v>
      </c>
      <c r="E19" s="1162" t="s">
        <v>256</v>
      </c>
      <c r="F19" s="1160"/>
      <c r="G19" s="1160"/>
      <c r="H19" s="1109"/>
      <c r="J19" s="1228" t="s">
        <v>505</v>
      </c>
      <c r="K19" s="1228"/>
      <c r="L19" s="1163"/>
    </row>
    <row r="20" spans="6:12" ht="15" customHeight="1">
      <c r="F20" s="1160"/>
      <c r="G20" s="1160"/>
      <c r="H20" s="1109"/>
      <c r="J20" s="1225"/>
      <c r="K20" s="1225"/>
      <c r="L20" s="1163"/>
    </row>
    <row r="21" spans="2:12" ht="15" customHeight="1" thickBot="1">
      <c r="B21" s="1192"/>
      <c r="C21" s="1192" t="s">
        <v>260</v>
      </c>
      <c r="E21" s="593" t="s">
        <v>486</v>
      </c>
      <c r="F21" s="1160"/>
      <c r="G21" s="1160"/>
      <c r="H21" s="1109"/>
      <c r="J21" s="1226"/>
      <c r="K21" s="1226"/>
      <c r="L21" s="1163"/>
    </row>
    <row r="22" spans="2:8" ht="15" customHeight="1" thickBot="1">
      <c r="B22" s="1192" t="s">
        <v>485</v>
      </c>
      <c r="C22" s="1192" t="s">
        <v>262</v>
      </c>
      <c r="E22" s="1162" t="s">
        <v>256</v>
      </c>
      <c r="F22" s="1160"/>
      <c r="G22" s="1160"/>
      <c r="H22" s="1109"/>
    </row>
    <row r="23" spans="2:8" ht="15" customHeight="1">
      <c r="B23" s="1192"/>
      <c r="C23" s="1192"/>
      <c r="D23" s="1192"/>
      <c r="E23" s="1192"/>
      <c r="F23" s="1160"/>
      <c r="G23" s="1160"/>
      <c r="H23" s="1109"/>
    </row>
    <row r="24" spans="2:8" ht="15" customHeight="1">
      <c r="B24" s="1192" t="s">
        <v>484</v>
      </c>
      <c r="C24" s="1192"/>
      <c r="D24" s="1192"/>
      <c r="E24" s="1192"/>
      <c r="F24" s="1161"/>
      <c r="G24" s="1160"/>
      <c r="H24" s="1109"/>
    </row>
    <row r="25" ht="15" customHeight="1">
      <c r="B25" s="591" t="s">
        <v>483</v>
      </c>
    </row>
    <row r="26" ht="15" customHeight="1"/>
    <row r="27" spans="2:6" ht="15" customHeight="1">
      <c r="B27" s="591" t="s">
        <v>482</v>
      </c>
      <c r="F27" s="1159"/>
    </row>
    <row r="28" ht="15" customHeight="1">
      <c r="B28" s="591" t="s">
        <v>481</v>
      </c>
    </row>
    <row r="29" ht="15" customHeight="1">
      <c r="B29" s="591" t="s">
        <v>480</v>
      </c>
    </row>
    <row r="30" ht="15" customHeight="1">
      <c r="B30" s="591" t="s">
        <v>479</v>
      </c>
    </row>
    <row r="31" ht="15" customHeight="1">
      <c r="B31" s="591" t="s">
        <v>478</v>
      </c>
    </row>
    <row r="32" ht="15" customHeight="1"/>
    <row r="33" ht="15" customHeight="1">
      <c r="B33" s="1105" t="s">
        <v>477</v>
      </c>
    </row>
    <row r="34" ht="15" customHeight="1"/>
    <row r="35" ht="15" customHeight="1">
      <c r="B35" s="92" t="s">
        <v>356</v>
      </c>
    </row>
    <row r="36" ht="15" customHeight="1">
      <c r="B36" s="92" t="s">
        <v>476</v>
      </c>
    </row>
    <row r="37" ht="15" customHeight="1"/>
    <row r="38" spans="2:3" ht="15" customHeight="1">
      <c r="B38" s="590" t="s">
        <v>425</v>
      </c>
      <c r="C38" s="1102" t="s">
        <v>415</v>
      </c>
    </row>
    <row r="39" ht="15" customHeight="1"/>
    <row r="40" spans="2:10" ht="15" customHeight="1">
      <c r="B40" s="1105" t="s">
        <v>475</v>
      </c>
      <c r="C40" s="92" t="s">
        <v>474</v>
      </c>
      <c r="J40" s="1106"/>
    </row>
    <row r="41" spans="2:10" ht="15" customHeight="1">
      <c r="B41" s="1102" t="s">
        <v>416</v>
      </c>
      <c r="C41" s="92"/>
      <c r="J41" s="1106"/>
    </row>
    <row r="42" spans="2:10" ht="15" customHeight="1">
      <c r="B42" s="1105" t="s">
        <v>203</v>
      </c>
      <c r="C42" s="591" t="s">
        <v>420</v>
      </c>
      <c r="J42" s="1106"/>
    </row>
    <row r="43" spans="2:10" ht="15" customHeight="1">
      <c r="B43" s="1102" t="s">
        <v>417</v>
      </c>
      <c r="C43" s="591" t="s">
        <v>421</v>
      </c>
      <c r="J43" s="1106"/>
    </row>
    <row r="44" spans="2:10" ht="15" customHeight="1">
      <c r="B44" s="1102" t="s">
        <v>418</v>
      </c>
      <c r="J44" s="1106"/>
    </row>
    <row r="45" spans="2:3" ht="15" customHeight="1">
      <c r="B45" s="1105" t="s">
        <v>204</v>
      </c>
      <c r="C45" s="591" t="s">
        <v>426</v>
      </c>
    </row>
    <row r="46" ht="15" customHeight="1">
      <c r="B46" s="1102" t="s">
        <v>419</v>
      </c>
    </row>
    <row r="47" ht="15" customHeight="1">
      <c r="B47" s="1103" t="s">
        <v>79</v>
      </c>
    </row>
    <row r="48" ht="15" customHeight="1">
      <c r="B48" s="1104" t="s">
        <v>441</v>
      </c>
    </row>
    <row r="49" ht="15" customHeight="1">
      <c r="B49" s="1104" t="s">
        <v>422</v>
      </c>
    </row>
    <row r="50" spans="6:8" ht="15" customHeight="1">
      <c r="F50" s="2"/>
      <c r="G50" s="2"/>
      <c r="H50" s="2"/>
    </row>
    <row r="51" spans="2:8" ht="15" customHeight="1">
      <c r="B51" s="1103" t="s">
        <v>92</v>
      </c>
      <c r="F51" s="1107"/>
      <c r="G51" s="2"/>
      <c r="H51" s="2"/>
    </row>
    <row r="52" spans="2:10" ht="15" customHeight="1">
      <c r="B52" s="1104" t="s">
        <v>442</v>
      </c>
      <c r="F52" s="1107"/>
      <c r="G52" s="2"/>
      <c r="H52" s="2"/>
      <c r="J52" s="590"/>
    </row>
    <row r="53" spans="2:10" ht="15" customHeight="1">
      <c r="B53" s="1104" t="s">
        <v>423</v>
      </c>
      <c r="F53" s="1107"/>
      <c r="G53" s="2"/>
      <c r="H53" s="2"/>
      <c r="J53" s="590"/>
    </row>
    <row r="54" spans="2:10" ht="15" customHeight="1">
      <c r="B54" s="1104" t="s">
        <v>424</v>
      </c>
      <c r="F54" s="1107"/>
      <c r="G54" s="2"/>
      <c r="H54" s="2"/>
      <c r="J54" s="590"/>
    </row>
    <row r="55" spans="6:10" ht="15" customHeight="1">
      <c r="F55" s="1107"/>
      <c r="G55" s="2"/>
      <c r="H55" s="2"/>
      <c r="J55" s="590"/>
    </row>
    <row r="56" spans="2:10" ht="15" customHeight="1">
      <c r="B56" s="1105" t="s">
        <v>449</v>
      </c>
      <c r="F56" s="1107"/>
      <c r="G56" s="2"/>
      <c r="H56" s="2"/>
      <c r="J56" s="590"/>
    </row>
    <row r="57" spans="6:10" ht="15" customHeight="1">
      <c r="F57" s="1107"/>
      <c r="G57" s="2"/>
      <c r="H57" s="2"/>
      <c r="J57" s="590"/>
    </row>
    <row r="58" spans="2:10" ht="15" customHeight="1">
      <c r="B58" s="1105" t="s">
        <v>473</v>
      </c>
      <c r="C58" s="591" t="s">
        <v>472</v>
      </c>
      <c r="F58" s="1107"/>
      <c r="G58" s="2"/>
      <c r="H58" s="2"/>
      <c r="J58" s="590"/>
    </row>
    <row r="59" spans="2:10" ht="15" customHeight="1">
      <c r="B59" s="1102" t="s">
        <v>471</v>
      </c>
      <c r="F59" s="1107"/>
      <c r="G59" s="2"/>
      <c r="H59" s="2"/>
      <c r="J59" s="590"/>
    </row>
    <row r="60" spans="6:10" ht="15" customHeight="1">
      <c r="F60" s="1107"/>
      <c r="G60" s="2"/>
      <c r="H60" s="2"/>
      <c r="J60" s="590"/>
    </row>
    <row r="61" spans="2:10" ht="15" customHeight="1">
      <c r="B61" s="1105" t="s">
        <v>427</v>
      </c>
      <c r="F61" s="1107"/>
      <c r="G61" s="2"/>
      <c r="H61" s="2"/>
      <c r="J61" s="590"/>
    </row>
    <row r="62" spans="6:10" ht="15" customHeight="1">
      <c r="F62" s="1107"/>
      <c r="G62" s="2"/>
      <c r="H62" s="2"/>
      <c r="J62" s="590"/>
    </row>
    <row r="63" spans="2:10" ht="15" customHeight="1">
      <c r="B63" s="1105" t="s">
        <v>428</v>
      </c>
      <c r="F63" s="1107"/>
      <c r="G63" s="2"/>
      <c r="H63" s="2"/>
      <c r="J63" s="590"/>
    </row>
    <row r="64" spans="2:10" ht="15" customHeight="1" thickBot="1">
      <c r="B64" s="591" t="s">
        <v>429</v>
      </c>
      <c r="F64" s="1107"/>
      <c r="G64" s="2"/>
      <c r="H64" s="2"/>
      <c r="J64" s="590"/>
    </row>
    <row r="65" spans="2:10" ht="15" customHeight="1" thickBot="1">
      <c r="B65" s="1181" t="s">
        <v>93</v>
      </c>
      <c r="C65" s="1229" t="s">
        <v>94</v>
      </c>
      <c r="D65" s="1230"/>
      <c r="F65" s="591" t="s">
        <v>430</v>
      </c>
      <c r="G65" s="2"/>
      <c r="H65" s="2"/>
      <c r="J65" s="590"/>
    </row>
    <row r="66" spans="2:10" ht="15" customHeight="1" thickBot="1">
      <c r="B66" s="1057" t="s">
        <v>219</v>
      </c>
      <c r="C66" s="1154" t="s">
        <v>96</v>
      </c>
      <c r="D66" s="1156">
        <v>49.85</v>
      </c>
      <c r="E66" s="1158" t="s">
        <v>431</v>
      </c>
      <c r="F66" s="591" t="s">
        <v>440</v>
      </c>
      <c r="J66" s="590"/>
    </row>
    <row r="67" spans="2:12" ht="15" customHeight="1" thickBot="1">
      <c r="B67" s="1057" t="s">
        <v>95</v>
      </c>
      <c r="C67" s="1154" t="s">
        <v>96</v>
      </c>
      <c r="D67" s="1156">
        <v>0</v>
      </c>
      <c r="J67" s="590"/>
      <c r="K67" s="1106"/>
      <c r="L67" s="1106"/>
    </row>
    <row r="68" spans="2:13" ht="15" customHeight="1" thickBot="1">
      <c r="B68" s="1058" t="s">
        <v>397</v>
      </c>
      <c r="C68" s="1154" t="s">
        <v>96</v>
      </c>
      <c r="D68" s="1156">
        <v>0</v>
      </c>
      <c r="F68" s="591" t="s">
        <v>432</v>
      </c>
      <c r="J68" s="590"/>
      <c r="K68" s="1106"/>
      <c r="L68" s="1106"/>
      <c r="M68" s="1106"/>
    </row>
    <row r="69" spans="2:13" ht="15" customHeight="1" thickBot="1">
      <c r="B69" s="1058" t="s">
        <v>398</v>
      </c>
      <c r="C69" s="1154"/>
      <c r="D69" s="1156">
        <v>0</v>
      </c>
      <c r="K69" s="1106"/>
      <c r="L69" s="1106"/>
      <c r="M69" s="1106"/>
    </row>
    <row r="70" spans="2:14" ht="15" customHeight="1" thickBot="1">
      <c r="B70" s="1058" t="s">
        <v>236</v>
      </c>
      <c r="C70" s="1154" t="s">
        <v>96</v>
      </c>
      <c r="D70" s="1157">
        <v>83.83</v>
      </c>
      <c r="F70" s="591" t="s">
        <v>433</v>
      </c>
      <c r="M70" s="1106"/>
      <c r="N70" s="1094"/>
    </row>
    <row r="71" spans="2:14" ht="15" customHeight="1" thickBot="1">
      <c r="B71" s="1058" t="s">
        <v>397</v>
      </c>
      <c r="C71" s="1154" t="s">
        <v>96</v>
      </c>
      <c r="D71" s="1156">
        <v>0</v>
      </c>
      <c r="F71" s="591" t="s">
        <v>434</v>
      </c>
      <c r="J71" s="1108"/>
      <c r="N71" s="1094"/>
    </row>
    <row r="72" spans="1:14" ht="15" customHeight="1" thickBot="1">
      <c r="A72" s="92"/>
      <c r="B72" s="1058" t="s">
        <v>398</v>
      </c>
      <c r="C72" s="1154" t="s">
        <v>96</v>
      </c>
      <c r="D72" s="1156">
        <v>0</v>
      </c>
      <c r="F72" s="591" t="s">
        <v>450</v>
      </c>
      <c r="J72" s="1108"/>
      <c r="N72" s="1094"/>
    </row>
    <row r="73" spans="1:24" ht="15" customHeight="1" thickBot="1">
      <c r="A73" s="1109"/>
      <c r="B73" s="1058" t="s">
        <v>414</v>
      </c>
      <c r="C73" s="1154" t="s">
        <v>96</v>
      </c>
      <c r="D73" s="1157">
        <v>85.6</v>
      </c>
      <c r="J73" s="665"/>
      <c r="O73" s="1094"/>
      <c r="P73" s="1094"/>
      <c r="Q73" s="1094"/>
      <c r="R73" s="1094"/>
      <c r="S73" s="1094"/>
      <c r="T73" s="1094"/>
      <c r="U73" s="1094"/>
      <c r="V73" s="1094"/>
      <c r="W73" s="1094"/>
      <c r="X73" s="1094"/>
    </row>
    <row r="74" spans="1:24" ht="15" customHeight="1" thickBot="1">
      <c r="A74" s="587"/>
      <c r="B74" s="1059" t="s">
        <v>220</v>
      </c>
      <c r="C74" s="1154" t="s">
        <v>96</v>
      </c>
      <c r="D74" s="1153">
        <v>7.75</v>
      </c>
      <c r="F74" s="591" t="s">
        <v>439</v>
      </c>
      <c r="O74" s="1094"/>
      <c r="P74" s="1094"/>
      <c r="Q74" s="1094"/>
      <c r="R74" s="1094"/>
      <c r="S74" s="1094"/>
      <c r="T74" s="1094"/>
      <c r="U74" s="1094"/>
      <c r="V74" s="1094"/>
      <c r="W74" s="1094"/>
      <c r="X74" s="1094"/>
    </row>
    <row r="75" spans="2:23" ht="15" customHeight="1" thickBot="1">
      <c r="B75" s="1059" t="s">
        <v>318</v>
      </c>
      <c r="C75" s="1154" t="s">
        <v>96</v>
      </c>
      <c r="D75" s="1153">
        <v>8.6</v>
      </c>
      <c r="E75" s="1106"/>
      <c r="F75" s="1106"/>
      <c r="G75" s="1106"/>
      <c r="H75" s="1106"/>
      <c r="N75" s="1094"/>
      <c r="O75" s="1094"/>
      <c r="P75" s="1094"/>
      <c r="Q75" s="1094"/>
      <c r="R75" s="1094"/>
      <c r="S75" s="1094"/>
      <c r="T75" s="1094"/>
      <c r="U75" s="1094"/>
      <c r="V75" s="1094"/>
      <c r="W75" s="1094"/>
    </row>
    <row r="76" spans="2:23" ht="15" customHeight="1" thickBot="1">
      <c r="B76" s="1059" t="s">
        <v>97</v>
      </c>
      <c r="C76" s="1154" t="s">
        <v>96</v>
      </c>
      <c r="D76" s="1156">
        <v>0</v>
      </c>
      <c r="F76" s="591" t="s">
        <v>451</v>
      </c>
      <c r="G76" s="1106"/>
      <c r="H76" s="1106"/>
      <c r="N76" s="1094"/>
      <c r="O76" s="1094"/>
      <c r="P76" s="1094"/>
      <c r="Q76" s="1094"/>
      <c r="R76" s="1094"/>
      <c r="S76" s="1094"/>
      <c r="T76" s="1094"/>
      <c r="U76" s="1094"/>
      <c r="V76" s="1094"/>
      <c r="W76" s="1094"/>
    </row>
    <row r="77" spans="2:23" ht="15" customHeight="1" thickBot="1">
      <c r="B77" s="1059" t="s">
        <v>98</v>
      </c>
      <c r="C77" s="1154" t="s">
        <v>96</v>
      </c>
      <c r="D77" s="1153">
        <v>0</v>
      </c>
      <c r="E77" s="1106"/>
      <c r="F77" s="1155"/>
      <c r="G77" s="1106"/>
      <c r="H77" s="1106"/>
      <c r="K77" s="92"/>
      <c r="L77" s="92"/>
      <c r="M77" s="92"/>
      <c r="N77" s="1110"/>
      <c r="O77" s="1094"/>
      <c r="P77" s="1094"/>
      <c r="Q77" s="1094"/>
      <c r="R77" s="1094"/>
      <c r="S77" s="1094"/>
      <c r="T77" s="1094"/>
      <c r="U77" s="1094"/>
      <c r="V77" s="1094"/>
      <c r="W77" s="1094"/>
    </row>
    <row r="78" spans="2:23" ht="15" customHeight="1" thickBot="1">
      <c r="B78" s="1059" t="s">
        <v>98</v>
      </c>
      <c r="C78" s="1154" t="s">
        <v>96</v>
      </c>
      <c r="D78" s="1153"/>
      <c r="F78" s="591" t="s">
        <v>435</v>
      </c>
      <c r="K78" s="1109"/>
      <c r="L78" s="1109"/>
      <c r="M78" s="1109"/>
      <c r="N78" s="1109"/>
      <c r="O78" s="1094"/>
      <c r="P78" s="1094"/>
      <c r="Q78" s="1094"/>
      <c r="R78" s="1094"/>
      <c r="S78" s="1094"/>
      <c r="T78" s="1094"/>
      <c r="U78" s="1094"/>
      <c r="V78" s="1094"/>
      <c r="W78" s="1094"/>
    </row>
    <row r="79" spans="2:11" ht="15" customHeight="1" thickBot="1">
      <c r="B79" s="1060" t="s">
        <v>205</v>
      </c>
      <c r="C79" s="1154" t="s">
        <v>96</v>
      </c>
      <c r="D79" s="1153">
        <v>1.5</v>
      </c>
      <c r="F79" s="27" t="s">
        <v>436</v>
      </c>
      <c r="K79" s="1109"/>
    </row>
    <row r="80" spans="2:12" ht="15" customHeight="1" thickBot="1">
      <c r="B80" s="1181" t="s">
        <v>99</v>
      </c>
      <c r="C80" s="1181"/>
      <c r="D80" s="1152"/>
      <c r="F80" s="591" t="s">
        <v>437</v>
      </c>
      <c r="K80" s="1108"/>
      <c r="L80" s="1109"/>
    </row>
    <row r="81" spans="6:11" ht="15" customHeight="1">
      <c r="F81" s="591" t="s">
        <v>438</v>
      </c>
      <c r="K81" s="1108"/>
    </row>
    <row r="82" ht="15" customHeight="1">
      <c r="I82" s="1108"/>
    </row>
    <row r="83" spans="2:9" ht="15" customHeight="1">
      <c r="B83" s="1151" t="s">
        <v>243</v>
      </c>
      <c r="C83" s="1150" t="s">
        <v>368</v>
      </c>
      <c r="D83" s="1109"/>
      <c r="E83" s="1109"/>
      <c r="F83" s="1094"/>
      <c r="G83" s="1094"/>
      <c r="I83" s="1111"/>
    </row>
    <row r="84" spans="2:9" ht="15" customHeight="1">
      <c r="B84" s="1108"/>
      <c r="C84" s="1108"/>
      <c r="D84" s="1108"/>
      <c r="E84" s="1108"/>
      <c r="F84" s="1108"/>
      <c r="G84" s="1108"/>
      <c r="H84" s="1108"/>
      <c r="I84" s="1111"/>
    </row>
    <row r="85" spans="2:9" ht="13.5">
      <c r="B85" s="591" t="s">
        <v>510</v>
      </c>
      <c r="I85" s="1111"/>
    </row>
    <row r="86" ht="13.5">
      <c r="I86" s="665"/>
    </row>
    <row r="87" ht="13.5">
      <c r="I87" s="1149"/>
    </row>
  </sheetData>
  <sheetProtection sheet="1" objects="1" scenarios="1"/>
  <mergeCells count="6">
    <mergeCell ref="J20:K20"/>
    <mergeCell ref="J21:K21"/>
    <mergeCell ref="J18:K18"/>
    <mergeCell ref="J19:K19"/>
    <mergeCell ref="C65:D65"/>
    <mergeCell ref="J5:K5"/>
  </mergeCells>
  <dataValidations count="1">
    <dataValidation type="list" allowBlank="1" showInputMessage="1" showErrorMessage="1" sqref="E14:E15 E18:E19 E22">
      <formula1>$I$2:$I$3</formula1>
    </dataValidation>
  </dataValidations>
  <printOptions horizontalCentered="1"/>
  <pageMargins left="0.7" right="0.7" top="0.75" bottom="0.75" header="0.3" footer="0.3"/>
  <pageSetup fitToHeight="1" fitToWidth="1" horizontalDpi="600" verticalDpi="600" orientation="portrait" paperSize="9" scale="57" r:id="rId2"/>
  <drawing r:id="rId1"/>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IF('対象者一覧表'!E8="","",'対象者一覧表'!E8)</f>
      </c>
      <c r="T3" s="1365"/>
      <c r="U3" s="1056">
        <f>IF('対象者一覧表'!F8="","",'対象者一覧表'!F8)</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IF('対象者一覧表'!D8="","",'対象者一覧表'!D8)</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IF('対象者一覧表'!H8="","",'対象者一覧表'!H8)</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709" t="s">
        <v>391</v>
      </c>
      <c r="V7" s="560"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561"/>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6"/>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6"/>
      <c r="W10" s="1006"/>
      <c r="X10" s="1023"/>
      <c r="Y10" s="557">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6"/>
      <c r="W11" s="1006"/>
      <c r="X11" s="1023"/>
      <c r="Y11" s="557">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6"/>
      <c r="W12" s="1006"/>
      <c r="X12" s="1023"/>
      <c r="Y12" s="557">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6"/>
      <c r="W13" s="1006"/>
      <c r="X13" s="1023"/>
      <c r="Y13" s="557">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6"/>
      <c r="W14" s="1006"/>
      <c r="X14" s="1023"/>
      <c r="Y14" s="557">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6"/>
      <c r="W15" s="1006"/>
      <c r="X15" s="1023"/>
      <c r="Y15" s="557">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6"/>
      <c r="W16" s="1006"/>
      <c r="X16" s="1023"/>
      <c r="Y16" s="557">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6"/>
      <c r="W17" s="1006"/>
      <c r="X17" s="1023"/>
      <c r="Y17" s="557">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6"/>
      <c r="W18" s="1006"/>
      <c r="X18" s="1023"/>
      <c r="Y18" s="557">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07"/>
      <c r="W19" s="1007"/>
      <c r="X19" s="1024"/>
      <c r="Y19" s="1027">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807"/>
      <c r="E21" s="566"/>
      <c r="F21" s="728"/>
      <c r="G21" s="583"/>
      <c r="H21" s="728"/>
      <c r="I21" s="728"/>
      <c r="J21" s="728"/>
      <c r="K21" s="728"/>
      <c r="L21" s="728"/>
      <c r="M21" s="728"/>
      <c r="N21" s="714"/>
      <c r="O21" s="566"/>
      <c r="P21" s="728"/>
      <c r="Q21" s="728"/>
      <c r="R21" s="1013"/>
      <c r="S21" s="728"/>
      <c r="T21" s="1004"/>
      <c r="U21" s="566"/>
      <c r="V21" s="1016"/>
      <c r="W21" s="566"/>
      <c r="X21" s="1025"/>
      <c r="Y21" s="546"/>
    </row>
    <row r="22" spans="1:25" ht="17.25" customHeight="1" thickBot="1">
      <c r="A22" s="573" t="s">
        <v>222</v>
      </c>
      <c r="B22" s="1357" t="s">
        <v>207</v>
      </c>
      <c r="C22" s="1358"/>
      <c r="D22" s="808"/>
      <c r="E22" s="567"/>
      <c r="F22" s="729"/>
      <c r="G22" s="584"/>
      <c r="H22" s="729"/>
      <c r="I22" s="729"/>
      <c r="J22" s="729"/>
      <c r="K22" s="729"/>
      <c r="L22" s="729"/>
      <c r="M22" s="729"/>
      <c r="N22" s="715"/>
      <c r="O22" s="567"/>
      <c r="P22" s="729"/>
      <c r="Q22" s="729"/>
      <c r="R22" s="1014"/>
      <c r="S22" s="729"/>
      <c r="T22" s="1005"/>
      <c r="U22" s="1008"/>
      <c r="V22" s="1017"/>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560" t="s">
        <v>391</v>
      </c>
      <c r="V25" s="560" t="s">
        <v>366</v>
      </c>
      <c r="W25" s="560" t="s">
        <v>392</v>
      </c>
      <c r="X25" s="709"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730">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7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574"/>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34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574"/>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574"/>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34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34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574"/>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34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34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34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34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781">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78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T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SUM(U26:U39)</f>
        <v>0</v>
      </c>
      <c r="V40" s="786">
        <f>SUM(V26:V39)</f>
        <v>0</v>
      </c>
      <c r="W40" s="786">
        <f>SUM(W26:W39)</f>
        <v>0</v>
      </c>
      <c r="X40" s="787">
        <f>SUM(X26:X39)</f>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84" zoomScaleNormal="75" zoomScaleSheetLayoutView="84" workbookViewId="0" topLeftCell="A1">
      <selection activeCell="S2" sqref="S2:U2"/>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IF('対象者一覧表'!E9="","",'対象者一覧表'!E9)</f>
      </c>
      <c r="T3" s="1365"/>
      <c r="U3" s="1056">
        <f>IF('対象者一覧表'!F9="","",'対象者一覧表'!F9)</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IF('対象者一覧表'!D9="","",'対象者一覧表'!D9)</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IF('対象者一覧表'!H9="","",'対象者一覧表'!H9)</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560" t="s">
        <v>183</v>
      </c>
      <c r="U7" s="560" t="s">
        <v>391</v>
      </c>
      <c r="V7" s="560" t="s">
        <v>366</v>
      </c>
      <c r="W7" s="560" t="s">
        <v>394</v>
      </c>
      <c r="X7" s="560" t="s">
        <v>395</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561"/>
      <c r="U8" s="561"/>
      <c r="V8" s="561"/>
      <c r="W8" s="561"/>
      <c r="X8" s="561"/>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371"/>
      <c r="U9" s="371"/>
      <c r="V9" s="371"/>
      <c r="W9" s="371"/>
      <c r="X9" s="371"/>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371"/>
      <c r="U10" s="371"/>
      <c r="V10" s="371"/>
      <c r="W10" s="371"/>
      <c r="X10" s="371"/>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371"/>
      <c r="U11" s="371"/>
      <c r="V11" s="371"/>
      <c r="W11" s="371"/>
      <c r="X11" s="371"/>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371"/>
      <c r="U12" s="371"/>
      <c r="V12" s="371"/>
      <c r="W12" s="371"/>
      <c r="X12" s="371"/>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371"/>
      <c r="U13" s="371"/>
      <c r="V13" s="371"/>
      <c r="W13" s="371"/>
      <c r="X13" s="371"/>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371"/>
      <c r="U14" s="371"/>
      <c r="V14" s="371"/>
      <c r="W14" s="371"/>
      <c r="X14" s="371"/>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371"/>
      <c r="U15" s="371"/>
      <c r="V15" s="371"/>
      <c r="W15" s="371"/>
      <c r="X15" s="371"/>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371"/>
      <c r="U16" s="371"/>
      <c r="V16" s="371"/>
      <c r="W16" s="371"/>
      <c r="X16" s="371"/>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371"/>
      <c r="U17" s="371"/>
      <c r="V17" s="371"/>
      <c r="W17" s="371"/>
      <c r="X17" s="371"/>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371"/>
      <c r="U18" s="371"/>
      <c r="V18" s="371"/>
      <c r="W18" s="371"/>
      <c r="X18" s="371"/>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562"/>
      <c r="U19" s="562"/>
      <c r="V19" s="562"/>
      <c r="W19" s="562"/>
      <c r="X19" s="562"/>
      <c r="Y19" s="1019">
        <f t="shared" si="0"/>
        <v>0</v>
      </c>
    </row>
    <row r="20" spans="1:26" ht="17.25" customHeight="1">
      <c r="A20" s="571"/>
      <c r="B20" s="1336" t="s">
        <v>91</v>
      </c>
      <c r="C20" s="1337"/>
      <c r="D20" s="776">
        <f aca="true" t="shared" si="1" ref="D20:T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544">
        <f>SUM(U8:U19)</f>
        <v>0</v>
      </c>
      <c r="V20" s="544">
        <f>SUM(V8:V19)</f>
        <v>0</v>
      </c>
      <c r="W20" s="544">
        <f>SUM(W8:W19)</f>
        <v>0</v>
      </c>
      <c r="X20" s="713">
        <f>SUM(X8:X19)</f>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16"/>
      <c r="W21" s="566"/>
      <c r="X21" s="1011"/>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567"/>
      <c r="V22" s="1030"/>
      <c r="W22" s="567"/>
      <c r="X22" s="1029"/>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560" t="s">
        <v>391</v>
      </c>
      <c r="V25" s="560" t="s">
        <v>366</v>
      </c>
      <c r="W25" s="560" t="s">
        <v>394</v>
      </c>
      <c r="X25" s="709" t="s">
        <v>395</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730">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7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574"/>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34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574"/>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574"/>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34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34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574"/>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34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34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34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34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78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T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SUM(U26:U39)</f>
        <v>0</v>
      </c>
      <c r="V40" s="786">
        <f>SUM(V26:V39)</f>
        <v>0</v>
      </c>
      <c r="W40" s="786">
        <f>SUM(W26:W39)</f>
        <v>0</v>
      </c>
      <c r="X40" s="787">
        <f>SUM(X26:X39)</f>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IF('対象者一覧表'!E10="","",'対象者一覧表'!E10)</f>
      </c>
      <c r="T3" s="1365"/>
      <c r="U3" s="1056">
        <f>IF('対象者一覧表'!F10="","",'対象者一覧表'!F10)</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IF('対象者一覧表'!D10="","",'対象者一覧表'!D10)</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IF('対象者一覧表'!H10="","",'対象者一覧表'!H10)</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IF('対象者一覧表'!E11="","",'対象者一覧表'!E11)</f>
      </c>
      <c r="T3" s="1365"/>
      <c r="U3" s="1056">
        <f>IF('対象者一覧表'!F11="","",'対象者一覧表'!F11)</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IF('対象者一覧表'!D11="","",'対象者一覧表'!D11)</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IF('対象者一覧表'!H11="","",'対象者一覧表'!H11)</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IF('対象者一覧表'!E12="","",'対象者一覧表'!E12)</f>
      </c>
      <c r="T3" s="1365"/>
      <c r="U3" s="1056">
        <f>IF('対象者一覧表'!F12="","",'対象者一覧表'!F12)</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IF('対象者一覧表'!D12="","",'対象者一覧表'!D12)</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IF('対象者一覧表'!H12="","",'対象者一覧表'!H12)</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IF('対象者一覧表'!E13="","",'対象者一覧表'!E13)</f>
      </c>
      <c r="T3" s="1365"/>
      <c r="U3" s="1056">
        <f>IF('対象者一覧表'!F13="","",'対象者一覧表'!F13)</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IF('対象者一覧表'!D13="","",'対象者一覧表'!D13)</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IF('対象者一覧表'!H13="","",'対象者一覧表'!H13)</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IF('対象者一覧表'!E14="","",'対象者一覧表'!E14)</f>
      </c>
      <c r="T3" s="1365"/>
      <c r="U3" s="1056">
        <f>IF('対象者一覧表'!F14="","",'対象者一覧表'!F14)</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IF('対象者一覧表'!D14="","",'対象者一覧表'!D14)</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IF('対象者一覧表'!H14="","",'対象者一覧表'!H14)</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IF('対象者一覧表'!E15="","",'対象者一覧表'!E15)</f>
      </c>
      <c r="T3" s="1365"/>
      <c r="U3" s="1056">
        <f>IF('対象者一覧表'!F15="","",'対象者一覧表'!F15)</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IF('対象者一覧表'!D15="","",'対象者一覧表'!D15)</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IF('対象者一覧表'!H15="","",'対象者一覧表'!H15)</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IF('対象者一覧表'!E16="","",'対象者一覧表'!E16)</f>
      </c>
      <c r="T3" s="1365"/>
      <c r="U3" s="1056">
        <f>IF('対象者一覧表'!F16="","",'対象者一覧表'!F16)</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IF('対象者一覧表'!D16="","",'対象者一覧表'!D16)</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IF('対象者一覧表'!H16="","",'対象者一覧表'!H16)</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IF('対象者一覧表'!E17="","",'対象者一覧表'!E17)</f>
      </c>
      <c r="T3" s="1365"/>
      <c r="U3" s="1056">
        <f>IF('対象者一覧表'!F17="","",'対象者一覧表'!F17)</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IF('対象者一覧表'!D17="","",'対象者一覧表'!D17)</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IF('対象者一覧表'!H17="","",'対象者一覧表'!H17)</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1013"/>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1014"/>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30">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557">
        <f>SUM(D26:X26)</f>
        <v>0</v>
      </c>
    </row>
    <row r="27" spans="1:25" ht="17.25" customHeight="1" thickBot="1">
      <c r="A27" s="1057" t="s">
        <v>95</v>
      </c>
      <c r="B27" s="49" t="s">
        <v>96</v>
      </c>
      <c r="C27" s="551">
        <v>0</v>
      </c>
      <c r="D27" s="731">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557">
        <f aca="true" t="shared" si="2" ref="Y27:Y39">SUM(D27:X27)</f>
        <v>0</v>
      </c>
    </row>
    <row r="28" spans="1:25" ht="17.25" customHeight="1" thickBot="1">
      <c r="A28" s="1058" t="s">
        <v>397</v>
      </c>
      <c r="B28" s="49" t="s">
        <v>96</v>
      </c>
      <c r="C28" s="551">
        <v>0</v>
      </c>
      <c r="D28" s="732"/>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557">
        <f t="shared" si="2"/>
        <v>0</v>
      </c>
    </row>
    <row r="29" spans="1:25" ht="17.25" customHeight="1" thickBot="1">
      <c r="A29" s="1058" t="s">
        <v>398</v>
      </c>
      <c r="B29" s="49" t="s">
        <v>96</v>
      </c>
      <c r="C29" s="551">
        <v>0</v>
      </c>
      <c r="D29" s="731">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557">
        <f t="shared" si="2"/>
        <v>0</v>
      </c>
    </row>
    <row r="30" spans="1:25" ht="17.25" customHeight="1" thickBot="1">
      <c r="A30" s="1058" t="s">
        <v>236</v>
      </c>
      <c r="B30" s="49" t="s">
        <v>96</v>
      </c>
      <c r="C30" s="552">
        <v>83.83</v>
      </c>
      <c r="D30" s="341">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557">
        <f t="shared" si="2"/>
        <v>0</v>
      </c>
    </row>
    <row r="31" spans="1:25" ht="17.25" customHeight="1" thickBot="1">
      <c r="A31" s="1058" t="s">
        <v>397</v>
      </c>
      <c r="B31" s="49" t="s">
        <v>96</v>
      </c>
      <c r="C31" s="551">
        <v>0</v>
      </c>
      <c r="D31" s="732"/>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557">
        <f t="shared" si="2"/>
        <v>0</v>
      </c>
    </row>
    <row r="32" spans="1:25" ht="17.25" customHeight="1" thickBot="1">
      <c r="A32" s="1058" t="s">
        <v>398</v>
      </c>
      <c r="B32" s="49" t="s">
        <v>96</v>
      </c>
      <c r="C32" s="551">
        <v>0</v>
      </c>
      <c r="D32" s="731">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557">
        <f t="shared" si="2"/>
        <v>0</v>
      </c>
    </row>
    <row r="33" spans="1:25" ht="17.25" customHeight="1" thickBot="1">
      <c r="A33" s="1058" t="s">
        <v>414</v>
      </c>
      <c r="B33" s="49" t="s">
        <v>96</v>
      </c>
      <c r="C33" s="552">
        <v>85.6</v>
      </c>
      <c r="D33" s="732"/>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557">
        <f t="shared" si="2"/>
        <v>0</v>
      </c>
    </row>
    <row r="34" spans="1:25" ht="17.25" customHeight="1" thickBot="1">
      <c r="A34" s="1059" t="s">
        <v>220</v>
      </c>
      <c r="B34" s="49" t="s">
        <v>96</v>
      </c>
      <c r="C34" s="554">
        <v>0</v>
      </c>
      <c r="D34" s="731">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557">
        <f t="shared" si="2"/>
        <v>0</v>
      </c>
    </row>
    <row r="35" spans="1:25" ht="17.25" customHeight="1" thickBot="1">
      <c r="A35" s="1059" t="s">
        <v>318</v>
      </c>
      <c r="B35" s="49" t="s">
        <v>96</v>
      </c>
      <c r="C35" s="554">
        <v>0</v>
      </c>
      <c r="D35" s="732"/>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557">
        <f t="shared" si="2"/>
        <v>0</v>
      </c>
    </row>
    <row r="36" spans="1:25" ht="17.25" customHeight="1" thickBot="1">
      <c r="A36" s="1059" t="s">
        <v>97</v>
      </c>
      <c r="B36" s="49" t="s">
        <v>96</v>
      </c>
      <c r="C36" s="551">
        <v>0</v>
      </c>
      <c r="D36" s="731">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557">
        <f t="shared" si="2"/>
        <v>0</v>
      </c>
    </row>
    <row r="37" spans="1:25" ht="17.25" customHeight="1" thickBot="1">
      <c r="A37" s="1059" t="s">
        <v>98</v>
      </c>
      <c r="B37" s="49" t="s">
        <v>96</v>
      </c>
      <c r="C37" s="554">
        <v>0</v>
      </c>
      <c r="D37" s="731">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557">
        <f t="shared" si="2"/>
        <v>0</v>
      </c>
    </row>
    <row r="38" spans="1:25" ht="17.25" customHeight="1" thickBot="1">
      <c r="A38" s="1059" t="s">
        <v>98</v>
      </c>
      <c r="B38" s="49" t="s">
        <v>96</v>
      </c>
      <c r="C38" s="554">
        <v>0</v>
      </c>
      <c r="D38" s="731">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557">
        <f t="shared" si="2"/>
        <v>0</v>
      </c>
    </row>
    <row r="39" spans="1:25" ht="17.25" customHeight="1" thickBot="1">
      <c r="A39" s="1060" t="s">
        <v>205</v>
      </c>
      <c r="B39" s="49" t="s">
        <v>96</v>
      </c>
      <c r="C39" s="554">
        <v>1.5</v>
      </c>
      <c r="D39" s="782">
        <f>IF(D22=0,"",ROUND(LOOKUP(D22,'2409'!$D$19:$E$48,'2409'!$C$19:$C$48)*$C$39/1000,0))</f>
      </c>
      <c r="E39" s="783">
        <f>IF(E22=0,"",ROUND(LOOKUP(E22,'2409'!$D$19:$E$48,'2409'!$C$19:$C$48)*$C$39/1000,0))</f>
      </c>
      <c r="F39" s="783">
        <f>IF(F22=0,"",ROUND(LOOKUP(F22,'2409'!$D$19:$E$48,'2409'!$C$19:$C$48)*$C$39/1000,0))</f>
      </c>
      <c r="G39" s="783">
        <f>IF(G20=0,"",ROUND((ROUNDDOWN(G20,-3)*$C$39/1000),0))</f>
      </c>
      <c r="H39" s="783">
        <f>IF(H22=0,"",ROUND(LOOKUP(H22,'2409'!$D$19:$E$48,'2409'!$C$19:$C$48)*$C$39/1000,0))</f>
      </c>
      <c r="I39" s="783">
        <f>IF(I22=0,"",ROUND(LOOKUP(I22,'2409'!$D$19:$E$48,'2409'!$C$19:$C$48)*$C$39/1000,0))</f>
      </c>
      <c r="J39" s="783">
        <f>IF(J22=0,"",ROUND(LOOKUP(J22,'2409'!$D$19:$E$48,'2409'!$C$19:$C$48)*$C$39/1000,0))</f>
      </c>
      <c r="K39" s="783">
        <f>IF(K22=0,"",ROUND(LOOKUP(K22,'2409'!$D$19:$E$48,'2409'!$C$19:$C$48)*$C$39/1000,0))</f>
      </c>
      <c r="L39" s="783">
        <f>IF(L22=0,"",ROUND(LOOKUP(L22,'2409'!$D$19:$E$48,'2409'!$C$19:$C$48)*$C$39/1000,0))</f>
      </c>
      <c r="M39" s="783">
        <f>IF(M22=0,"",ROUND(LOOKUP(M22,'2409'!$D$19:$E$48,'2409'!$C$19:$C$48)*$C$39/1000,0))</f>
      </c>
      <c r="N39" s="784">
        <f>IF(N20=0,"",ROUND((ROUNDDOWN(N20,-3)*$C$39/1000),0))</f>
      </c>
      <c r="O39" s="783">
        <f>IF(O22=0,"",ROUND(LOOKUP(O22,'2409'!$D$19:$E$48,'2409'!$C$19:$C$48)*$C$39/1000,0))</f>
      </c>
      <c r="P39" s="783">
        <f>IF(P22=0,"",ROUND(LOOKUP(P22,'2409'!$D$19:$E$48,'2409'!$C$19:$C$48)*$C$39/1000,0))</f>
      </c>
      <c r="Q39" s="783">
        <f>IF(Q22=0,"",ROUND(LOOKUP(Q22,'2409'!$D$19:$E$48,'2409'!$C$19:$C$48)*$C$39/1000,0))</f>
      </c>
      <c r="R39" s="783">
        <f>IF(R20=0,"",ROUND((ROUNDDOWN(R20,-3)*$C$39/1000),0))</f>
      </c>
      <c r="S39" s="782">
        <f>IF(S22=0,"",ROUND(LOOKUP(S22,'2409'!$D$19:$E$48,'2409'!$C$19:$C$48)*$C$39/1000,0))</f>
      </c>
      <c r="T39" s="783">
        <f>IF(T22=0,"",ROUND(LOOKUP(T22,'2409'!$D$19:$E$48,'2409'!$C$19:$C$48)*$C$39/1000,0))</f>
      </c>
      <c r="U39" s="1033">
        <f>IF(U22=0,"",ROUND(LOOKUP(U22,'2409'!$D$19:$E$48,'2409'!$C$19:$C$48)*$C$39/1000,0))</f>
      </c>
      <c r="V39" s="783">
        <f>IF(V20=0,"",ROUND((ROUNDDOWN(V20,-3)*$C$39/1000),0))</f>
      </c>
      <c r="W39" s="783">
        <f>IF(W22=0,"",ROUND(LOOKUP(W22,'2409'!$D$19:$E$48,'2409'!$C$19:$C$48)*$C$39/1000,0))</f>
      </c>
      <c r="X39" s="784">
        <f>IF(X22=0,"",ROUND(LOOKUP(X22,'2409'!$D$19:$E$48,'2409'!$C$19:$C$48)*$C$39/1000,0))</f>
      </c>
      <c r="Y39" s="557">
        <f t="shared" si="2"/>
        <v>0</v>
      </c>
    </row>
    <row r="40" spans="1:26" ht="17.25" customHeight="1" thickBot="1">
      <c r="A40" s="822" t="s">
        <v>99</v>
      </c>
      <c r="B40" s="822"/>
      <c r="C40" s="733"/>
      <c r="D40" s="793">
        <f aca="true" t="shared" si="7" ref="D40:X40">SUM(D26:D39)</f>
        <v>0</v>
      </c>
      <c r="E40" s="786">
        <f t="shared" si="7"/>
        <v>0</v>
      </c>
      <c r="F40" s="786">
        <f t="shared" si="7"/>
        <v>0</v>
      </c>
      <c r="G40" s="786">
        <f>SUM(G26:G39)</f>
        <v>0</v>
      </c>
      <c r="H40" s="786">
        <f t="shared" si="7"/>
        <v>0</v>
      </c>
      <c r="I40" s="786">
        <f t="shared" si="7"/>
        <v>0</v>
      </c>
      <c r="J40" s="786">
        <f t="shared" si="7"/>
        <v>0</v>
      </c>
      <c r="K40" s="786">
        <f t="shared" si="7"/>
        <v>0</v>
      </c>
      <c r="L40" s="786">
        <f t="shared" si="7"/>
        <v>0</v>
      </c>
      <c r="M40" s="786">
        <f t="shared" si="7"/>
        <v>0</v>
      </c>
      <c r="N40" s="787">
        <f t="shared" si="7"/>
        <v>0</v>
      </c>
      <c r="O40" s="786">
        <f t="shared" si="7"/>
        <v>0</v>
      </c>
      <c r="P40" s="786">
        <f t="shared" si="7"/>
        <v>0</v>
      </c>
      <c r="Q40" s="786">
        <f t="shared" si="7"/>
        <v>0</v>
      </c>
      <c r="R40" s="786">
        <f t="shared" si="7"/>
        <v>0</v>
      </c>
      <c r="S40" s="785">
        <f t="shared" si="7"/>
        <v>0</v>
      </c>
      <c r="T40" s="786">
        <f t="shared" si="7"/>
        <v>0</v>
      </c>
      <c r="U40" s="786">
        <f t="shared" si="7"/>
        <v>0</v>
      </c>
      <c r="V40" s="786">
        <f t="shared" si="7"/>
        <v>0</v>
      </c>
      <c r="W40" s="786">
        <f t="shared" si="7"/>
        <v>0</v>
      </c>
      <c r="X40" s="787">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I42"/>
  <sheetViews>
    <sheetView showGridLines="0" tabSelected="1" zoomScale="84" zoomScaleNormal="84" zoomScaleSheetLayoutView="93" zoomScalePageLayoutView="66" workbookViewId="0" topLeftCell="A7">
      <selection activeCell="D32" sqref="D32"/>
    </sheetView>
  </sheetViews>
  <sheetFormatPr defaultColWidth="9.140625" defaultRowHeight="15"/>
  <cols>
    <col min="1" max="1" width="24.421875" style="1" customWidth="1"/>
    <col min="2" max="2" width="18.7109375" style="1" customWidth="1"/>
    <col min="3" max="3" width="20.8515625" style="1" customWidth="1"/>
    <col min="4" max="4" width="19.421875" style="1" customWidth="1"/>
    <col min="5" max="5" width="18.7109375" style="1" customWidth="1"/>
    <col min="6" max="6" width="18.8515625" style="1" customWidth="1"/>
    <col min="7" max="7" width="15.7109375" style="1" customWidth="1"/>
    <col min="8" max="8" width="16.7109375" style="1" customWidth="1"/>
    <col min="9" max="10" width="1.8515625" style="1" customWidth="1"/>
    <col min="11" max="16384" width="9.00390625" style="1" customWidth="1"/>
  </cols>
  <sheetData>
    <row r="1" ht="13.5">
      <c r="A1" s="1" t="s">
        <v>455</v>
      </c>
    </row>
    <row r="2" spans="1:3" ht="13.5">
      <c r="A2" s="587"/>
      <c r="C2" s="587" t="s">
        <v>456</v>
      </c>
    </row>
    <row r="4" spans="1:7" ht="13.5">
      <c r="A4" s="684" t="s">
        <v>324</v>
      </c>
      <c r="B4" s="684"/>
      <c r="F4" s="1251" t="s">
        <v>0</v>
      </c>
      <c r="G4" s="1251"/>
    </row>
    <row r="5" spans="1:7" ht="24.75" customHeight="1">
      <c r="A5" s="1235" t="s">
        <v>325</v>
      </c>
      <c r="B5" s="1139"/>
      <c r="C5" s="1234" t="s">
        <v>326</v>
      </c>
      <c r="D5" s="1233"/>
      <c r="E5" s="94" t="s">
        <v>327</v>
      </c>
      <c r="F5" s="1234" t="s">
        <v>39</v>
      </c>
      <c r="G5" s="1233"/>
    </row>
    <row r="6" spans="1:7" ht="27">
      <c r="A6" s="1236"/>
      <c r="B6" s="1134" t="s">
        <v>459</v>
      </c>
      <c r="C6" s="1258" t="s">
        <v>462</v>
      </c>
      <c r="D6" s="1259"/>
      <c r="E6" s="686" t="s">
        <v>328</v>
      </c>
      <c r="F6" s="1258" t="s">
        <v>458</v>
      </c>
      <c r="G6" s="1259"/>
    </row>
    <row r="7" spans="1:7" ht="13.5">
      <c r="A7" s="1237"/>
      <c r="B7" s="1140"/>
      <c r="C7" s="687" t="s">
        <v>329</v>
      </c>
      <c r="D7" s="688" t="s">
        <v>42</v>
      </c>
      <c r="E7" s="688" t="s">
        <v>42</v>
      </c>
      <c r="F7" s="1237" t="s">
        <v>42</v>
      </c>
      <c r="G7" s="1260"/>
    </row>
    <row r="8" spans="1:7" ht="31.5" customHeight="1">
      <c r="A8" s="698" t="s">
        <v>330</v>
      </c>
      <c r="B8" s="813">
        <f>B32</f>
        <v>0</v>
      </c>
      <c r="C8" s="1135">
        <f>C32</f>
        <v>0</v>
      </c>
      <c r="D8" s="809">
        <f>D32</f>
        <v>0</v>
      </c>
      <c r="E8" s="739">
        <f>E32</f>
        <v>0</v>
      </c>
      <c r="F8" s="1238">
        <f>F32</f>
        <v>0</v>
      </c>
      <c r="G8" s="1239"/>
    </row>
    <row r="9" spans="1:7" ht="31.5" customHeight="1">
      <c r="A9" s="1203" t="str">
        <f>'使い方'!E6</f>
        <v>Ｂ金属株式会社</v>
      </c>
      <c r="B9" s="1201"/>
      <c r="C9" s="1136"/>
      <c r="D9" s="810"/>
      <c r="E9" s="1202"/>
      <c r="F9" s="811"/>
      <c r="G9" s="1136"/>
    </row>
    <row r="10" spans="1:7" ht="31.5" customHeight="1">
      <c r="A10" s="690"/>
      <c r="B10" s="1141"/>
      <c r="C10" s="1136"/>
      <c r="D10" s="810"/>
      <c r="E10" s="811"/>
      <c r="F10" s="1240"/>
      <c r="G10" s="1241"/>
    </row>
    <row r="11" spans="1:7" ht="31.5" customHeight="1" thickBot="1">
      <c r="A11" s="1138"/>
      <c r="B11" s="1142"/>
      <c r="C11" s="1137"/>
      <c r="D11" s="810"/>
      <c r="E11" s="812"/>
      <c r="F11" s="812"/>
      <c r="G11" s="1137"/>
    </row>
    <row r="12" spans="1:7" ht="31.5" customHeight="1" thickBot="1">
      <c r="A12" s="1242" t="s">
        <v>1</v>
      </c>
      <c r="B12" s="1243"/>
      <c r="C12" s="813">
        <f>SUM(C8:C11)</f>
        <v>0</v>
      </c>
      <c r="D12" s="813">
        <f>SUM(D8:D11)</f>
        <v>0</v>
      </c>
      <c r="E12" s="741">
        <f>SUM(E8:E11)</f>
        <v>0</v>
      </c>
      <c r="F12" s="1244">
        <f>SUM(F8:F11)</f>
        <v>0</v>
      </c>
      <c r="G12" s="1245"/>
    </row>
    <row r="13" spans="1:7" ht="22.5" customHeight="1">
      <c r="A13" s="691"/>
      <c r="B13" s="691"/>
      <c r="C13" s="911"/>
      <c r="D13" s="911"/>
      <c r="E13" s="911"/>
      <c r="F13" s="912"/>
      <c r="G13" s="912"/>
    </row>
    <row r="14" spans="1:8" ht="13.5">
      <c r="A14" s="587" t="s">
        <v>331</v>
      </c>
      <c r="B14" s="692" t="s">
        <v>242</v>
      </c>
      <c r="C14" s="918" t="str">
        <f>A9</f>
        <v>Ｂ金属株式会社</v>
      </c>
      <c r="D14" s="1" t="s">
        <v>298</v>
      </c>
      <c r="E14" s="1246" t="s">
        <v>461</v>
      </c>
      <c r="F14" s="1246"/>
      <c r="G14" s="1246"/>
      <c r="H14" s="693"/>
    </row>
    <row r="15" spans="1:8" ht="13.5">
      <c r="A15" s="587"/>
      <c r="B15" s="692"/>
      <c r="C15" s="913"/>
      <c r="H15" s="693"/>
    </row>
    <row r="16" spans="2:9" ht="18.75">
      <c r="B16" s="1261" t="s">
        <v>468</v>
      </c>
      <c r="C16" s="908" t="str">
        <f>IF('使い方'!$H$14=C17,"☑","□")</f>
        <v>☑</v>
      </c>
      <c r="D16" s="908" t="str">
        <f>IF('使い方'!$H$14=D17,"☑","□")</f>
        <v>□</v>
      </c>
      <c r="E16" s="908" t="str">
        <f>IF('使い方'!$H$14=E17,"☑","□")</f>
        <v>□</v>
      </c>
      <c r="F16" s="908" t="str">
        <f>IF('使い方'!$H$18=F17,"☑","□")</f>
        <v>☑</v>
      </c>
      <c r="G16" s="908" t="str">
        <f>IF('使い方'!$H$18=G17,"☑","□")</f>
        <v>□</v>
      </c>
      <c r="H16" s="909" t="str">
        <f>IF('使い方'!$H$18=H17,"☑","□")</f>
        <v>□</v>
      </c>
      <c r="I16" s="693"/>
    </row>
    <row r="17" spans="2:9" ht="18.75" customHeight="1">
      <c r="B17" s="1262"/>
      <c r="C17" s="906" t="s">
        <v>469</v>
      </c>
      <c r="D17" s="906" t="s">
        <v>470</v>
      </c>
      <c r="E17" s="907" t="s">
        <v>363</v>
      </c>
      <c r="F17" s="907" t="s">
        <v>261</v>
      </c>
      <c r="G17" s="907" t="s">
        <v>263</v>
      </c>
      <c r="H17" s="907" t="s">
        <v>262</v>
      </c>
      <c r="I17" s="693"/>
    </row>
    <row r="18" spans="1:9" ht="22.5" customHeight="1">
      <c r="A18" s="1247" t="s">
        <v>28</v>
      </c>
      <c r="B18" s="685"/>
      <c r="C18" s="1234" t="s">
        <v>344</v>
      </c>
      <c r="D18" s="1233"/>
      <c r="E18" s="94" t="s">
        <v>343</v>
      </c>
      <c r="F18" s="94" t="s">
        <v>342</v>
      </c>
      <c r="G18" s="1252" t="s">
        <v>354</v>
      </c>
      <c r="H18" s="1253"/>
      <c r="I18" s="693"/>
    </row>
    <row r="19" spans="1:8" ht="27" customHeight="1">
      <c r="A19" s="1248"/>
      <c r="B19" s="1134" t="s">
        <v>459</v>
      </c>
      <c r="C19" s="1235" t="s">
        <v>462</v>
      </c>
      <c r="D19" s="1250"/>
      <c r="E19" s="703" t="s">
        <v>241</v>
      </c>
      <c r="F19" s="685" t="s">
        <v>458</v>
      </c>
      <c r="G19" s="1254"/>
      <c r="H19" s="1255"/>
    </row>
    <row r="20" spans="1:8" ht="24" customHeight="1">
      <c r="A20" s="1249"/>
      <c r="B20" s="1133"/>
      <c r="C20" s="687" t="s">
        <v>329</v>
      </c>
      <c r="D20" s="687" t="s">
        <v>353</v>
      </c>
      <c r="E20" s="687" t="s">
        <v>353</v>
      </c>
      <c r="F20" s="1133" t="s">
        <v>353</v>
      </c>
      <c r="G20" s="1256"/>
      <c r="H20" s="1257"/>
    </row>
    <row r="21" spans="1:8" ht="29.25" customHeight="1">
      <c r="A21" s="689" t="s">
        <v>457</v>
      </c>
      <c r="B21" s="1146">
        <v>0</v>
      </c>
      <c r="C21" s="1144">
        <f>'(４)経費明細表チェックリスト'!E17</f>
        <v>0</v>
      </c>
      <c r="D21" s="814">
        <f>'(４)経費明細表チェックリスト'!F17</f>
        <v>0</v>
      </c>
      <c r="E21" s="814">
        <f>'(４)経費明細表チェックリスト'!H17</f>
        <v>0</v>
      </c>
      <c r="F21" s="815">
        <f>ROUNDDOWN(E21*2/3,0)</f>
        <v>0</v>
      </c>
      <c r="G21" s="654" t="s">
        <v>359</v>
      </c>
      <c r="H21" s="694"/>
    </row>
    <row r="22" spans="1:8" ht="29.25" customHeight="1">
      <c r="A22" s="695" t="s">
        <v>45</v>
      </c>
      <c r="B22" s="1147">
        <v>0</v>
      </c>
      <c r="C22" s="1143">
        <f>'(４)経費明細表チェックリスト'!E18</f>
        <v>0</v>
      </c>
      <c r="D22" s="816">
        <f>'(４)経費明細表チェックリスト'!F18</f>
        <v>0</v>
      </c>
      <c r="E22" s="816">
        <f>'(４)経費明細表チェックリスト'!H18</f>
        <v>0</v>
      </c>
      <c r="F22" s="817">
        <f aca="true" t="shared" si="0" ref="F22:F31">ROUNDDOWN(E22*2/3,0)</f>
        <v>0</v>
      </c>
      <c r="G22" s="654"/>
      <c r="H22" s="696"/>
    </row>
    <row r="23" spans="1:8" ht="29.25" customHeight="1">
      <c r="A23" s="695" t="s">
        <v>68</v>
      </c>
      <c r="B23" s="1147">
        <v>0</v>
      </c>
      <c r="C23" s="1143">
        <f>'(４)経費明細表チェックリスト'!E19</f>
        <v>0</v>
      </c>
      <c r="D23" s="816">
        <f>'(４)経費明細表チェックリスト'!F19</f>
        <v>0</v>
      </c>
      <c r="E23" s="816">
        <f>'(４)経費明細表チェックリスト'!H19</f>
        <v>0</v>
      </c>
      <c r="F23" s="817">
        <f t="shared" si="0"/>
        <v>0</v>
      </c>
      <c r="H23" s="697"/>
    </row>
    <row r="24" spans="1:8" ht="29.25" customHeight="1">
      <c r="A24" s="695" t="s">
        <v>58</v>
      </c>
      <c r="B24" s="1147">
        <v>0</v>
      </c>
      <c r="C24" s="1143">
        <f>'(４)経費明細表チェックリスト'!E20</f>
        <v>0</v>
      </c>
      <c r="D24" s="816">
        <f>'(４)経費明細表チェックリスト'!F20</f>
        <v>0</v>
      </c>
      <c r="E24" s="816">
        <f>'(４)経費明細表チェックリスト'!H20</f>
        <v>0</v>
      </c>
      <c r="F24" s="817">
        <f t="shared" si="0"/>
        <v>0</v>
      </c>
      <c r="G24" s="654"/>
      <c r="H24" s="696"/>
    </row>
    <row r="25" spans="1:8" ht="29.25" customHeight="1">
      <c r="A25" s="695" t="s">
        <v>62</v>
      </c>
      <c r="B25" s="1147">
        <v>0</v>
      </c>
      <c r="C25" s="1143">
        <f>'(４)経費明細表チェックリスト'!E21</f>
        <v>0</v>
      </c>
      <c r="D25" s="816">
        <f>'(４)経費明細表チェックリスト'!F21</f>
        <v>0</v>
      </c>
      <c r="E25" s="816">
        <f>'(４)経費明細表チェックリスト'!H21</f>
        <v>0</v>
      </c>
      <c r="F25" s="817">
        <f t="shared" si="0"/>
        <v>0</v>
      </c>
      <c r="G25" s="654"/>
      <c r="H25" s="696"/>
    </row>
    <row r="26" spans="1:8" ht="29.25" customHeight="1">
      <c r="A26" s="695" t="s">
        <v>59</v>
      </c>
      <c r="B26" s="1147">
        <v>0</v>
      </c>
      <c r="C26" s="1143">
        <f>'(４)経費明細表チェックリスト'!E22</f>
        <v>0</v>
      </c>
      <c r="D26" s="816">
        <f>'(４)経費明細表チェックリスト'!F22</f>
        <v>0</v>
      </c>
      <c r="E26" s="816">
        <f>'(４)経費明細表チェックリスト'!H22</f>
        <v>0</v>
      </c>
      <c r="F26" s="817">
        <f t="shared" si="0"/>
        <v>0</v>
      </c>
      <c r="G26" s="654"/>
      <c r="H26" s="696"/>
    </row>
    <row r="27" spans="1:8" ht="29.25" customHeight="1">
      <c r="A27" s="695" t="s">
        <v>284</v>
      </c>
      <c r="B27" s="1147">
        <v>0</v>
      </c>
      <c r="C27" s="1143">
        <f>'(４)経費明細表チェックリスト'!E23</f>
        <v>0</v>
      </c>
      <c r="D27" s="816">
        <f>'(４)経費明細表チェックリスト'!F23</f>
        <v>0</v>
      </c>
      <c r="E27" s="816">
        <f>'(４)経費明細表チェックリスト'!H23</f>
        <v>0</v>
      </c>
      <c r="F27" s="817">
        <f t="shared" si="0"/>
        <v>0</v>
      </c>
      <c r="G27" s="654"/>
      <c r="H27" s="696"/>
    </row>
    <row r="28" spans="1:8" ht="29.25" customHeight="1">
      <c r="A28" s="695" t="s">
        <v>63</v>
      </c>
      <c r="B28" s="1147">
        <v>0</v>
      </c>
      <c r="C28" s="1143">
        <f>'(４)経費明細表チェックリスト'!E24</f>
        <v>0</v>
      </c>
      <c r="D28" s="816">
        <f>'(４)経費明細表チェックリスト'!F24</f>
        <v>0</v>
      </c>
      <c r="E28" s="816">
        <f>'(４)経費明細表チェックリスト'!H24</f>
        <v>0</v>
      </c>
      <c r="F28" s="817">
        <f t="shared" si="0"/>
        <v>0</v>
      </c>
      <c r="G28" s="654"/>
      <c r="H28" s="696"/>
    </row>
    <row r="29" spans="1:8" ht="29.25" customHeight="1">
      <c r="A29" s="695" t="s">
        <v>61</v>
      </c>
      <c r="B29" s="1147">
        <v>0</v>
      </c>
      <c r="C29" s="1143">
        <f>'(４)経費明細表チェックリスト'!E25</f>
        <v>0</v>
      </c>
      <c r="D29" s="816">
        <f>'(４)経費明細表チェックリスト'!F25</f>
        <v>0</v>
      </c>
      <c r="E29" s="816">
        <f>'(４)経費明細表チェックリスト'!H25</f>
        <v>0</v>
      </c>
      <c r="F29" s="817">
        <f t="shared" si="0"/>
        <v>0</v>
      </c>
      <c r="G29" s="654"/>
      <c r="H29" s="696"/>
    </row>
    <row r="30" spans="1:8" ht="29.25" customHeight="1">
      <c r="A30" s="695" t="s">
        <v>60</v>
      </c>
      <c r="B30" s="1147">
        <v>0</v>
      </c>
      <c r="C30" s="1143">
        <f>'(４)経費明細表チェックリスト'!E26</f>
        <v>0</v>
      </c>
      <c r="D30" s="816">
        <f>'(４)経費明細表チェックリスト'!F26</f>
        <v>0</v>
      </c>
      <c r="E30" s="816">
        <f>'(４)経費明細表チェックリスト'!H26</f>
        <v>0</v>
      </c>
      <c r="F30" s="817">
        <f t="shared" si="0"/>
        <v>0</v>
      </c>
      <c r="G30" s="654"/>
      <c r="H30" s="696"/>
    </row>
    <row r="31" spans="1:8" ht="29.25" customHeight="1" thickBot="1">
      <c r="A31" s="698" t="s">
        <v>64</v>
      </c>
      <c r="B31" s="1148">
        <v>0</v>
      </c>
      <c r="C31" s="1145">
        <f>'(４)経費明細表チェックリスト'!E27</f>
        <v>0</v>
      </c>
      <c r="D31" s="739">
        <f>'(４)経費明細表チェックリスト'!F27</f>
        <v>0</v>
      </c>
      <c r="E31" s="739">
        <f>'(４)経費明細表チェックリスト'!H27</f>
        <v>0</v>
      </c>
      <c r="F31" s="817">
        <f t="shared" si="0"/>
        <v>0</v>
      </c>
      <c r="G31" s="699"/>
      <c r="H31" s="700"/>
    </row>
    <row r="32" spans="1:8" ht="31.5" customHeight="1" thickBot="1">
      <c r="A32" s="701" t="s">
        <v>1</v>
      </c>
      <c r="B32" s="1204">
        <f>SUM(B21:B31)</f>
        <v>0</v>
      </c>
      <c r="C32" s="741">
        <f>SUM(C21:C31)</f>
        <v>0</v>
      </c>
      <c r="D32" s="741">
        <f>SUM(D21:D31)</f>
        <v>0</v>
      </c>
      <c r="E32" s="739">
        <f>SUM(E21:E31)</f>
        <v>0</v>
      </c>
      <c r="F32" s="818">
        <f>SUM(F21:F31)</f>
        <v>0</v>
      </c>
      <c r="G32" s="1232"/>
      <c r="H32" s="1233"/>
    </row>
    <row r="33" ht="13.5">
      <c r="A33" s="1" t="s">
        <v>460</v>
      </c>
    </row>
    <row r="36" ht="13.5">
      <c r="A36" s="1" t="s">
        <v>467</v>
      </c>
    </row>
    <row r="37" ht="13.5">
      <c r="A37" s="1" t="s">
        <v>466</v>
      </c>
    </row>
    <row r="38" ht="13.5">
      <c r="A38" s="1" t="s">
        <v>463</v>
      </c>
    </row>
    <row r="39" ht="13.5">
      <c r="A39" s="1" t="s">
        <v>464</v>
      </c>
    </row>
    <row r="40" ht="13.5">
      <c r="A40" s="1" t="s">
        <v>465</v>
      </c>
    </row>
    <row r="42" ht="13.5">
      <c r="A42" s="1" t="s">
        <v>508</v>
      </c>
    </row>
  </sheetData>
  <sheetProtection sheet="1" objects="1" scenarios="1"/>
  <mergeCells count="18">
    <mergeCell ref="B16:B17"/>
    <mergeCell ref="C19:D19"/>
    <mergeCell ref="F4:G4"/>
    <mergeCell ref="G18:H20"/>
    <mergeCell ref="F5:G5"/>
    <mergeCell ref="C6:D6"/>
    <mergeCell ref="F6:G6"/>
    <mergeCell ref="F7:G7"/>
    <mergeCell ref="G32:H32"/>
    <mergeCell ref="C18:D18"/>
    <mergeCell ref="A5:A7"/>
    <mergeCell ref="F8:G8"/>
    <mergeCell ref="F10:G10"/>
    <mergeCell ref="A12:B12"/>
    <mergeCell ref="F12:G12"/>
    <mergeCell ref="C5:D5"/>
    <mergeCell ref="E14:G14"/>
    <mergeCell ref="A18:A20"/>
  </mergeCells>
  <dataValidations count="2">
    <dataValidation allowBlank="1" showInputMessage="1" showErrorMessage="1" imeMode="halfAlpha" sqref="C21:F31"/>
    <dataValidation allowBlank="1" showInputMessage="1" showErrorMessage="1" imeMode="hiragana" sqref="E18 C15 C18"/>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2" t="s">
        <v>74</v>
      </c>
      <c r="G1" s="43"/>
      <c r="H1" s="43"/>
      <c r="I1" s="43"/>
      <c r="J1" s="43" t="s">
        <v>75</v>
      </c>
      <c r="K1" s="43"/>
      <c r="L1" s="43"/>
      <c r="M1" s="43"/>
      <c r="N1" s="43"/>
      <c r="O1" s="43"/>
      <c r="P1" s="43"/>
      <c r="Q1" s="43"/>
      <c r="R1" s="43"/>
      <c r="S1" s="43"/>
      <c r="V1" s="43"/>
      <c r="W1" s="43"/>
      <c r="X1" s="43"/>
      <c r="Y1" s="43"/>
      <c r="Z1" s="43"/>
      <c r="AA1" s="43"/>
      <c r="AB1" s="43"/>
      <c r="AC1" s="43"/>
      <c r="AD1" s="43"/>
      <c r="AE1" s="43"/>
      <c r="AF1" s="43"/>
    </row>
    <row r="2" spans="1:31" ht="15" customHeight="1" thickBot="1">
      <c r="A2" s="42"/>
      <c r="G2" s="43"/>
      <c r="H2" s="43"/>
      <c r="I2" s="43"/>
      <c r="J2" s="43"/>
      <c r="K2" s="43"/>
      <c r="L2" s="43"/>
      <c r="M2" s="43"/>
      <c r="N2" s="43"/>
      <c r="O2" s="43"/>
      <c r="P2" s="43"/>
      <c r="Q2" s="43"/>
      <c r="R2" s="44" t="s">
        <v>76</v>
      </c>
      <c r="S2" s="1298" t="str">
        <f>IF('対象者一覧表'!$G$4="","",'対象者一覧表'!$G$4)</f>
        <v>Ｂ金属株式会社</v>
      </c>
      <c r="T2" s="1298"/>
      <c r="U2" s="1298"/>
      <c r="V2" s="43"/>
      <c r="W2" s="43"/>
      <c r="X2" s="43"/>
      <c r="Y2" s="43"/>
      <c r="Z2" s="43"/>
      <c r="AA2" s="43"/>
      <c r="AB2" s="43"/>
      <c r="AC2" s="43"/>
      <c r="AD2" s="43"/>
      <c r="AE2" s="43"/>
    </row>
    <row r="3" spans="1:31" ht="15" customHeight="1" thickBot="1">
      <c r="A3" s="42"/>
      <c r="G3" s="43"/>
      <c r="H3" s="43"/>
      <c r="I3" s="43"/>
      <c r="J3" s="543"/>
      <c r="K3" s="47" t="s">
        <v>386</v>
      </c>
      <c r="L3" s="47"/>
      <c r="M3" s="47"/>
      <c r="O3" s="556"/>
      <c r="P3" s="47"/>
      <c r="Q3" s="43"/>
      <c r="R3" s="45" t="s">
        <v>77</v>
      </c>
      <c r="S3" s="1365">
        <f>IF('対象者一覧表'!E18="","",'対象者一覧表'!E18)</f>
      </c>
      <c r="T3" s="1365"/>
      <c r="U3" s="1056">
        <f>IF('対象者一覧表'!F18="","",'対象者一覧表'!F18)</f>
      </c>
      <c r="V3" s="43"/>
      <c r="W3" s="43"/>
      <c r="X3" s="43"/>
      <c r="Y3" s="43"/>
      <c r="Z3" s="43"/>
      <c r="AA3" s="43"/>
      <c r="AB3" s="43"/>
      <c r="AC3" s="43"/>
      <c r="AD3" s="43"/>
      <c r="AE3" s="43"/>
    </row>
    <row r="4" spans="1:34" ht="15" customHeight="1">
      <c r="A4" s="42"/>
      <c r="G4" s="43"/>
      <c r="H4" s="43"/>
      <c r="I4" s="43"/>
      <c r="J4" s="27"/>
      <c r="K4" s="43"/>
      <c r="L4" s="43"/>
      <c r="M4" s="43"/>
      <c r="N4" s="43"/>
      <c r="O4" s="340"/>
      <c r="P4" s="43"/>
      <c r="Q4" s="43"/>
      <c r="R4" s="45" t="s">
        <v>78</v>
      </c>
      <c r="S4" s="1365">
        <f>IF('対象者一覧表'!D18="","",'対象者一覧表'!D18)</f>
      </c>
      <c r="T4" s="1365"/>
      <c r="U4" s="1365"/>
      <c r="V4" s="723"/>
      <c r="W4" s="723"/>
      <c r="X4" s="723"/>
      <c r="Y4" s="723"/>
      <c r="Z4" s="723"/>
      <c r="AA4" s="723"/>
      <c r="AB4" s="723"/>
      <c r="AC4" s="723"/>
      <c r="AD4" s="723"/>
      <c r="AE4" s="722"/>
      <c r="AF4" s="58"/>
      <c r="AG4" s="58"/>
      <c r="AH4" s="58"/>
    </row>
    <row r="5" spans="1:34" ht="15" customHeight="1">
      <c r="A5" s="1366" t="s">
        <v>79</v>
      </c>
      <c r="B5" s="1366"/>
      <c r="C5" s="46"/>
      <c r="D5" s="46"/>
      <c r="E5" s="46"/>
      <c r="F5" s="46"/>
      <c r="P5" s="311" t="s">
        <v>339</v>
      </c>
      <c r="R5" s="48" t="s">
        <v>80</v>
      </c>
      <c r="S5" s="1367">
        <f>IF('対象者一覧表'!H18="","",'対象者一覧表'!H18)</f>
      </c>
      <c r="T5" s="1367"/>
      <c r="U5" s="541">
        <f>IF(S5="","",DATEDIF(S5,D7,"Y"))</f>
      </c>
      <c r="V5" s="556"/>
      <c r="W5" s="556"/>
      <c r="X5" s="556"/>
      <c r="Y5" s="556"/>
      <c r="Z5" s="556"/>
      <c r="AA5" s="556"/>
      <c r="AB5" s="556"/>
      <c r="AC5" s="556"/>
      <c r="AD5" s="542"/>
      <c r="AE5" s="58"/>
      <c r="AF5" s="58"/>
      <c r="AG5" s="58"/>
      <c r="AH5" s="58"/>
    </row>
    <row r="6" spans="1:3" ht="8.25" customHeight="1" thickBot="1">
      <c r="A6" s="1355"/>
      <c r="B6" s="1355"/>
      <c r="C6" s="46"/>
    </row>
    <row r="7" spans="1:25" ht="15" customHeight="1" thickBot="1">
      <c r="A7" s="553" t="s">
        <v>81</v>
      </c>
      <c r="B7" s="1361" t="s">
        <v>82</v>
      </c>
      <c r="C7" s="1362"/>
      <c r="D7" s="724">
        <v>41394</v>
      </c>
      <c r="E7" s="560" t="s">
        <v>370</v>
      </c>
      <c r="F7" s="560" t="s">
        <v>372</v>
      </c>
      <c r="G7" s="560" t="s">
        <v>83</v>
      </c>
      <c r="H7" s="560" t="s">
        <v>374</v>
      </c>
      <c r="I7" s="560" t="s">
        <v>375</v>
      </c>
      <c r="J7" s="560" t="s">
        <v>376</v>
      </c>
      <c r="K7" s="560" t="s">
        <v>377</v>
      </c>
      <c r="L7" s="560" t="s">
        <v>379</v>
      </c>
      <c r="M7" s="560" t="s">
        <v>381</v>
      </c>
      <c r="N7" s="709" t="s">
        <v>83</v>
      </c>
      <c r="O7" s="716">
        <v>41670</v>
      </c>
      <c r="P7" s="560" t="s">
        <v>233</v>
      </c>
      <c r="Q7" s="560" t="s">
        <v>234</v>
      </c>
      <c r="R7" s="560" t="s">
        <v>366</v>
      </c>
      <c r="S7" s="560" t="s">
        <v>235</v>
      </c>
      <c r="T7" s="709" t="s">
        <v>183</v>
      </c>
      <c r="U7" s="560" t="s">
        <v>396</v>
      </c>
      <c r="V7" s="709" t="s">
        <v>366</v>
      </c>
      <c r="W7" s="560" t="s">
        <v>392</v>
      </c>
      <c r="X7" s="1021" t="s">
        <v>393</v>
      </c>
      <c r="Y7" s="553" t="s">
        <v>56</v>
      </c>
    </row>
    <row r="8" spans="1:25" ht="17.25" customHeight="1">
      <c r="A8" s="568" t="s">
        <v>237</v>
      </c>
      <c r="B8" s="1359" t="s">
        <v>238</v>
      </c>
      <c r="C8" s="1360"/>
      <c r="D8" s="725"/>
      <c r="E8" s="561"/>
      <c r="F8" s="561"/>
      <c r="G8" s="561"/>
      <c r="H8" s="561"/>
      <c r="I8" s="561"/>
      <c r="J8" s="561"/>
      <c r="K8" s="561"/>
      <c r="L8" s="561"/>
      <c r="M8" s="561"/>
      <c r="N8" s="710"/>
      <c r="O8" s="561"/>
      <c r="P8" s="561"/>
      <c r="Q8" s="561"/>
      <c r="R8" s="561"/>
      <c r="S8" s="561"/>
      <c r="T8" s="710"/>
      <c r="U8" s="561"/>
      <c r="V8" s="710"/>
      <c r="W8" s="561"/>
      <c r="X8" s="1022"/>
      <c r="Y8" s="779">
        <f>SUM(D8:X8)</f>
        <v>0</v>
      </c>
    </row>
    <row r="9" spans="1:25" ht="17.25" customHeight="1">
      <c r="A9" s="569" t="s">
        <v>84</v>
      </c>
      <c r="B9" s="1350"/>
      <c r="C9" s="1351"/>
      <c r="D9" s="726"/>
      <c r="E9" s="371"/>
      <c r="F9" s="371"/>
      <c r="G9" s="371"/>
      <c r="H9" s="371"/>
      <c r="I9" s="371"/>
      <c r="J9" s="371"/>
      <c r="K9" s="371"/>
      <c r="L9" s="371"/>
      <c r="M9" s="371"/>
      <c r="N9" s="711"/>
      <c r="O9" s="371"/>
      <c r="P9" s="371"/>
      <c r="Q9" s="371"/>
      <c r="R9" s="371"/>
      <c r="S9" s="371"/>
      <c r="T9" s="711"/>
      <c r="U9" s="1006"/>
      <c r="V9" s="1009"/>
      <c r="W9" s="1006"/>
      <c r="X9" s="1023"/>
      <c r="Y9" s="557">
        <f aca="true" t="shared" si="0" ref="Y9:Y19">SUM(D9:X9)</f>
        <v>0</v>
      </c>
    </row>
    <row r="10" spans="1:25" ht="17.25" customHeight="1">
      <c r="A10" s="569" t="s">
        <v>85</v>
      </c>
      <c r="B10" s="1350"/>
      <c r="C10" s="1351"/>
      <c r="D10" s="726"/>
      <c r="E10" s="371"/>
      <c r="F10" s="371"/>
      <c r="G10" s="371"/>
      <c r="H10" s="371"/>
      <c r="I10" s="371"/>
      <c r="J10" s="371"/>
      <c r="K10" s="371"/>
      <c r="L10" s="371"/>
      <c r="M10" s="371"/>
      <c r="N10" s="711"/>
      <c r="O10" s="371"/>
      <c r="P10" s="371"/>
      <c r="Q10" s="371"/>
      <c r="R10" s="371"/>
      <c r="S10" s="371"/>
      <c r="T10" s="711"/>
      <c r="U10" s="1006"/>
      <c r="V10" s="1009"/>
      <c r="W10" s="1006"/>
      <c r="X10" s="1023"/>
      <c r="Y10" s="1018">
        <f t="shared" si="0"/>
        <v>0</v>
      </c>
    </row>
    <row r="11" spans="1:25" ht="17.25" customHeight="1">
      <c r="A11" s="569" t="s">
        <v>86</v>
      </c>
      <c r="B11" s="1350" t="s">
        <v>218</v>
      </c>
      <c r="C11" s="1351"/>
      <c r="D11" s="726"/>
      <c r="E11" s="371"/>
      <c r="F11" s="371"/>
      <c r="G11" s="371"/>
      <c r="H11" s="371"/>
      <c r="I11" s="371"/>
      <c r="J11" s="371"/>
      <c r="K11" s="371"/>
      <c r="L11" s="371"/>
      <c r="M11" s="371"/>
      <c r="N11" s="711"/>
      <c r="O11" s="371"/>
      <c r="P11" s="371"/>
      <c r="Q11" s="371"/>
      <c r="R11" s="371"/>
      <c r="S11" s="371"/>
      <c r="T11" s="711"/>
      <c r="U11" s="1006"/>
      <c r="V11" s="1009"/>
      <c r="W11" s="1006"/>
      <c r="X11" s="1023"/>
      <c r="Y11" s="1018">
        <f t="shared" si="0"/>
        <v>0</v>
      </c>
    </row>
    <row r="12" spans="1:25" ht="17.25" customHeight="1">
      <c r="A12" s="569" t="s">
        <v>87</v>
      </c>
      <c r="B12" s="1350"/>
      <c r="C12" s="1351"/>
      <c r="D12" s="726"/>
      <c r="E12" s="371"/>
      <c r="F12" s="371"/>
      <c r="G12" s="371"/>
      <c r="H12" s="371"/>
      <c r="I12" s="371"/>
      <c r="J12" s="371"/>
      <c r="K12" s="371"/>
      <c r="L12" s="371"/>
      <c r="M12" s="371"/>
      <c r="N12" s="711"/>
      <c r="O12" s="371"/>
      <c r="P12" s="371"/>
      <c r="Q12" s="371"/>
      <c r="R12" s="371"/>
      <c r="S12" s="371"/>
      <c r="T12" s="711"/>
      <c r="U12" s="1006"/>
      <c r="V12" s="1009"/>
      <c r="W12" s="1006"/>
      <c r="X12" s="1023"/>
      <c r="Y12" s="1018">
        <f t="shared" si="0"/>
        <v>0</v>
      </c>
    </row>
    <row r="13" spans="1:25" ht="17.25" customHeight="1">
      <c r="A13" s="569" t="s">
        <v>88</v>
      </c>
      <c r="B13" s="1350"/>
      <c r="C13" s="1351"/>
      <c r="D13" s="726"/>
      <c r="E13" s="371"/>
      <c r="F13" s="371"/>
      <c r="G13" s="371"/>
      <c r="H13" s="371"/>
      <c r="I13" s="371"/>
      <c r="J13" s="371"/>
      <c r="K13" s="371"/>
      <c r="L13" s="371"/>
      <c r="M13" s="371"/>
      <c r="N13" s="711"/>
      <c r="O13" s="371"/>
      <c r="P13" s="371"/>
      <c r="Q13" s="371"/>
      <c r="R13" s="371"/>
      <c r="S13" s="371"/>
      <c r="T13" s="711"/>
      <c r="U13" s="1006"/>
      <c r="V13" s="1009"/>
      <c r="W13" s="1006"/>
      <c r="X13" s="1023"/>
      <c r="Y13" s="1018">
        <f t="shared" si="0"/>
        <v>0</v>
      </c>
    </row>
    <row r="14" spans="1:25" ht="17.25" customHeight="1">
      <c r="A14" s="569" t="s">
        <v>89</v>
      </c>
      <c r="B14" s="1350" t="s">
        <v>223</v>
      </c>
      <c r="C14" s="1351"/>
      <c r="D14" s="726"/>
      <c r="E14" s="371"/>
      <c r="F14" s="371"/>
      <c r="G14" s="371"/>
      <c r="H14" s="371"/>
      <c r="I14" s="371"/>
      <c r="J14" s="371"/>
      <c r="K14" s="371"/>
      <c r="L14" s="371"/>
      <c r="M14" s="371"/>
      <c r="N14" s="711"/>
      <c r="O14" s="371"/>
      <c r="P14" s="371"/>
      <c r="Q14" s="371"/>
      <c r="R14" s="371"/>
      <c r="S14" s="371"/>
      <c r="T14" s="711"/>
      <c r="U14" s="1006"/>
      <c r="V14" s="1009"/>
      <c r="W14" s="1006"/>
      <c r="X14" s="1023"/>
      <c r="Y14" s="1018">
        <f t="shared" si="0"/>
        <v>0</v>
      </c>
    </row>
    <row r="15" spans="1:25" ht="17.25" customHeight="1">
      <c r="A15" s="569" t="s">
        <v>90</v>
      </c>
      <c r="B15" s="1350" t="s">
        <v>232</v>
      </c>
      <c r="C15" s="1351"/>
      <c r="D15" s="726"/>
      <c r="E15" s="371"/>
      <c r="F15" s="371"/>
      <c r="G15" s="371"/>
      <c r="H15" s="371"/>
      <c r="I15" s="371"/>
      <c r="J15" s="371"/>
      <c r="K15" s="371"/>
      <c r="L15" s="371"/>
      <c r="M15" s="371"/>
      <c r="N15" s="711"/>
      <c r="O15" s="371"/>
      <c r="P15" s="371"/>
      <c r="Q15" s="371"/>
      <c r="R15" s="371"/>
      <c r="S15" s="371"/>
      <c r="T15" s="711"/>
      <c r="U15" s="1006"/>
      <c r="V15" s="1009"/>
      <c r="W15" s="1006"/>
      <c r="X15" s="1023"/>
      <c r="Y15" s="1018">
        <f t="shared" si="0"/>
        <v>0</v>
      </c>
    </row>
    <row r="16" spans="1:25" ht="17.25" customHeight="1">
      <c r="A16" s="569"/>
      <c r="B16" s="1350"/>
      <c r="C16" s="1351"/>
      <c r="D16" s="726"/>
      <c r="E16" s="371"/>
      <c r="F16" s="371"/>
      <c r="G16" s="371"/>
      <c r="H16" s="371"/>
      <c r="I16" s="371"/>
      <c r="J16" s="371"/>
      <c r="K16" s="371"/>
      <c r="L16" s="371"/>
      <c r="M16" s="371"/>
      <c r="N16" s="711"/>
      <c r="O16" s="371"/>
      <c r="P16" s="371"/>
      <c r="Q16" s="371"/>
      <c r="R16" s="371"/>
      <c r="S16" s="371"/>
      <c r="T16" s="711"/>
      <c r="U16" s="1006"/>
      <c r="V16" s="1009"/>
      <c r="W16" s="1006"/>
      <c r="X16" s="1023"/>
      <c r="Y16" s="1018">
        <f t="shared" si="0"/>
        <v>0</v>
      </c>
    </row>
    <row r="17" spans="1:25" ht="17.25" customHeight="1">
      <c r="A17" s="569"/>
      <c r="B17" s="1350"/>
      <c r="C17" s="1351"/>
      <c r="D17" s="726"/>
      <c r="E17" s="371"/>
      <c r="F17" s="371"/>
      <c r="G17" s="371"/>
      <c r="H17" s="371"/>
      <c r="I17" s="371"/>
      <c r="J17" s="371"/>
      <c r="K17" s="371"/>
      <c r="L17" s="371"/>
      <c r="M17" s="371"/>
      <c r="N17" s="711"/>
      <c r="O17" s="371"/>
      <c r="P17" s="371"/>
      <c r="Q17" s="371"/>
      <c r="R17" s="371"/>
      <c r="S17" s="371"/>
      <c r="T17" s="711"/>
      <c r="U17" s="1006"/>
      <c r="V17" s="1009"/>
      <c r="W17" s="1006"/>
      <c r="X17" s="1023"/>
      <c r="Y17" s="1018">
        <f t="shared" si="0"/>
        <v>0</v>
      </c>
    </row>
    <row r="18" spans="1:25" ht="17.25" customHeight="1">
      <c r="A18" s="569"/>
      <c r="B18" s="1350"/>
      <c r="C18" s="1351"/>
      <c r="D18" s="726"/>
      <c r="E18" s="371"/>
      <c r="F18" s="371"/>
      <c r="G18" s="371"/>
      <c r="H18" s="371"/>
      <c r="I18" s="371"/>
      <c r="J18" s="371"/>
      <c r="K18" s="371"/>
      <c r="L18" s="371"/>
      <c r="M18" s="371"/>
      <c r="N18" s="711"/>
      <c r="O18" s="371"/>
      <c r="P18" s="371"/>
      <c r="Q18" s="371"/>
      <c r="R18" s="371"/>
      <c r="S18" s="371"/>
      <c r="T18" s="711"/>
      <c r="U18" s="1006"/>
      <c r="V18" s="1009"/>
      <c r="W18" s="1006"/>
      <c r="X18" s="1023"/>
      <c r="Y18" s="1018">
        <f t="shared" si="0"/>
        <v>0</v>
      </c>
    </row>
    <row r="19" spans="1:25" ht="17.25" customHeight="1" thickBot="1">
      <c r="A19" s="570"/>
      <c r="B19" s="1363"/>
      <c r="C19" s="1364"/>
      <c r="D19" s="727"/>
      <c r="E19" s="562"/>
      <c r="F19" s="562"/>
      <c r="G19" s="562"/>
      <c r="H19" s="562"/>
      <c r="I19" s="562"/>
      <c r="J19" s="562"/>
      <c r="K19" s="562"/>
      <c r="L19" s="562"/>
      <c r="M19" s="562"/>
      <c r="N19" s="712"/>
      <c r="O19" s="562"/>
      <c r="P19" s="562"/>
      <c r="Q19" s="562"/>
      <c r="R19" s="562"/>
      <c r="S19" s="562"/>
      <c r="T19" s="712"/>
      <c r="U19" s="1007"/>
      <c r="V19" s="1010"/>
      <c r="W19" s="1007"/>
      <c r="X19" s="1024"/>
      <c r="Y19" s="1019">
        <f t="shared" si="0"/>
        <v>0</v>
      </c>
    </row>
    <row r="20" spans="1:26" ht="17.25" customHeight="1">
      <c r="A20" s="571"/>
      <c r="B20" s="1336" t="s">
        <v>91</v>
      </c>
      <c r="C20" s="1337"/>
      <c r="D20" s="776">
        <f aca="true" t="shared" si="1" ref="D20:X20">SUM(D8:D19)</f>
        <v>0</v>
      </c>
      <c r="E20" s="544">
        <f t="shared" si="1"/>
        <v>0</v>
      </c>
      <c r="F20" s="544">
        <f t="shared" si="1"/>
        <v>0</v>
      </c>
      <c r="G20" s="544">
        <f t="shared" si="1"/>
        <v>0</v>
      </c>
      <c r="H20" s="544">
        <f t="shared" si="1"/>
        <v>0</v>
      </c>
      <c r="I20" s="544">
        <f t="shared" si="1"/>
        <v>0</v>
      </c>
      <c r="J20" s="544">
        <f t="shared" si="1"/>
        <v>0</v>
      </c>
      <c r="K20" s="544">
        <f t="shared" si="1"/>
        <v>0</v>
      </c>
      <c r="L20" s="544">
        <f t="shared" si="1"/>
        <v>0</v>
      </c>
      <c r="M20" s="544">
        <f t="shared" si="1"/>
        <v>0</v>
      </c>
      <c r="N20" s="713">
        <f t="shared" si="1"/>
        <v>0</v>
      </c>
      <c r="O20" s="544">
        <f t="shared" si="1"/>
        <v>0</v>
      </c>
      <c r="P20" s="544">
        <f t="shared" si="1"/>
        <v>0</v>
      </c>
      <c r="Q20" s="544">
        <f t="shared" si="1"/>
        <v>0</v>
      </c>
      <c r="R20" s="544">
        <f t="shared" si="1"/>
        <v>0</v>
      </c>
      <c r="S20" s="544">
        <f t="shared" si="1"/>
        <v>0</v>
      </c>
      <c r="T20" s="713">
        <f t="shared" si="1"/>
        <v>0</v>
      </c>
      <c r="U20" s="713">
        <f t="shared" si="1"/>
        <v>0</v>
      </c>
      <c r="V20" s="713">
        <f t="shared" si="1"/>
        <v>0</v>
      </c>
      <c r="W20" s="713">
        <f t="shared" si="1"/>
        <v>0</v>
      </c>
      <c r="X20" s="713">
        <f t="shared" si="1"/>
        <v>0</v>
      </c>
      <c r="Y20" s="1020">
        <f>SUM(D20:X20)</f>
        <v>0</v>
      </c>
      <c r="Z20" s="27"/>
    </row>
    <row r="21" spans="1:25" ht="17.25" customHeight="1">
      <c r="A21" s="572" t="s">
        <v>221</v>
      </c>
      <c r="B21" s="1352" t="s">
        <v>207</v>
      </c>
      <c r="C21" s="1353"/>
      <c r="D21" s="777"/>
      <c r="E21" s="728"/>
      <c r="F21" s="728"/>
      <c r="G21" s="583"/>
      <c r="H21" s="728"/>
      <c r="I21" s="728"/>
      <c r="J21" s="728"/>
      <c r="K21" s="728"/>
      <c r="L21" s="728"/>
      <c r="M21" s="728"/>
      <c r="N21" s="714"/>
      <c r="O21" s="566"/>
      <c r="P21" s="728"/>
      <c r="Q21" s="728"/>
      <c r="R21" s="728"/>
      <c r="S21" s="728"/>
      <c r="T21" s="1004"/>
      <c r="U21" s="566"/>
      <c r="V21" s="1049"/>
      <c r="W21" s="566"/>
      <c r="X21" s="1025"/>
      <c r="Y21" s="546"/>
    </row>
    <row r="22" spans="1:25" ht="17.25" customHeight="1" thickBot="1">
      <c r="A22" s="573" t="s">
        <v>222</v>
      </c>
      <c r="B22" s="1357" t="s">
        <v>207</v>
      </c>
      <c r="C22" s="1358"/>
      <c r="D22" s="778"/>
      <c r="E22" s="729"/>
      <c r="F22" s="729"/>
      <c r="G22" s="584"/>
      <c r="H22" s="729"/>
      <c r="I22" s="729"/>
      <c r="J22" s="729"/>
      <c r="K22" s="729"/>
      <c r="L22" s="729"/>
      <c r="M22" s="729"/>
      <c r="N22" s="715"/>
      <c r="O22" s="567"/>
      <c r="P22" s="729"/>
      <c r="Q22" s="729"/>
      <c r="R22" s="729"/>
      <c r="S22" s="729"/>
      <c r="T22" s="1005"/>
      <c r="U22" s="1008"/>
      <c r="V22" s="1050"/>
      <c r="W22" s="1008"/>
      <c r="X22" s="1026"/>
      <c r="Y22" s="545"/>
    </row>
    <row r="23" spans="1:30" ht="15" customHeight="1">
      <c r="A23" s="1354" t="s">
        <v>92</v>
      </c>
      <c r="B23" s="1354"/>
      <c r="C23" s="51"/>
      <c r="D23" s="547" t="s">
        <v>412</v>
      </c>
      <c r="E23" s="52"/>
      <c r="I23" s="51"/>
      <c r="J23" s="51"/>
      <c r="K23" s="51"/>
      <c r="L23" s="51"/>
      <c r="M23" s="52"/>
      <c r="N23" s="547"/>
      <c r="P23" s="51"/>
      <c r="Q23" s="52"/>
      <c r="R23" s="52"/>
      <c r="S23" s="52"/>
      <c r="T23" s="52"/>
      <c r="U23" s="52"/>
      <c r="V23" s="52"/>
      <c r="W23" s="52"/>
      <c r="X23" s="52"/>
      <c r="Z23" s="52"/>
      <c r="AB23" s="50"/>
      <c r="AC23" s="51"/>
      <c r="AD23" s="52"/>
    </row>
    <row r="24" spans="1:32" ht="15" customHeight="1" thickBot="1">
      <c r="A24" s="1355"/>
      <c r="B24" s="1355"/>
      <c r="C24" s="53"/>
      <c r="D24" s="1101" t="s">
        <v>413</v>
      </c>
      <c r="H24" s="47"/>
      <c r="J24" s="47"/>
      <c r="AF24" s="47"/>
    </row>
    <row r="25" spans="1:25" ht="15" customHeight="1" thickBot="1">
      <c r="A25" s="822" t="s">
        <v>93</v>
      </c>
      <c r="B25" s="1361" t="s">
        <v>94</v>
      </c>
      <c r="C25" s="1362"/>
      <c r="D25" s="724">
        <v>41394</v>
      </c>
      <c r="E25" s="560" t="s">
        <v>370</v>
      </c>
      <c r="F25" s="560" t="s">
        <v>372</v>
      </c>
      <c r="G25" s="560" t="s">
        <v>83</v>
      </c>
      <c r="H25" s="560" t="s">
        <v>374</v>
      </c>
      <c r="I25" s="560" t="s">
        <v>375</v>
      </c>
      <c r="J25" s="560" t="s">
        <v>376</v>
      </c>
      <c r="K25" s="560" t="s">
        <v>377</v>
      </c>
      <c r="L25" s="560" t="s">
        <v>379</v>
      </c>
      <c r="M25" s="560" t="s">
        <v>381</v>
      </c>
      <c r="N25" s="709" t="s">
        <v>83</v>
      </c>
      <c r="O25" s="716">
        <v>41670</v>
      </c>
      <c r="P25" s="560" t="s">
        <v>233</v>
      </c>
      <c r="Q25" s="560" t="s">
        <v>234</v>
      </c>
      <c r="R25" s="560" t="s">
        <v>366</v>
      </c>
      <c r="S25" s="560" t="s">
        <v>235</v>
      </c>
      <c r="T25" s="560" t="s">
        <v>183</v>
      </c>
      <c r="U25" s="1035" t="s">
        <v>396</v>
      </c>
      <c r="V25" s="1035" t="s">
        <v>366</v>
      </c>
      <c r="W25" s="1035" t="s">
        <v>392</v>
      </c>
      <c r="X25" s="1055" t="s">
        <v>393</v>
      </c>
      <c r="Y25" s="553" t="s">
        <v>56</v>
      </c>
    </row>
    <row r="26" spans="1:25" ht="17.25" customHeight="1" thickBot="1">
      <c r="A26" s="1057" t="s">
        <v>219</v>
      </c>
      <c r="B26" s="49" t="s">
        <v>96</v>
      </c>
      <c r="C26" s="551">
        <v>49.85</v>
      </c>
      <c r="D26" s="788">
        <f>IF(D21=0,"",ROUND(LOOKUP(D21,'2409'!$D$15:$E$61,'2409'!$C$15:$C$61)*$C$26/1000,0))</f>
      </c>
      <c r="E26" s="730">
        <f>IF(E21=0,"",ROUND(LOOKUP(E21,'2409'!$D$15:$E$61,'2409'!$C$15:$C$61)*$C$26/1000,0))</f>
      </c>
      <c r="F26" s="730">
        <f>IF(F21=0,"",ROUND(LOOKUP(F21,'2409'!$D$15:$E$61,'2409'!$C$15:$C$61)*$C$26/1000,0))</f>
      </c>
      <c r="G26" s="563">
        <f>IF(G20=0,"",ROUND((ROUNDDOWN(G20,-3)*$C$26/1000),0))</f>
      </c>
      <c r="H26" s="730">
        <f>IF(H21=0,"",ROUND(LOOKUP(H21,'2409'!$D$15:$E$61,'2409'!$C$15:$C$61)*$C$26/1000,0))</f>
      </c>
      <c r="I26" s="730">
        <f>IF(I21=0,"",ROUND(LOOKUP(I21,'2409'!$D$15:$E$61,'2409'!$C$15:$C$61)*$C$26/1000,0))</f>
      </c>
      <c r="J26" s="730">
        <f>IF(J21=0,"",ROUND(LOOKUP(J21,'2409'!$D$15:$E$61,'2409'!$C$15:$C$61)*$C$26/1000,0))</f>
      </c>
      <c r="K26" s="730">
        <f>IF(K21=0,"",ROUND(LOOKUP(K21,'2409'!$D$15:$E$61,'2409'!$C$15:$C$61)*$C$26/1000,0))</f>
      </c>
      <c r="L26" s="730">
        <f>IF(L21=0,"",ROUND(LOOKUP(L21,'2409'!$D$15:$E$61,'2409'!$C$15:$C$61)*$C$26/1000,0))</f>
      </c>
      <c r="M26" s="730">
        <f>IF(M21=0,"",ROUND(LOOKUP(M21,'2409'!$D$15:$E$61,'2409'!$C$15:$C$61)*$C$26/1000,0))</f>
      </c>
      <c r="N26" s="717">
        <f>IF(N20=0,"",ROUND((ROUNDDOWN(N20,-3)*$C$26/1000),0))</f>
      </c>
      <c r="O26" s="563">
        <f>IF(O21=0,"",ROUND(LOOKUP(O21,'2409'!$D$15:$E$61,'2409'!$C$15:$C$61)*$C$26/1000,0))</f>
      </c>
      <c r="P26" s="730">
        <f>IF(P21=0,"",ROUND(LOOKUP(P21,'2409'!$D$15:$E$61,'2409'!$C$15:$C$61)*$C$26/1000,0))</f>
      </c>
      <c r="Q26" s="730">
        <f>IF(Q21=0,"",ROUND(LOOKUP(Q21,'2409'!$D$15:$E$61,'2409'!$C$15:$C$61)*$C$26/1000,0))</f>
      </c>
      <c r="R26" s="563">
        <f>IF(R20=0,"",ROUND((ROUNDDOWN(R20,-3)*$C$26/1000),0))</f>
      </c>
      <c r="S26" s="730">
        <f>IF(S21=0,"",ROUND(LOOKUP(S21,'2409'!$D$15:$E$61,'2409'!$C$15:$C$61)*$C$26/1000,0))</f>
      </c>
      <c r="T26" s="730">
        <f>IF(T21=0,"",ROUND(LOOKUP(T21,'2409'!$D$15:$E$61,'2409'!$C$15:$C$61)*$C$26/1000,0))</f>
      </c>
      <c r="U26" s="1031">
        <f>IF(U21=0,"",ROUND(LOOKUP(U21,'2409'!$D$15:$E$61,'2409'!$C$15:$C$61)*$C$26/1000,0))</f>
      </c>
      <c r="V26" s="563">
        <f>IF(V20=0,"",ROUND((ROUNDDOWN(V20,-3)*$C$26/1000),0))</f>
      </c>
      <c r="W26" s="730">
        <f>IF(W21=0,"",ROUND(LOOKUP(W21,'2409'!$D$15:$E$61,'2409'!$C$15:$C$61)*$C$26/1000,0))</f>
      </c>
      <c r="X26" s="1053">
        <f>IF(X21=0,"",ROUND(LOOKUP(X21,'2409'!$D$15:$E$61,'2409'!$C$15:$C$61)*$C$26/1000,0))</f>
      </c>
      <c r="Y26" s="779">
        <f>SUM(D26:X26)</f>
        <v>0</v>
      </c>
    </row>
    <row r="27" spans="1:25" ht="17.25" customHeight="1" thickBot="1">
      <c r="A27" s="1057" t="s">
        <v>95</v>
      </c>
      <c r="B27" s="49" t="s">
        <v>96</v>
      </c>
      <c r="C27" s="551">
        <v>0</v>
      </c>
      <c r="D27" s="789">
        <f>IF(D21=0,"",ROUND(LOOKUP(D21,'2409'!$D$15:$E$61,'2409'!$C$15:$C$61)*$C$27/1000,0))</f>
      </c>
      <c r="E27" s="731">
        <f>IF(E21=0,"",ROUND(LOOKUP(E21,'2409'!$D$15:$E$61,'2409'!$C$15:$C$61)*$C$27/1000,0))</f>
      </c>
      <c r="F27" s="731">
        <f>IF(F21=0,"",ROUND(LOOKUP(F21,'2409'!$D$15:$E$61,'2409'!$C$15:$C$61)*$C$27/1000,0))</f>
      </c>
      <c r="G27" s="341">
        <f>IF(G20=0,"",ROUND((ROUNDDOWN(G20,-3)*$C$27/1000),0))</f>
      </c>
      <c r="H27" s="731">
        <f>IF(H21=0,"",ROUND(LOOKUP(H21,'2409'!$D$15:$E$61,'2409'!$C$15:$C$61)*$C$27/1000,0))</f>
      </c>
      <c r="I27" s="731">
        <f>IF(I21=0,"",ROUND(LOOKUP(I21,'2409'!$D$15:$E$61,'2409'!$C$15:$C$61)*$C$27/1000,0))</f>
      </c>
      <c r="J27" s="731">
        <f>IF(J21=0,"",ROUND(LOOKUP(J21,'2409'!$D$15:$E$61,'2409'!$C$15:$C$61)*$C$27/1000,0))</f>
      </c>
      <c r="K27" s="731">
        <f>IF(K21=0,"",ROUND(LOOKUP(K21,'2409'!$D$15:$E$61,'2409'!$C$15:$C$61)*$C$27/1000,0))</f>
      </c>
      <c r="L27" s="731">
        <f>IF(L21=0,"",ROUND(LOOKUP(L21,'2409'!$D$15:$E$61,'2409'!$C$15:$C$61)*$C$27/1000,0))</f>
      </c>
      <c r="M27" s="731">
        <f>IF(M21=0,"",ROUND(LOOKUP(M21,'2409'!$D$15:$E$61,'2409'!$C$15:$C$61)*$C$27/1000,0))</f>
      </c>
      <c r="N27" s="718">
        <f>IF(N20=0,"",ROUND((ROUNDDOWN(N20,-3)*$C$27/1000),0))</f>
      </c>
      <c r="O27" s="341">
        <f>IF(O21=0,"",ROUND(LOOKUP(O21,'2409'!$D$15:$E$61,'2409'!$C$15:$C$61)*$C$27/1000,0))</f>
      </c>
      <c r="P27" s="731">
        <f>IF(P21=0,"",ROUND(LOOKUP(P21,'2409'!$D$15:$E$61,'2409'!$C$15:$C$61)*$C$27/1000,0))</f>
      </c>
      <c r="Q27" s="731">
        <f>IF(Q21=0,"",ROUND(LOOKUP(Q21,'2409'!$D$15:$E$61,'2409'!$C$15:$C$61)*$C$27/1000,0))</f>
      </c>
      <c r="R27" s="341">
        <f>IF(R20=0,"",ROUND((ROUNDDOWN(R20,-3)*$C$27/1000),0))</f>
      </c>
      <c r="S27" s="731">
        <f>IF(S21=0,"",ROUND(LOOKUP(S21,'2409'!$D$15:$E$61,'2409'!$C$15:$C$61)*$C$27/1000,0))</f>
      </c>
      <c r="T27" s="731">
        <f>IF(T21=0,"",ROUND(LOOKUP(T21,'2409'!$D$15:$E$61,'2409'!$C$15:$C$61)*$C$27/1000,0))</f>
      </c>
      <c r="U27" s="1031">
        <f>IF(U21=0,"",ROUND(LOOKUP(U21,'2409'!$D$15:$E$61,'2409'!$C$15:$C$61)*$C$27/1000,0))</f>
      </c>
      <c r="V27" s="341">
        <f>IF(V20=0,"",ROUND((ROUNDDOWN(V20,-3)*$C$27/1000),0))</f>
      </c>
      <c r="W27" s="731">
        <f>IF(W21=0,"",ROUND(LOOKUP(W21,'2409'!$D$15:$E$61,'2409'!$C$15:$C$61)*$C$27/1000,0))</f>
      </c>
      <c r="X27" s="1054">
        <f>IF(X21=0,"",ROUND(LOOKUP(X21,'2409'!$D$15:$E$61,'2409'!$C$15:$C$61)*$C$27/1000,0))</f>
      </c>
      <c r="Y27" s="1018">
        <f aca="true" t="shared" si="2" ref="Y27:Y39">SUM(D27:X27)</f>
        <v>0</v>
      </c>
    </row>
    <row r="28" spans="1:25" ht="17.25" customHeight="1" thickBot="1">
      <c r="A28" s="1058" t="s">
        <v>397</v>
      </c>
      <c r="B28" s="49" t="s">
        <v>96</v>
      </c>
      <c r="C28" s="551">
        <v>0</v>
      </c>
      <c r="D28" s="790"/>
      <c r="E28" s="574"/>
      <c r="F28" s="574"/>
      <c r="G28" s="341">
        <f>IF(G20=0,"",ROUND((ROUNDDOWN(G20,-3)*$C$28/1000),0))</f>
      </c>
      <c r="H28" s="574"/>
      <c r="I28" s="574"/>
      <c r="J28" s="574"/>
      <c r="K28" s="574"/>
      <c r="L28" s="574"/>
      <c r="M28" s="574"/>
      <c r="N28" s="718">
        <f>IF(N20=0,"",ROUND((ROUNDDOWN(N20,-3)*$C$28/1000),0))</f>
      </c>
      <c r="O28" s="574"/>
      <c r="P28" s="574"/>
      <c r="Q28" s="574"/>
      <c r="R28" s="341">
        <f>IF(R20=0,"",ROUND((ROUNDDOWN(R20,-3)*$C$28/1000),0))</f>
      </c>
      <c r="S28" s="732"/>
      <c r="T28" s="574"/>
      <c r="U28" s="1032"/>
      <c r="V28" s="341">
        <f>IF(V20=0,"",ROUND((ROUNDDOWN(V20,-3)*$C$28/1000),0))</f>
      </c>
      <c r="W28" s="574"/>
      <c r="X28" s="719"/>
      <c r="Y28" s="1018">
        <f t="shared" si="2"/>
        <v>0</v>
      </c>
    </row>
    <row r="29" spans="1:25" ht="17.25" customHeight="1" thickBot="1">
      <c r="A29" s="1058" t="s">
        <v>398</v>
      </c>
      <c r="B29" s="49" t="s">
        <v>96</v>
      </c>
      <c r="C29" s="551">
        <v>0</v>
      </c>
      <c r="D29" s="789">
        <f>IF(D22=0,"",ROUND(LOOKUP(D22,'2409'!$D$19:$E$48,'2409'!$C$19:$C$48)*$C$29/1000,0))</f>
      </c>
      <c r="E29" s="341">
        <f>IF(E22=0,"",ROUND(LOOKUP(E22,'2409'!$D$19:$E$48,'2409'!$C$19:$C$48)*$C$29/1000,0))</f>
      </c>
      <c r="F29" s="341">
        <f>IF(F22=0,"",ROUND(LOOKUP(F22,'2409'!$D$19:$E$48,'2409'!$C$19:$C$48)*$C$29/1000,0))</f>
      </c>
      <c r="G29" s="574"/>
      <c r="H29" s="341">
        <f>IF(H22=0,"",ROUND(LOOKUP(H22,'2409'!$D$19:$E$48,'2409'!$C$19:$C$48)*$C$29/1000,0))</f>
      </c>
      <c r="I29" s="341">
        <f>IF(I22=0,"",ROUND(LOOKUP(I22,'2409'!$D$19:$E$48,'2409'!$C$19:$C$48)*$C$29/1000,0))</f>
      </c>
      <c r="J29" s="341">
        <f>IF(J22=0,"",ROUND(LOOKUP(J22,'2409'!$D$19:$E$48,'2409'!$C$19:$C$48)*$C$29/1000,0))</f>
      </c>
      <c r="K29" s="341">
        <f>IF(K22=0,"",ROUND(LOOKUP(K22,'2409'!$D$19:$E$48,'2409'!$C$19:$C$48)*$C$29/1000,0))</f>
      </c>
      <c r="L29" s="341">
        <f>IF(L22=0,"",ROUND(LOOKUP(L22,'2409'!$D$19:$E$48,'2409'!$C$19:$C$48)*$C$29/1000,0))</f>
      </c>
      <c r="M29" s="341">
        <f>IF(M22=0,"",ROUND(LOOKUP(M22,'2409'!$D$19:$E$48,'2409'!$C$19:$C$48)*$C$29/1000,0))</f>
      </c>
      <c r="N29" s="719"/>
      <c r="O29" s="341">
        <f>IF(O22=0,"",ROUND(LOOKUP(O22,'2409'!$D$19:$E$48,'2409'!$C$19:$C$48)*$C$29/1000,0))</f>
      </c>
      <c r="P29" s="341">
        <f>IF(P22=0,"",ROUND(LOOKUP(P22,'2409'!$D$19:$E$48,'2409'!$C$19:$C$48)*$C$29/1000,0))</f>
      </c>
      <c r="Q29" s="341">
        <f>IF(Q22=0,"",ROUND(LOOKUP(Q22,'2409'!$D$19:$E$48,'2409'!$C$19:$C$48)*$C$29/1000,0))</f>
      </c>
      <c r="R29" s="574"/>
      <c r="S29" s="731">
        <f>IF(S22=0,"",ROUND(LOOKUP(S22,'2409'!$D$19:$E$48,'2409'!$C$19:$C$48)*$C$29/1000,0))</f>
      </c>
      <c r="T29" s="341">
        <f>IF(T22=0,"",ROUND(LOOKUP(T22,'2409'!$D$19:$E$48,'2409'!$C$19:$C$48)*$C$29/1000,0))</f>
      </c>
      <c r="U29" s="1031">
        <f>IF(U22=0,"",ROUND(LOOKUP(U22,'2409'!$D$19:$E$48,'2409'!$C$19:$C$48)*$C$29/1000,0))</f>
      </c>
      <c r="V29" s="574"/>
      <c r="W29" s="341">
        <f>IF(W22=0,"",ROUND(LOOKUP(W22,'2409'!$D$19:$E$48,'2409'!$C$19:$C$48)*$C$29/1000,0))</f>
      </c>
      <c r="X29" s="718">
        <f>IF(X22=0,"",ROUND(LOOKUP(X22,'2409'!$D$19:$E$48,'2409'!$C$19:$C$48)*$C$29/1000,0))</f>
      </c>
      <c r="Y29" s="1018">
        <f t="shared" si="2"/>
        <v>0</v>
      </c>
    </row>
    <row r="30" spans="1:25" ht="17.25" customHeight="1" thickBot="1">
      <c r="A30" s="1058" t="s">
        <v>236</v>
      </c>
      <c r="B30" s="49" t="s">
        <v>96</v>
      </c>
      <c r="C30" s="552">
        <v>83.83</v>
      </c>
      <c r="D30" s="789">
        <f>IF(D22=0,"",ROUND(LOOKUP(D22,'2409'!$D$19:$E$48,'2409'!$C$19:$C$48)*$C$30/1000,0))</f>
      </c>
      <c r="E30" s="341">
        <f>IF(E22=0,"",ROUND(LOOKUP(E22,'2409'!$D$19:$E$48,'2409'!$C$19:$C$48)*$C$30/1000,0))</f>
      </c>
      <c r="F30" s="341">
        <f>IF(F22=0,"",ROUND(LOOKUP(F22,'2409'!$D$19:$E$48,'2409'!$C$19:$C$48)*$C$30/1000,0))</f>
      </c>
      <c r="G30" s="341">
        <f>IF(G20=0,"",ROUND((ROUNDDOWN(G20,-3)*$C$30/1000),0))</f>
      </c>
      <c r="H30" s="341">
        <f>IF(H22=0,"",ROUND(LOOKUP(H22,'2409'!$D$19:$E$48,'2409'!$C$19:$C$48)*$C$30/1000,0))</f>
      </c>
      <c r="I30" s="341">
        <f>IF(I22=0,"",ROUND(LOOKUP(I22,'2409'!$D$19:$E$48,'2409'!$C$19:$C$48)*$C$30/1000,0))</f>
      </c>
      <c r="J30" s="574"/>
      <c r="K30" s="574"/>
      <c r="L30" s="574"/>
      <c r="M30" s="574"/>
      <c r="N30" s="719"/>
      <c r="O30" s="574"/>
      <c r="P30" s="574"/>
      <c r="Q30" s="574"/>
      <c r="R30" s="574"/>
      <c r="S30" s="732"/>
      <c r="T30" s="574"/>
      <c r="U30" s="1032"/>
      <c r="V30" s="574"/>
      <c r="W30" s="574"/>
      <c r="X30" s="719"/>
      <c r="Y30" s="1018">
        <f t="shared" si="2"/>
        <v>0</v>
      </c>
    </row>
    <row r="31" spans="1:25" ht="17.25" customHeight="1" thickBot="1">
      <c r="A31" s="1058" t="s">
        <v>397</v>
      </c>
      <c r="B31" s="49" t="s">
        <v>96</v>
      </c>
      <c r="C31" s="551">
        <v>0</v>
      </c>
      <c r="D31" s="790"/>
      <c r="E31" s="574"/>
      <c r="F31" s="574"/>
      <c r="G31" s="341">
        <f>IF(G20=0,"",ROUND((ROUNDDOWN(G20,-3)*$C$31/1000),0))</f>
      </c>
      <c r="H31" s="574"/>
      <c r="I31" s="574"/>
      <c r="J31" s="574"/>
      <c r="K31" s="574"/>
      <c r="L31" s="574"/>
      <c r="M31" s="574"/>
      <c r="N31" s="718">
        <f>IF(N20=0,"",ROUND((ROUNDDOWN(N20,-3)*$C$31/1000),0))</f>
      </c>
      <c r="O31" s="574"/>
      <c r="P31" s="574"/>
      <c r="Q31" s="574"/>
      <c r="R31" s="341">
        <f>IF(R20=0,"",ROUND((ROUNDDOWN(R20,-3)*$C$31/1000),0))</f>
      </c>
      <c r="S31" s="732"/>
      <c r="T31" s="574"/>
      <c r="U31" s="1032"/>
      <c r="V31" s="341">
        <f>IF(V20=0,"",ROUND((ROUNDDOWN(V20,-3)*$C$31/1000),0))</f>
      </c>
      <c r="W31" s="574"/>
      <c r="X31" s="719"/>
      <c r="Y31" s="1018">
        <f t="shared" si="2"/>
        <v>0</v>
      </c>
    </row>
    <row r="32" spans="1:25" ht="17.25" customHeight="1" thickBot="1">
      <c r="A32" s="1058" t="s">
        <v>398</v>
      </c>
      <c r="B32" s="49" t="s">
        <v>96</v>
      </c>
      <c r="C32" s="551">
        <v>0</v>
      </c>
      <c r="D32" s="789">
        <f>IF(D22=0,"",ROUND(LOOKUP(D22,'2409'!$D$19:$E$48,'2409'!$C$19:$C$48)*$C$32/1000,0))</f>
      </c>
      <c r="E32" s="341">
        <f>IF(E22=0,"",ROUND(LOOKUP(E22,'2409'!$D$19:$E$48,'2409'!$C$19:$C$48)*$C$32/1000,0))</f>
      </c>
      <c r="F32" s="341">
        <f>IF(F22=0,"",ROUND(LOOKUP(F22,'2409'!$D$19:$E$48,'2409'!$C$19:$C$48)*$C$32/1000,0))</f>
      </c>
      <c r="G32" s="574"/>
      <c r="H32" s="341">
        <f>IF(H22=0,"",ROUND(LOOKUP(H22,'2409'!$D$19:$E$48,'2409'!$C$19:$C$48)*$C$32/1000,0))</f>
      </c>
      <c r="I32" s="341">
        <f>IF(I22=0,"",ROUND(LOOKUP(I22,'2409'!$D$19:$E$48,'2409'!$C$19:$C$48)*$C$32/1000,0))</f>
      </c>
      <c r="J32" s="341">
        <f>IF(J22=0,"",ROUND(LOOKUP(J22,'2409'!$D$19:$E$48,'2409'!$C$19:$C$48)*$C$32/1000,0))</f>
      </c>
      <c r="K32" s="341">
        <f>IF(K22=0,"",ROUND(LOOKUP(K22,'2409'!$D$19:$E$48,'2409'!$C$19:$C$48)*$C$32/1000,0))</f>
      </c>
      <c r="L32" s="341">
        <f>IF(L22=0,"",ROUND(LOOKUP(L22,'2409'!$D$19:$E$48,'2409'!$C$19:$C$48)*$C$32/1000,0))</f>
      </c>
      <c r="M32" s="341">
        <f>IF(M22=0,"",ROUND(LOOKUP(M22,'2409'!$D$19:$E$48,'2409'!$C$19:$C$48)*$C$32/1000,0))</f>
      </c>
      <c r="N32" s="719"/>
      <c r="O32" s="341">
        <f>IF(O22=0,"",ROUND(LOOKUP(O22,'2409'!$D$19:$E$48,'2409'!$C$19:$C$48)*$C$32/1000,0))</f>
      </c>
      <c r="P32" s="341">
        <f>IF(P22=0,"",ROUND(LOOKUP(P22,'2409'!$D$19:$E$48,'2409'!$C$19:$C$48)*$C$32/1000,0))</f>
      </c>
      <c r="Q32" s="341">
        <f>IF(Q22=0,"",ROUND(LOOKUP(Q22,'2409'!$D$19:$E$48,'2409'!$C$19:$C$48)*$C$32/1000,0))</f>
      </c>
      <c r="R32" s="574"/>
      <c r="S32" s="731">
        <f>IF(S22=0,"",ROUND(LOOKUP(S22,'2409'!$D$19:$E$48,'2409'!$C$19:$C$48)*$C$32/1000,0))</f>
      </c>
      <c r="T32" s="341">
        <f>IF(T22=0,"",ROUND(LOOKUP(T22,'2409'!$D$19:$E$48,'2409'!$C$19:$C$48)*$C$32/1000,0))</f>
      </c>
      <c r="U32" s="1031">
        <f>IF(U22=0,"",ROUND(LOOKUP(U22,'2409'!$D$19:$E$48,'2409'!$C$19:$C$48)*$C$32/1000,0))</f>
      </c>
      <c r="V32" s="574"/>
      <c r="W32" s="341">
        <f>IF(W22=0,"",ROUND(LOOKUP(W22,'2409'!$D$19:$E$48,'2409'!$C$19:$C$48)*$C$32/1000,0))</f>
      </c>
      <c r="X32" s="718">
        <f>IF(X22=0,"",ROUND(LOOKUP(X22,'2409'!$D$19:$E$48,'2409'!$C$19:$C$48)*$C$32/1000,0))</f>
      </c>
      <c r="Y32" s="1018">
        <f t="shared" si="2"/>
        <v>0</v>
      </c>
    </row>
    <row r="33" spans="1:25" ht="17.25" customHeight="1" thickBot="1">
      <c r="A33" s="1058" t="s">
        <v>414</v>
      </c>
      <c r="B33" s="49" t="s">
        <v>96</v>
      </c>
      <c r="C33" s="552">
        <v>85.6</v>
      </c>
      <c r="D33" s="790"/>
      <c r="E33" s="574"/>
      <c r="F33" s="574"/>
      <c r="G33" s="574"/>
      <c r="H33" s="574"/>
      <c r="I33" s="574"/>
      <c r="J33" s="341">
        <f>IF(J22=0,"",ROUND(LOOKUP(J22,'2409'!$D$19:$E$48,'2409'!$C$19:$C$48)*$C$33/1000,0))</f>
      </c>
      <c r="K33" s="341">
        <f>IF(K22=0,"",ROUND(LOOKUP(K22,'2409'!$D$19:$E$48,'2409'!$C$19:$C$48)*$C$33/1000,0))</f>
      </c>
      <c r="L33" s="341">
        <f>IF(L22=0,"",ROUND(LOOKUP(L22,'2409'!$D$19:$E$48,'2409'!$C$19:$C$48)*$C$33/1000,0))</f>
      </c>
      <c r="M33" s="341">
        <f>IF(M22=0,"",ROUND(LOOKUP(M22,'2409'!$D$19:$E$48,'2409'!$C$19:$C$48)*$C$33/1000,0))</f>
      </c>
      <c r="N33" s="718">
        <f>IF(N20=0,"",ROUND((ROUNDDOWN(N20,-3)*$C$33/1000),0))</f>
      </c>
      <c r="O33" s="341">
        <f>IF(O22=0,"",ROUND(LOOKUP(O22,'2409'!$D$19:$E$48,'2409'!$C$19:$C$48)*$C$33/1000,0))</f>
      </c>
      <c r="P33" s="341">
        <f>IF(P22=0,"",ROUND(LOOKUP(P22,'2409'!$D$19:$E$48,'2409'!$C$19:$C$48)*$C$33/1000,0))</f>
      </c>
      <c r="Q33" s="341">
        <f>IF(Q22=0,"",ROUND(LOOKUP(Q22,'2409'!$D$19:$E$48,'2409'!$C$19:$C$48)*$C$33/1000,0))</f>
      </c>
      <c r="R33" s="341">
        <f>IF(R20=0,"",ROUND((ROUNDDOWN(R20,-3)*$C$33/1000),0))</f>
      </c>
      <c r="S33" s="731">
        <f>IF(S22=0,"",ROUND(LOOKUP(S22,'2409'!$D$19:$E$48,'2409'!$C$19:$C$48)*$C$33/1000,0))</f>
      </c>
      <c r="T33" s="341">
        <f>IF(T22=0,"",ROUND(LOOKUP(T22,'2409'!$D$19:$E$48,'2409'!$C$19:$C$48)*$C$33/1000,0))</f>
      </c>
      <c r="U33" s="1031">
        <f>IF(U22=0,"",ROUND(LOOKUP(U22,'2409'!$D$19:$E$48,'2409'!$C$19:$C$48)*$C$33/1000,0))</f>
      </c>
      <c r="V33" s="341">
        <f>IF(V20=0,"",ROUND((ROUNDDOWN(V20,-3)*$C$33/1000),0))</f>
      </c>
      <c r="W33" s="341">
        <f>IF(W22=0,"",ROUND(LOOKUP(W22,'2409'!$D$19:$E$48,'2409'!$C$19:$C$48)*$C$33/1000,0))</f>
      </c>
      <c r="X33" s="718">
        <f>IF(X22=0,"",ROUND(LOOKUP(X22,'2409'!$D$19:$E$48,'2409'!$C$19:$C$48)*$C$33/1000,0))</f>
      </c>
      <c r="Y33" s="1018">
        <f t="shared" si="2"/>
        <v>0</v>
      </c>
    </row>
    <row r="34" spans="1:25" ht="17.25" customHeight="1" thickBot="1">
      <c r="A34" s="1059" t="s">
        <v>220</v>
      </c>
      <c r="B34" s="49" t="s">
        <v>96</v>
      </c>
      <c r="C34" s="554">
        <v>0</v>
      </c>
      <c r="D34" s="789">
        <f>IF(D21=0,"",ROUND(LOOKUP(D21,'2409'!$D$15:$E$61,'2409'!$C$15:$C$61)*$C$34/1000,0))</f>
      </c>
      <c r="E34" s="731">
        <f>IF(E21=0,"",ROUND(LOOKUP(E21,'2409'!$D$15:$E$61,'2409'!$C$15:$C$61)*$C$34/1000,0))</f>
      </c>
      <c r="F34" s="731">
        <f>IF(F21=0,"",ROUND(LOOKUP(F21,'2409'!$D$15:$E$61,'2409'!$C$15:$C$61)*$C$34/1000,0))</f>
      </c>
      <c r="G34" s="341">
        <f>IF(G20=0,"",ROUND((ROUNDDOWN(G20,-3)*$C$34/1000),0))</f>
      </c>
      <c r="H34" s="731">
        <f>IF(H21=0,"",ROUND(LOOKUP(H21,'2409'!$D$15:$E$61,'2409'!$C$15:$C$61)*$C$34/1000,0))</f>
      </c>
      <c r="I34" s="731">
        <f>IF(I21=0,"",ROUND(LOOKUP(I21,'2409'!$D$15:$E$61,'2409'!$C$15:$C$61)*$C$34/1000,0))</f>
      </c>
      <c r="J34" s="731">
        <f>IF(J21=0,"",ROUND(LOOKUP(J21,'2409'!$D$15:$E$61,'2409'!$C$15:$C$61)*$C$34/1000,0))</f>
      </c>
      <c r="K34" s="731">
        <f>IF(K21=0,"",ROUND(LOOKUP(K21,'2409'!$D$15:$E$61,'2409'!$C$15:$C$61)*$C$34/1000,0))</f>
      </c>
      <c r="L34" s="731">
        <f>IF(L21=0,"",ROUND(LOOKUP(L21,'2409'!$D$15:$E$61,'2409'!$C$15:$C$61)*$C$34/1000,0))</f>
      </c>
      <c r="M34" s="731">
        <f>IF(M21=0,"",ROUND(LOOKUP(M21,'2409'!$D$15:$E$61,'2409'!$C$15:$C$61)*$C$34/1000,0))</f>
      </c>
      <c r="N34" s="718">
        <f>IF(N20=0,"",ROUND((ROUNDDOWN(N20,-3)*$C$34/1000),0))</f>
      </c>
      <c r="O34" s="341">
        <f>IF(O21=0,"",ROUND(LOOKUP(O21,'2409'!$D$15:$E$61,'2409'!$C$15:$C$61)*$C$34/1000,0))</f>
      </c>
      <c r="P34" s="731">
        <f>IF(P21=0,"",ROUND(LOOKUP(P21,'2409'!$D$15:$E$61,'2409'!$C$15:$C$61)*$C$34/1000,0))</f>
      </c>
      <c r="Q34" s="574"/>
      <c r="R34" s="341"/>
      <c r="S34" s="732"/>
      <c r="T34" s="574"/>
      <c r="U34" s="1032"/>
      <c r="V34" s="341"/>
      <c r="W34" s="574"/>
      <c r="X34" s="719"/>
      <c r="Y34" s="1018">
        <f t="shared" si="2"/>
        <v>0</v>
      </c>
    </row>
    <row r="35" spans="1:25" ht="17.25" customHeight="1" thickBot="1">
      <c r="A35" s="1059" t="s">
        <v>318</v>
      </c>
      <c r="B35" s="49" t="s">
        <v>96</v>
      </c>
      <c r="C35" s="554">
        <v>0</v>
      </c>
      <c r="D35" s="790"/>
      <c r="E35" s="574"/>
      <c r="F35" s="574"/>
      <c r="G35" s="574"/>
      <c r="H35" s="574"/>
      <c r="I35" s="574"/>
      <c r="J35" s="574"/>
      <c r="K35" s="574"/>
      <c r="L35" s="574"/>
      <c r="M35" s="574"/>
      <c r="N35" s="719"/>
      <c r="O35" s="574"/>
      <c r="P35" s="574"/>
      <c r="Q35" s="341">
        <f>IF(Q21=0,"",ROUND(LOOKUP(Q21,'2409'!$D$15:$E$61,'2409'!$C$15:$C$61)*$C$35/1000,0))</f>
      </c>
      <c r="R35" s="341">
        <f>IF(R20=0,"",ROUND((ROUNDDOWN(R20,-3)*$C$35/1000),0))</f>
      </c>
      <c r="S35" s="731">
        <f>IF(S21=0,"",ROUND(LOOKUP(S21,'2409'!$D$15:$E$61,'2409'!$C$15:$C$61)*$C$35/1000,0))</f>
      </c>
      <c r="T35" s="341">
        <f>IF(T21=0,"",ROUND(LOOKUP(T21,'2409'!$D$15:$E$61,'2409'!$C$15:$C$61)*$C$35/1000,0))</f>
      </c>
      <c r="U35" s="1031">
        <f>IF(U21=0,"",ROUND(LOOKUP(U21,'2409'!$D$15:$E$61,'2409'!$C$15:$C$61)*$C$35/1000,0))</f>
      </c>
      <c r="V35" s="341">
        <f>IF(V20=0,"",ROUND((ROUNDDOWN(V20,-3)*$C$35/1000),0))</f>
      </c>
      <c r="W35" s="341">
        <f>IF(W21=0,"",ROUND(LOOKUP(W21,'2409'!$D$15:$E$61,'2409'!$C$15:$C$61)*$C$35/1000,0))</f>
      </c>
      <c r="X35" s="718">
        <f>IF(X21=0,"",ROUND(LOOKUP(X21,'2409'!$D$15:$E$61,'2409'!$C$15:$C$61)*$C$35/1000,0))</f>
      </c>
      <c r="Y35" s="1018">
        <f t="shared" si="2"/>
        <v>0</v>
      </c>
    </row>
    <row r="36" spans="1:25" ht="17.25" customHeight="1" thickBot="1">
      <c r="A36" s="1059" t="s">
        <v>97</v>
      </c>
      <c r="B36" s="49" t="s">
        <v>96</v>
      </c>
      <c r="C36" s="551">
        <v>0</v>
      </c>
      <c r="D36" s="789">
        <f aca="true" t="shared" si="3" ref="D36:T36">IF(D20=0,"",ROUND(D20*$C$36/1000,0))</f>
      </c>
      <c r="E36" s="341">
        <f t="shared" si="3"/>
      </c>
      <c r="F36" s="341">
        <f t="shared" si="3"/>
      </c>
      <c r="G36" s="341">
        <f t="shared" si="3"/>
      </c>
      <c r="H36" s="341">
        <f t="shared" si="3"/>
      </c>
      <c r="I36" s="341">
        <f t="shared" si="3"/>
      </c>
      <c r="J36" s="341">
        <f t="shared" si="3"/>
      </c>
      <c r="K36" s="341">
        <f t="shared" si="3"/>
      </c>
      <c r="L36" s="341">
        <f t="shared" si="3"/>
      </c>
      <c r="M36" s="341">
        <f t="shared" si="3"/>
      </c>
      <c r="N36" s="718">
        <f t="shared" si="3"/>
      </c>
      <c r="O36" s="341">
        <f t="shared" si="3"/>
      </c>
      <c r="P36" s="341">
        <f t="shared" si="3"/>
      </c>
      <c r="Q36" s="341">
        <f t="shared" si="3"/>
      </c>
      <c r="R36" s="341">
        <f>IF(R20=0,"",ROUND(R20*$C$36/1000,0))</f>
      </c>
      <c r="S36" s="731">
        <f t="shared" si="3"/>
      </c>
      <c r="T36" s="341">
        <f t="shared" si="3"/>
      </c>
      <c r="U36" s="1031">
        <f>IF(U20=0,"",ROUND(U20*$C$36/1000,0))</f>
      </c>
      <c r="V36" s="341">
        <f>IF(V20=0,"",ROUND(V20*$C$36/1000,0))</f>
      </c>
      <c r="W36" s="341">
        <f>IF(W20=0,"",ROUND(W20*$C$36/1000,0))</f>
      </c>
      <c r="X36" s="718">
        <f>IF(X20=0,"",ROUND(X20*$C$36/1000,0))</f>
      </c>
      <c r="Y36" s="1018">
        <f t="shared" si="2"/>
        <v>0</v>
      </c>
    </row>
    <row r="37" spans="1:25" ht="17.25" customHeight="1" thickBot="1">
      <c r="A37" s="1059" t="s">
        <v>98</v>
      </c>
      <c r="B37" s="49" t="s">
        <v>96</v>
      </c>
      <c r="C37" s="554">
        <v>0</v>
      </c>
      <c r="D37" s="789">
        <f aca="true" t="shared" si="4" ref="D37:T37">IF(D20=0,"",ROUNDDOWN(D20*$C$37/1000,0))</f>
      </c>
      <c r="E37" s="341">
        <f t="shared" si="4"/>
      </c>
      <c r="F37" s="341">
        <f t="shared" si="4"/>
      </c>
      <c r="G37" s="341">
        <f t="shared" si="4"/>
      </c>
      <c r="H37" s="341">
        <f t="shared" si="4"/>
      </c>
      <c r="I37" s="341">
        <f t="shared" si="4"/>
      </c>
      <c r="J37" s="341">
        <f t="shared" si="4"/>
      </c>
      <c r="K37" s="341">
        <f t="shared" si="4"/>
      </c>
      <c r="L37" s="341">
        <f t="shared" si="4"/>
      </c>
      <c r="M37" s="341">
        <f t="shared" si="4"/>
      </c>
      <c r="N37" s="718">
        <f t="shared" si="4"/>
      </c>
      <c r="O37" s="341">
        <f t="shared" si="4"/>
      </c>
      <c r="P37" s="341">
        <f t="shared" si="4"/>
      </c>
      <c r="Q37" s="341">
        <f t="shared" si="4"/>
      </c>
      <c r="R37" s="341">
        <f>IF(R20=0,"",ROUNDDOWN(R20*$C$37/1000,0))</f>
      </c>
      <c r="S37" s="731">
        <f t="shared" si="4"/>
      </c>
      <c r="T37" s="341">
        <f t="shared" si="4"/>
      </c>
      <c r="U37" s="1031">
        <f>IF(U20=0,"",ROUNDDOWN(U20*$C$37/1000,0))</f>
      </c>
      <c r="V37" s="341">
        <f>IF(V20=0,"",ROUNDDOWN(V20*$C$37/1000,0))</f>
      </c>
      <c r="W37" s="341">
        <f>IF(W20=0,"",ROUNDDOWN(W20*$C$37/1000,0))</f>
      </c>
      <c r="X37" s="718">
        <f>IF(X20=0,"",ROUNDDOWN(X20*$C$37/1000,0))</f>
      </c>
      <c r="Y37" s="1018">
        <f t="shared" si="2"/>
        <v>0</v>
      </c>
    </row>
    <row r="38" spans="1:25" ht="17.25" customHeight="1" thickBot="1">
      <c r="A38" s="1059" t="s">
        <v>98</v>
      </c>
      <c r="B38" s="49" t="s">
        <v>96</v>
      </c>
      <c r="C38" s="554">
        <v>0</v>
      </c>
      <c r="D38" s="789">
        <f aca="true" t="shared" si="5" ref="D38:N38">IF(D20=0,"",ROUNDDOWN(D20*$C$38/1000,0))</f>
      </c>
      <c r="E38" s="341">
        <f t="shared" si="5"/>
      </c>
      <c r="F38" s="341">
        <f t="shared" si="5"/>
      </c>
      <c r="G38" s="341">
        <f t="shared" si="5"/>
      </c>
      <c r="H38" s="341">
        <f t="shared" si="5"/>
      </c>
      <c r="I38" s="341">
        <f t="shared" si="5"/>
      </c>
      <c r="J38" s="341">
        <f t="shared" si="5"/>
      </c>
      <c r="K38" s="341">
        <f t="shared" si="5"/>
      </c>
      <c r="L38" s="341">
        <f t="shared" si="5"/>
      </c>
      <c r="M38" s="341">
        <f t="shared" si="5"/>
      </c>
      <c r="N38" s="718">
        <f t="shared" si="5"/>
      </c>
      <c r="O38" s="341">
        <f aca="true" t="shared" si="6" ref="O38:T38">IF(O20=0,"",ROUNDDOWN(O20*$C$38/1000,0))</f>
      </c>
      <c r="P38" s="341">
        <f t="shared" si="6"/>
      </c>
      <c r="Q38" s="341">
        <f t="shared" si="6"/>
      </c>
      <c r="R38" s="341">
        <f t="shared" si="6"/>
      </c>
      <c r="S38" s="731">
        <f t="shared" si="6"/>
      </c>
      <c r="T38" s="341">
        <f t="shared" si="6"/>
      </c>
      <c r="U38" s="1031">
        <f>IF(U20=0,"",ROUNDDOWN(U20*$C$38/1000,0))</f>
      </c>
      <c r="V38" s="341">
        <f>IF(V20=0,"",ROUNDDOWN(V20*$C$38/1000,0))</f>
      </c>
      <c r="W38" s="341">
        <f>IF(W20=0,"",ROUNDDOWN(W20*$C$38/1000,0))</f>
      </c>
      <c r="X38" s="718">
        <f>IF(X20=0,"",ROUNDDOWN(X20*$C$38/1000,0))</f>
      </c>
      <c r="Y38" s="1018">
        <f t="shared" si="2"/>
        <v>0</v>
      </c>
    </row>
    <row r="39" spans="1:25" ht="17.25" customHeight="1" thickBot="1">
      <c r="A39" s="1060" t="s">
        <v>205</v>
      </c>
      <c r="B39" s="49" t="s">
        <v>96</v>
      </c>
      <c r="C39" s="554">
        <v>1.5</v>
      </c>
      <c r="D39" s="791">
        <f>IF(D22=0,"",ROUND(LOOKUP(D22,'2409'!$D$19:$E$48,'2409'!$C$19:$C$48)*$C$39/1000,0))</f>
      </c>
      <c r="E39" s="565">
        <f>IF(E22=0,"",ROUND(LOOKUP(E22,'2409'!$D$19:$E$48,'2409'!$C$19:$C$48)*$C$39/1000,0))</f>
      </c>
      <c r="F39" s="565">
        <f>IF(F22=0,"",ROUND(LOOKUP(F22,'2409'!$D$19:$E$48,'2409'!$C$19:$C$48)*$C$39/1000,0))</f>
      </c>
      <c r="G39" s="565">
        <f>IF(G20=0,"",ROUND((ROUNDDOWN(G20,-3)*$C$39/1000),0))</f>
      </c>
      <c r="H39" s="565">
        <f>IF(H22=0,"",ROUND(LOOKUP(H22,'2409'!$D$19:$E$48,'2409'!$C$19:$C$48)*$C$39/1000,0))</f>
      </c>
      <c r="I39" s="565">
        <f>IF(I22=0,"",ROUND(LOOKUP(I22,'2409'!$D$19:$E$48,'2409'!$C$19:$C$48)*$C$39/1000,0))</f>
      </c>
      <c r="J39" s="565">
        <f>IF(J22=0,"",ROUND(LOOKUP(J22,'2409'!$D$19:$E$48,'2409'!$C$19:$C$48)*$C$39/1000,0))</f>
      </c>
      <c r="K39" s="565">
        <f>IF(K22=0,"",ROUND(LOOKUP(K22,'2409'!$D$19:$E$48,'2409'!$C$19:$C$48)*$C$39/1000,0))</f>
      </c>
      <c r="L39" s="565">
        <f>IF(L22=0,"",ROUND(LOOKUP(L22,'2409'!$D$19:$E$48,'2409'!$C$19:$C$48)*$C$39/1000,0))</f>
      </c>
      <c r="M39" s="565">
        <f>IF(M22=0,"",ROUND(LOOKUP(M22,'2409'!$D$19:$E$48,'2409'!$C$19:$C$48)*$C$39/1000,0))</f>
      </c>
      <c r="N39" s="720">
        <f>IF(N20=0,"",ROUND((ROUNDDOWN(N20,-3)*$C$39/1000),0))</f>
      </c>
      <c r="O39" s="565">
        <f>IF(O22=0,"",ROUND(LOOKUP(O22,'2409'!$D$19:$E$48,'2409'!$C$19:$C$48)*$C$39/1000,0))</f>
      </c>
      <c r="P39" s="565">
        <f>IF(P22=0,"",ROUND(LOOKUP(P22,'2409'!$D$19:$E$48,'2409'!$C$19:$C$48)*$C$39/1000,0))</f>
      </c>
      <c r="Q39" s="565">
        <f>IF(Q22=0,"",ROUND(LOOKUP(Q22,'2409'!$D$19:$E$48,'2409'!$C$19:$C$48)*$C$39/1000,0))</f>
      </c>
      <c r="R39" s="565">
        <f>IF(R20=0,"",ROUND((ROUNDDOWN(R20,-3)*$C$39/1000),0))</f>
      </c>
      <c r="S39" s="919">
        <f>IF(S22=0,"",ROUND(LOOKUP(S22,'2409'!$D$19:$E$48,'2409'!$C$19:$C$48)*$C$39/1000,0))</f>
      </c>
      <c r="T39" s="565">
        <f>IF(T22=0,"",ROUND(LOOKUP(T22,'2409'!$D$19:$E$48,'2409'!$C$19:$C$48)*$C$39/1000,0))</f>
      </c>
      <c r="U39" s="1034">
        <f>IF(U22=0,"",ROUND(LOOKUP(U22,'2409'!$D$19:$E$48,'2409'!$C$19:$C$48)*$C$39/1000,0))</f>
      </c>
      <c r="V39" s="565">
        <f>IF(V20=0,"",ROUND((ROUNDDOWN(V20,-3)*$C$39/1000),0))</f>
      </c>
      <c r="W39" s="565">
        <f>IF(W22=0,"",ROUND(LOOKUP(W22,'2409'!$D$19:$E$48,'2409'!$C$19:$C$48)*$C$39/1000,0))</f>
      </c>
      <c r="X39" s="720">
        <f>IF(X22=0,"",ROUND(LOOKUP(X22,'2409'!$D$19:$E$48,'2409'!$C$19:$C$48)*$C$39/1000,0))</f>
      </c>
      <c r="Y39" s="1092">
        <f t="shared" si="2"/>
        <v>0</v>
      </c>
    </row>
    <row r="40" spans="1:26" ht="17.25" customHeight="1" thickBot="1">
      <c r="A40" s="822" t="s">
        <v>99</v>
      </c>
      <c r="B40" s="822"/>
      <c r="C40" s="733"/>
      <c r="D40" s="792">
        <f aca="true" t="shared" si="7" ref="D40:X40">SUM(D26:D39)</f>
        <v>0</v>
      </c>
      <c r="E40" s="564">
        <f t="shared" si="7"/>
        <v>0</v>
      </c>
      <c r="F40" s="564">
        <f t="shared" si="7"/>
        <v>0</v>
      </c>
      <c r="G40" s="564">
        <f>SUM(G26:G39)</f>
        <v>0</v>
      </c>
      <c r="H40" s="564">
        <f t="shared" si="7"/>
        <v>0</v>
      </c>
      <c r="I40" s="564">
        <f t="shared" si="7"/>
        <v>0</v>
      </c>
      <c r="J40" s="564">
        <f t="shared" si="7"/>
        <v>0</v>
      </c>
      <c r="K40" s="564">
        <f t="shared" si="7"/>
        <v>0</v>
      </c>
      <c r="L40" s="564">
        <f t="shared" si="7"/>
        <v>0</v>
      </c>
      <c r="M40" s="564">
        <f t="shared" si="7"/>
        <v>0</v>
      </c>
      <c r="N40" s="721">
        <f t="shared" si="7"/>
        <v>0</v>
      </c>
      <c r="O40" s="564">
        <f t="shared" si="7"/>
        <v>0</v>
      </c>
      <c r="P40" s="564">
        <f t="shared" si="7"/>
        <v>0</v>
      </c>
      <c r="Q40" s="564">
        <f t="shared" si="7"/>
        <v>0</v>
      </c>
      <c r="R40" s="564">
        <f t="shared" si="7"/>
        <v>0</v>
      </c>
      <c r="S40" s="920">
        <f t="shared" si="7"/>
        <v>0</v>
      </c>
      <c r="T40" s="564">
        <f t="shared" si="7"/>
        <v>0</v>
      </c>
      <c r="U40" s="564">
        <f t="shared" si="7"/>
        <v>0</v>
      </c>
      <c r="V40" s="564">
        <f t="shared" si="7"/>
        <v>0</v>
      </c>
      <c r="W40" s="564">
        <f t="shared" si="7"/>
        <v>0</v>
      </c>
      <c r="X40" s="721">
        <f t="shared" si="7"/>
        <v>0</v>
      </c>
      <c r="Y40" s="1028">
        <f>SUM(D40:X40)</f>
        <v>0</v>
      </c>
      <c r="Z40" s="27"/>
    </row>
    <row r="41" spans="1:37" ht="15" customHeight="1">
      <c r="A41" s="54"/>
      <c r="B41" s="665"/>
      <c r="C41" s="66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6"/>
      <c r="AK41" s="27"/>
    </row>
    <row r="42" spans="1:25" ht="15" customHeight="1" thickBot="1">
      <c r="A42" s="57" t="s">
        <v>100</v>
      </c>
      <c r="B42" s="58"/>
      <c r="C42" s="58"/>
      <c r="D42" s="58"/>
      <c r="E42" s="1341"/>
      <c r="F42" s="1341"/>
      <c r="G42" s="1341"/>
      <c r="H42" s="1341"/>
      <c r="I42" s="1341"/>
      <c r="J42" s="1341"/>
      <c r="K42" s="58"/>
      <c r="L42" s="58"/>
      <c r="M42" s="823"/>
      <c r="N42" s="58"/>
      <c r="Q42" s="823"/>
      <c r="R42" s="1347" t="s">
        <v>101</v>
      </c>
      <c r="S42" s="1347"/>
      <c r="T42" s="58"/>
      <c r="U42" s="58"/>
      <c r="V42" s="58"/>
      <c r="W42" s="58"/>
      <c r="X42" s="58"/>
      <c r="Y42" s="823"/>
    </row>
    <row r="43" spans="1:29" ht="29.25" customHeight="1" thickBot="1">
      <c r="A43" s="58"/>
      <c r="B43" s="896"/>
      <c r="C43" s="896"/>
      <c r="D43" s="896"/>
      <c r="E43" s="896"/>
      <c r="F43" s="896"/>
      <c r="G43" s="896"/>
      <c r="H43" s="896"/>
      <c r="I43" s="58"/>
      <c r="J43" s="58"/>
      <c r="K43" s="823"/>
      <c r="L43" s="58"/>
      <c r="M43" s="58"/>
      <c r="N43" s="58"/>
      <c r="O43" s="58"/>
      <c r="P43" s="58"/>
      <c r="Q43" s="542"/>
      <c r="R43" s="1348">
        <f>'総労働時間算定表(1)'!H5</f>
        <v>0</v>
      </c>
      <c r="S43" s="1349"/>
      <c r="T43" s="896" t="s">
        <v>360</v>
      </c>
      <c r="U43" s="896"/>
      <c r="V43" s="896"/>
      <c r="W43" s="896"/>
      <c r="X43" s="896"/>
      <c r="Y43" s="896"/>
      <c r="Z43" s="896"/>
      <c r="AA43" s="896"/>
      <c r="AB43" s="58"/>
      <c r="AC43" s="823"/>
    </row>
    <row r="44" spans="1:30" ht="15" customHeight="1" thickBo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60"/>
      <c r="AD44" s="58"/>
    </row>
    <row r="45" spans="1:28" ht="30.75" customHeight="1" thickBot="1">
      <c r="A45" s="61" t="s">
        <v>102</v>
      </c>
      <c r="B45" s="58"/>
      <c r="C45" s="62"/>
      <c r="D45" s="62" t="s">
        <v>239</v>
      </c>
      <c r="E45" s="1338">
        <f>Y20</f>
        <v>0</v>
      </c>
      <c r="F45" s="1339"/>
      <c r="G45" s="1340"/>
      <c r="H45" s="62" t="s">
        <v>208</v>
      </c>
      <c r="I45" s="1338">
        <f>Y40</f>
        <v>0</v>
      </c>
      <c r="J45" s="1339"/>
      <c r="K45" s="1340"/>
      <c r="L45" s="575" t="s">
        <v>240</v>
      </c>
      <c r="M45" s="62" t="s">
        <v>209</v>
      </c>
      <c r="N45" s="1342">
        <f>R43</f>
        <v>0</v>
      </c>
      <c r="O45" s="1343"/>
      <c r="P45" s="1344"/>
      <c r="Q45" s="550" t="s">
        <v>210</v>
      </c>
      <c r="R45" s="1345" t="e">
        <f>(ROUNDDOWN((E45+I45)/N45,0))</f>
        <v>#DIV/0!</v>
      </c>
      <c r="S45" s="1346"/>
      <c r="T45" s="896" t="s">
        <v>361</v>
      </c>
      <c r="U45" s="896"/>
      <c r="V45" s="896"/>
      <c r="W45" s="896"/>
      <c r="X45" s="896"/>
      <c r="Y45" s="575"/>
      <c r="Z45" s="575"/>
      <c r="AA45" s="62"/>
      <c r="AB45" s="62"/>
    </row>
    <row r="46" spans="2:25" ht="15" customHeight="1" thickBot="1">
      <c r="B46" s="58"/>
      <c r="C46" s="58"/>
      <c r="D46" s="58"/>
      <c r="E46" s="58"/>
      <c r="F46" s="59"/>
      <c r="G46" s="58"/>
      <c r="H46" s="58"/>
      <c r="I46" s="58"/>
      <c r="J46" s="58"/>
      <c r="K46" s="58"/>
      <c r="L46" s="58"/>
      <c r="M46" s="58"/>
      <c r="N46" s="58"/>
      <c r="O46" s="58"/>
      <c r="P46" s="59"/>
      <c r="Q46" s="58"/>
      <c r="R46" s="59" t="s">
        <v>103</v>
      </c>
      <c r="S46" s="58"/>
      <c r="T46" s="58"/>
      <c r="U46" s="58"/>
      <c r="V46" s="58"/>
      <c r="W46" s="58"/>
      <c r="X46" s="58"/>
      <c r="Y46" s="58"/>
    </row>
    <row r="47" spans="2:28" ht="15" customHeight="1">
      <c r="B47" s="58"/>
      <c r="C47" s="58"/>
      <c r="D47" s="58"/>
      <c r="E47" s="64"/>
      <c r="F47" s="576"/>
      <c r="G47" s="576"/>
      <c r="H47" s="64"/>
      <c r="I47" s="576"/>
      <c r="J47" s="576"/>
      <c r="K47" s="58"/>
      <c r="L47" s="58"/>
      <c r="M47" s="58"/>
      <c r="N47" s="58"/>
      <c r="O47" s="58"/>
      <c r="P47" s="928" t="s">
        <v>382</v>
      </c>
      <c r="Q47" s="63"/>
      <c r="R47" s="1332" t="e">
        <f>IF((ROUNDDOWN((E45+I45)/N45,0))&gt;=5000,5000,R45)</f>
        <v>#DIV/0!</v>
      </c>
      <c r="S47" s="1333"/>
      <c r="T47" s="64"/>
      <c r="U47" s="64"/>
      <c r="V47" s="64"/>
      <c r="W47" s="64"/>
      <c r="X47" s="64"/>
      <c r="Y47" s="576"/>
      <c r="Z47" s="576"/>
      <c r="AA47" s="58"/>
      <c r="AB47" s="58"/>
    </row>
    <row r="48" spans="2:28" ht="15" customHeight="1" thickBot="1">
      <c r="B48" s="59" t="s">
        <v>411</v>
      </c>
      <c r="C48" s="58"/>
      <c r="D48" s="58"/>
      <c r="E48" s="64"/>
      <c r="F48" s="576"/>
      <c r="G48" s="576"/>
      <c r="H48" s="64"/>
      <c r="I48" s="576"/>
      <c r="J48" s="576"/>
      <c r="K48" s="58"/>
      <c r="L48" s="58"/>
      <c r="M48" s="58"/>
      <c r="N48" s="58"/>
      <c r="O48" s="58"/>
      <c r="P48" s="929" t="s">
        <v>383</v>
      </c>
      <c r="Q48" s="63"/>
      <c r="R48" s="1334"/>
      <c r="S48" s="1335"/>
      <c r="T48" s="896" t="s">
        <v>361</v>
      </c>
      <c r="U48" s="896"/>
      <c r="V48" s="896"/>
      <c r="W48" s="896"/>
      <c r="X48" s="896"/>
      <c r="Y48" s="576"/>
      <c r="Z48" s="576"/>
      <c r="AA48" s="58"/>
      <c r="AB48" s="58"/>
    </row>
    <row r="49" spans="2:35" ht="13.5" customHeight="1">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2:30" ht="30" customHeight="1">
      <c r="B50" s="58"/>
      <c r="C50" s="58"/>
      <c r="D50" s="58"/>
      <c r="E50" s="58"/>
      <c r="F50" s="58"/>
      <c r="G50" s="58"/>
      <c r="H50" s="58"/>
      <c r="I50" s="58"/>
      <c r="J50" s="58"/>
      <c r="K50" s="58"/>
      <c r="L50" s="58"/>
      <c r="M50" s="58"/>
      <c r="N50" s="58"/>
      <c r="O50" s="58"/>
      <c r="P50" s="58"/>
      <c r="Q50" s="58"/>
      <c r="R50" s="58"/>
      <c r="S50" s="58"/>
      <c r="T50" s="65"/>
      <c r="U50" s="65"/>
      <c r="V50" s="65"/>
      <c r="W50" s="65"/>
      <c r="X50" s="65"/>
      <c r="Y50" s="65"/>
      <c r="Z50" s="58"/>
      <c r="AA50" s="60"/>
      <c r="AB50" s="60"/>
      <c r="AC50" s="58"/>
      <c r="AD50" s="345"/>
    </row>
    <row r="51" spans="1:25" ht="17.25">
      <c r="A51" s="930" t="s">
        <v>384</v>
      </c>
      <c r="B51" s="1356" t="s">
        <v>453</v>
      </c>
      <c r="C51" s="1356"/>
      <c r="D51" s="1356"/>
      <c r="E51" s="61"/>
      <c r="F51" s="933" t="e">
        <f>"名称(社名)　：　"&amp;#REF!</f>
        <v>#REF!</v>
      </c>
      <c r="G51" s="931"/>
      <c r="H51" s="931"/>
      <c r="J51" s="61"/>
      <c r="L51" s="65"/>
      <c r="M51" s="932" t="e">
        <f>"部署・役職名　：　"&amp;#REF!</f>
        <v>#REF!</v>
      </c>
      <c r="N51" s="58"/>
      <c r="O51" s="65"/>
      <c r="P51" s="65"/>
      <c r="Q51" s="934" t="s">
        <v>385</v>
      </c>
      <c r="R51" s="65"/>
      <c r="S51" s="65"/>
      <c r="T51" s="65"/>
      <c r="U51" s="65"/>
      <c r="V51" s="65"/>
      <c r="W51" s="65"/>
      <c r="X51" s="65"/>
      <c r="Y51" s="60"/>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31.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379" customWidth="1"/>
    <col min="2" max="2" width="5.140625" style="379" customWidth="1"/>
    <col min="3" max="3" width="7.8515625" style="539" customWidth="1"/>
    <col min="4" max="4" width="0.42578125" style="539" customWidth="1"/>
    <col min="5" max="5" width="6.8515625" style="379" customWidth="1"/>
    <col min="6" max="6" width="1.28515625" style="379" customWidth="1"/>
    <col min="7" max="7" width="8.140625" style="379" customWidth="1"/>
    <col min="8" max="8" width="2.421875" style="379" customWidth="1"/>
    <col min="9" max="9" width="8.140625" style="379" customWidth="1"/>
    <col min="10" max="10" width="8.7109375" style="379" customWidth="1"/>
    <col min="11" max="11" width="0.42578125" style="379" customWidth="1"/>
    <col min="12" max="12" width="8.7109375" style="379" customWidth="1"/>
    <col min="13" max="13" width="0.42578125" style="379" customWidth="1"/>
    <col min="14" max="14" width="8.7109375" style="540" customWidth="1"/>
    <col min="15" max="15" width="0.42578125" style="540" customWidth="1"/>
    <col min="16" max="16" width="8.7109375" style="540" customWidth="1"/>
    <col min="17" max="17" width="0.42578125" style="540" customWidth="1"/>
    <col min="18" max="18" width="8.7109375" style="540" customWidth="1"/>
    <col min="19" max="19" width="0.42578125" style="540" customWidth="1"/>
    <col min="20" max="20" width="8.7109375" style="540" customWidth="1"/>
    <col min="21" max="21" width="0.42578125" style="540" customWidth="1"/>
    <col min="22" max="22" width="8.7109375" style="540" customWidth="1"/>
    <col min="23" max="23" width="0.42578125" style="540" customWidth="1"/>
    <col min="24" max="24" width="8.7109375" style="540" customWidth="1"/>
    <col min="25" max="25" width="0.42578125" style="540" customWidth="1"/>
    <col min="26" max="26" width="0.71875" style="379" customWidth="1"/>
    <col min="27" max="16384" width="9.00390625" style="379" customWidth="1"/>
  </cols>
  <sheetData>
    <row r="1" spans="2:26" ht="16.5" customHeight="1">
      <c r="B1" s="1429" t="s">
        <v>212</v>
      </c>
      <c r="C1" s="1430"/>
      <c r="D1" s="1430"/>
      <c r="E1" s="1430"/>
      <c r="F1" s="1430"/>
      <c r="G1" s="1430"/>
      <c r="H1" s="1430"/>
      <c r="I1" s="1430"/>
      <c r="J1" s="1430"/>
      <c r="K1" s="1430"/>
      <c r="L1" s="1430"/>
      <c r="M1" s="1430"/>
      <c r="N1" s="1430"/>
      <c r="O1" s="1430"/>
      <c r="P1" s="1430"/>
      <c r="Q1" s="1430"/>
      <c r="R1" s="1430"/>
      <c r="S1" s="1430"/>
      <c r="T1" s="1430"/>
      <c r="U1" s="1430"/>
      <c r="V1" s="1430"/>
      <c r="W1" s="1430"/>
      <c r="X1" s="1430"/>
      <c r="Y1" s="1430"/>
      <c r="Z1" s="380"/>
    </row>
    <row r="2" spans="2:26" ht="16.5" customHeight="1">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380"/>
    </row>
    <row r="3" spans="2:26" ht="17.25" customHeight="1">
      <c r="B3" s="1431" t="s">
        <v>213</v>
      </c>
      <c r="C3" s="1431"/>
      <c r="D3" s="1431"/>
      <c r="E3" s="1431"/>
      <c r="F3" s="1431"/>
      <c r="G3" s="1431"/>
      <c r="H3" s="1431"/>
      <c r="I3" s="1431"/>
      <c r="J3" s="1431"/>
      <c r="K3" s="1431"/>
      <c r="L3" s="1431"/>
      <c r="M3" s="1431"/>
      <c r="N3" s="1431"/>
      <c r="O3" s="1431"/>
      <c r="P3" s="1431"/>
      <c r="Q3" s="1431"/>
      <c r="R3" s="1431"/>
      <c r="S3" s="1431"/>
      <c r="T3" s="1431"/>
      <c r="U3" s="1431"/>
      <c r="V3" s="1431"/>
      <c r="W3" s="1431"/>
      <c r="X3" s="1431"/>
      <c r="Y3" s="381"/>
      <c r="Z3" s="380"/>
    </row>
    <row r="4" spans="1:26" ht="24" customHeight="1">
      <c r="A4" s="382"/>
      <c r="B4" s="1431"/>
      <c r="C4" s="1431"/>
      <c r="D4" s="1431"/>
      <c r="E4" s="1431"/>
      <c r="F4" s="1431"/>
      <c r="G4" s="1431"/>
      <c r="H4" s="1431"/>
      <c r="I4" s="1431"/>
      <c r="J4" s="1431"/>
      <c r="K4" s="1431"/>
      <c r="L4" s="1431"/>
      <c r="M4" s="1431"/>
      <c r="N4" s="1431"/>
      <c r="O4" s="1431"/>
      <c r="P4" s="1431"/>
      <c r="Q4" s="1431"/>
      <c r="R4" s="1431"/>
      <c r="S4" s="1431"/>
      <c r="T4" s="1431"/>
      <c r="U4" s="1431"/>
      <c r="V4" s="1431"/>
      <c r="W4" s="1431"/>
      <c r="X4" s="1431"/>
      <c r="Y4" s="383"/>
      <c r="Z4" s="380"/>
    </row>
    <row r="5" spans="2:26" ht="15.75" customHeight="1" thickBot="1">
      <c r="B5" s="1432" t="s">
        <v>105</v>
      </c>
      <c r="C5" s="1432"/>
      <c r="D5" s="1432"/>
      <c r="E5" s="1432"/>
      <c r="F5" s="1432"/>
      <c r="G5" s="1432"/>
      <c r="H5" s="1432"/>
      <c r="I5" s="1432"/>
      <c r="J5" s="1432"/>
      <c r="K5" s="1432"/>
      <c r="L5" s="1432"/>
      <c r="M5" s="1432"/>
      <c r="N5" s="1432"/>
      <c r="O5" s="1432"/>
      <c r="P5" s="1432"/>
      <c r="Q5" s="1432"/>
      <c r="R5" s="384"/>
      <c r="S5" s="384"/>
      <c r="T5" s="384"/>
      <c r="U5" s="384"/>
      <c r="V5" s="384"/>
      <c r="W5" s="384"/>
      <c r="X5" s="385" t="s">
        <v>0</v>
      </c>
      <c r="Y5" s="384"/>
      <c r="Z5" s="380"/>
    </row>
    <row r="6" spans="2:25" s="386" customFormat="1" ht="18.75" customHeight="1" thickTop="1">
      <c r="B6" s="1433" t="s">
        <v>106</v>
      </c>
      <c r="C6" s="1434"/>
      <c r="D6" s="1434"/>
      <c r="E6" s="1434"/>
      <c r="F6" s="1435"/>
      <c r="G6" s="1434" t="s">
        <v>107</v>
      </c>
      <c r="H6" s="1434"/>
      <c r="I6" s="1434"/>
      <c r="J6" s="1439" t="s">
        <v>108</v>
      </c>
      <c r="K6" s="1440"/>
      <c r="L6" s="1440"/>
      <c r="M6" s="1440"/>
      <c r="N6" s="1440"/>
      <c r="O6" s="1440"/>
      <c r="P6" s="1440"/>
      <c r="Q6" s="1441"/>
      <c r="R6" s="1440" t="s">
        <v>109</v>
      </c>
      <c r="S6" s="1442"/>
      <c r="T6" s="1442"/>
      <c r="U6" s="1442"/>
      <c r="V6" s="1442"/>
      <c r="W6" s="1442"/>
      <c r="X6" s="1442"/>
      <c r="Y6" s="1443"/>
    </row>
    <row r="7" spans="2:25" s="386" customFormat="1" ht="13.5" customHeight="1">
      <c r="B7" s="1436"/>
      <c r="C7" s="1437"/>
      <c r="D7" s="1437"/>
      <c r="E7" s="1437"/>
      <c r="F7" s="1438"/>
      <c r="G7" s="1437"/>
      <c r="H7" s="1437"/>
      <c r="I7" s="1437"/>
      <c r="J7" s="1444" t="s">
        <v>110</v>
      </c>
      <c r="K7" s="1445"/>
      <c r="L7" s="1445"/>
      <c r="M7" s="1446"/>
      <c r="N7" s="1453" t="s">
        <v>111</v>
      </c>
      <c r="O7" s="1398"/>
      <c r="P7" s="1398"/>
      <c r="Q7" s="1399"/>
      <c r="R7" s="1458" t="s">
        <v>112</v>
      </c>
      <c r="S7" s="1398"/>
      <c r="T7" s="1398"/>
      <c r="U7" s="1459"/>
      <c r="V7" s="1397" t="s">
        <v>113</v>
      </c>
      <c r="W7" s="1398"/>
      <c r="X7" s="1398"/>
      <c r="Y7" s="1399"/>
    </row>
    <row r="8" spans="2:25" s="386" customFormat="1" ht="11.25">
      <c r="B8" s="1436"/>
      <c r="C8" s="1437"/>
      <c r="D8" s="1437"/>
      <c r="E8" s="1437"/>
      <c r="F8" s="1438"/>
      <c r="G8" s="1437"/>
      <c r="H8" s="1437"/>
      <c r="I8" s="1437"/>
      <c r="J8" s="1447"/>
      <c r="K8" s="1448"/>
      <c r="L8" s="1448"/>
      <c r="M8" s="1449"/>
      <c r="N8" s="1454"/>
      <c r="O8" s="1401"/>
      <c r="P8" s="1401"/>
      <c r="Q8" s="1402"/>
      <c r="R8" s="1460"/>
      <c r="S8" s="1401"/>
      <c r="T8" s="1401"/>
      <c r="U8" s="1461"/>
      <c r="V8" s="1400"/>
      <c r="W8" s="1401"/>
      <c r="X8" s="1401"/>
      <c r="Y8" s="1402"/>
    </row>
    <row r="9" spans="2:25" s="386" customFormat="1" ht="2.25" customHeight="1">
      <c r="B9" s="1436"/>
      <c r="C9" s="1437"/>
      <c r="D9" s="1437"/>
      <c r="E9" s="1437"/>
      <c r="F9" s="1438"/>
      <c r="G9" s="1437"/>
      <c r="H9" s="1437"/>
      <c r="I9" s="1437"/>
      <c r="J9" s="1450"/>
      <c r="K9" s="1451"/>
      <c r="L9" s="1451"/>
      <c r="M9" s="1452"/>
      <c r="N9" s="1455"/>
      <c r="O9" s="1456"/>
      <c r="P9" s="1456"/>
      <c r="Q9" s="1457"/>
      <c r="R9" s="1462"/>
      <c r="S9" s="1404"/>
      <c r="T9" s="1404"/>
      <c r="U9" s="1463"/>
      <c r="V9" s="1403"/>
      <c r="W9" s="1404"/>
      <c r="X9" s="1404"/>
      <c r="Y9" s="1405"/>
    </row>
    <row r="10" spans="2:25" s="386" customFormat="1" ht="13.5" customHeight="1">
      <c r="B10" s="1436"/>
      <c r="C10" s="1437"/>
      <c r="D10" s="1437"/>
      <c r="E10" s="1437"/>
      <c r="F10" s="1438"/>
      <c r="G10" s="1437"/>
      <c r="H10" s="1437"/>
      <c r="I10" s="1437"/>
      <c r="J10" s="1406">
        <v>0.0948</v>
      </c>
      <c r="K10" s="1407"/>
      <c r="L10" s="1407"/>
      <c r="M10" s="1408"/>
      <c r="N10" s="1406">
        <f>J10+0.0151</f>
        <v>0.1099</v>
      </c>
      <c r="O10" s="1412"/>
      <c r="P10" s="1412"/>
      <c r="Q10" s="1413"/>
      <c r="R10" s="1417">
        <v>0.16412</v>
      </c>
      <c r="S10" s="1417"/>
      <c r="T10" s="1417"/>
      <c r="U10" s="1418"/>
      <c r="V10" s="1417">
        <v>0.16944</v>
      </c>
      <c r="W10" s="1417"/>
      <c r="X10" s="1417"/>
      <c r="Y10" s="1419"/>
    </row>
    <row r="11" spans="2:25" s="386" customFormat="1" ht="5.25" customHeight="1">
      <c r="B11" s="1436"/>
      <c r="C11" s="1437"/>
      <c r="D11" s="1437"/>
      <c r="E11" s="1437"/>
      <c r="F11" s="1438"/>
      <c r="G11" s="1437"/>
      <c r="H11" s="1437"/>
      <c r="I11" s="1437"/>
      <c r="J11" s="1409"/>
      <c r="K11" s="1410"/>
      <c r="L11" s="1410"/>
      <c r="M11" s="1411"/>
      <c r="N11" s="1414"/>
      <c r="O11" s="1415"/>
      <c r="P11" s="1415"/>
      <c r="Q11" s="1416"/>
      <c r="R11" s="1417"/>
      <c r="S11" s="1417"/>
      <c r="T11" s="1417"/>
      <c r="U11" s="1418"/>
      <c r="V11" s="1417"/>
      <c r="W11" s="1417"/>
      <c r="X11" s="1417"/>
      <c r="Y11" s="1419"/>
    </row>
    <row r="12" spans="2:25" s="386" customFormat="1" ht="8.25" customHeight="1">
      <c r="B12" s="1420" t="s">
        <v>114</v>
      </c>
      <c r="C12" s="1422" t="s">
        <v>115</v>
      </c>
      <c r="D12" s="1423"/>
      <c r="E12" s="1382" t="s">
        <v>116</v>
      </c>
      <c r="F12" s="1426"/>
      <c r="G12" s="1437"/>
      <c r="H12" s="1437"/>
      <c r="I12" s="1437"/>
      <c r="J12" s="1382" t="s">
        <v>117</v>
      </c>
      <c r="K12" s="1383"/>
      <c r="L12" s="1386" t="s">
        <v>118</v>
      </c>
      <c r="M12" s="1394"/>
      <c r="N12" s="1382" t="s">
        <v>117</v>
      </c>
      <c r="O12" s="1383"/>
      <c r="P12" s="1386" t="s">
        <v>118</v>
      </c>
      <c r="Q12" s="1387"/>
      <c r="R12" s="1390" t="s">
        <v>119</v>
      </c>
      <c r="S12" s="1391"/>
      <c r="T12" s="1390" t="s">
        <v>120</v>
      </c>
      <c r="U12" s="1394"/>
      <c r="V12" s="1390" t="s">
        <v>119</v>
      </c>
      <c r="W12" s="1391"/>
      <c r="X12" s="1390" t="s">
        <v>120</v>
      </c>
      <c r="Y12" s="1387"/>
    </row>
    <row r="13" spans="2:25" s="386" customFormat="1" ht="8.25" customHeight="1">
      <c r="B13" s="1421"/>
      <c r="C13" s="1424"/>
      <c r="D13" s="1425"/>
      <c r="E13" s="1427"/>
      <c r="F13" s="1428"/>
      <c r="G13" s="1425"/>
      <c r="H13" s="1425"/>
      <c r="I13" s="1425"/>
      <c r="J13" s="1384"/>
      <c r="K13" s="1385"/>
      <c r="L13" s="1388"/>
      <c r="M13" s="1396"/>
      <c r="N13" s="1384"/>
      <c r="O13" s="1385"/>
      <c r="P13" s="1388"/>
      <c r="Q13" s="1389"/>
      <c r="R13" s="1392"/>
      <c r="S13" s="1393"/>
      <c r="T13" s="1395"/>
      <c r="U13" s="1396"/>
      <c r="V13" s="1392"/>
      <c r="W13" s="1393"/>
      <c r="X13" s="1395"/>
      <c r="Y13" s="1389"/>
    </row>
    <row r="14" spans="2:25" s="386" customFormat="1" ht="15" customHeight="1">
      <c r="B14" s="387"/>
      <c r="C14" s="388"/>
      <c r="D14" s="389"/>
      <c r="E14" s="388"/>
      <c r="F14" s="390"/>
      <c r="G14" s="391" t="s">
        <v>121</v>
      </c>
      <c r="H14" s="392"/>
      <c r="I14" s="391" t="s">
        <v>122</v>
      </c>
      <c r="J14" s="393"/>
      <c r="K14" s="394"/>
      <c r="L14" s="395"/>
      <c r="M14" s="396"/>
      <c r="N14" s="397"/>
      <c r="O14" s="398"/>
      <c r="P14" s="399"/>
      <c r="Q14" s="400"/>
      <c r="R14" s="394"/>
      <c r="S14" s="401"/>
      <c r="T14" s="394"/>
      <c r="U14" s="402"/>
      <c r="V14" s="394"/>
      <c r="W14" s="401"/>
      <c r="X14" s="394"/>
      <c r="Y14" s="403"/>
    </row>
    <row r="15" spans="2:26" s="386" customFormat="1" ht="12.75" customHeight="1">
      <c r="B15" s="404">
        <v>1</v>
      </c>
      <c r="C15" s="405">
        <v>58000</v>
      </c>
      <c r="D15" s="406"/>
      <c r="E15" s="405">
        <v>1930</v>
      </c>
      <c r="F15" s="407"/>
      <c r="G15" s="408"/>
      <c r="H15" s="409" t="s">
        <v>57</v>
      </c>
      <c r="I15" s="408">
        <v>63000</v>
      </c>
      <c r="J15" s="410">
        <f>C15*$J$10</f>
        <v>5498.4</v>
      </c>
      <c r="K15" s="411"/>
      <c r="L15" s="412">
        <f>J15/2</f>
        <v>2749.2</v>
      </c>
      <c r="M15" s="407"/>
      <c r="N15" s="410">
        <f>C15*$N$10</f>
        <v>6374.2</v>
      </c>
      <c r="O15" s="411"/>
      <c r="P15" s="412">
        <f>N15/2</f>
        <v>3187.1</v>
      </c>
      <c r="Q15" s="413"/>
      <c r="R15" s="409"/>
      <c r="S15" s="414"/>
      <c r="T15" s="409"/>
      <c r="U15" s="415"/>
      <c r="V15" s="409"/>
      <c r="W15" s="414"/>
      <c r="X15" s="409"/>
      <c r="Y15" s="413"/>
      <c r="Z15" s="416"/>
    </row>
    <row r="16" spans="2:26" s="386" customFormat="1" ht="12.75" customHeight="1">
      <c r="B16" s="417">
        <v>2</v>
      </c>
      <c r="C16" s="418">
        <v>68000</v>
      </c>
      <c r="D16" s="419"/>
      <c r="E16" s="418">
        <v>2270</v>
      </c>
      <c r="F16" s="420"/>
      <c r="G16" s="421">
        <v>63000</v>
      </c>
      <c r="H16" s="422" t="s">
        <v>57</v>
      </c>
      <c r="I16" s="421">
        <v>73000</v>
      </c>
      <c r="J16" s="423">
        <f aca="true" t="shared" si="0" ref="J16:J61">C16*$J$10</f>
        <v>6446.4</v>
      </c>
      <c r="K16" s="424"/>
      <c r="L16" s="425">
        <f aca="true" t="shared" si="1" ref="L16:L61">J16/2</f>
        <v>3223.2</v>
      </c>
      <c r="M16" s="426"/>
      <c r="N16" s="423">
        <f aca="true" t="shared" si="2" ref="N16:N61">C16*$N$10</f>
        <v>7473.2</v>
      </c>
      <c r="O16" s="424"/>
      <c r="P16" s="427">
        <f aca="true" t="shared" si="3" ref="P16:P61">N16/2</f>
        <v>3736.6</v>
      </c>
      <c r="Q16" s="428"/>
      <c r="R16" s="409"/>
      <c r="S16" s="414"/>
      <c r="T16" s="409"/>
      <c r="U16" s="415"/>
      <c r="V16" s="409"/>
      <c r="W16" s="414"/>
      <c r="X16" s="409"/>
      <c r="Y16" s="413"/>
      <c r="Z16" s="416"/>
    </row>
    <row r="17" spans="2:26" s="386" customFormat="1" ht="12.75" customHeight="1">
      <c r="B17" s="429">
        <v>3</v>
      </c>
      <c r="C17" s="430">
        <v>78000</v>
      </c>
      <c r="D17" s="431"/>
      <c r="E17" s="430">
        <v>2600</v>
      </c>
      <c r="F17" s="432"/>
      <c r="G17" s="433">
        <v>73000</v>
      </c>
      <c r="H17" s="434" t="s">
        <v>57</v>
      </c>
      <c r="I17" s="433">
        <v>83000</v>
      </c>
      <c r="J17" s="435">
        <f t="shared" si="0"/>
        <v>7394.4</v>
      </c>
      <c r="K17" s="436"/>
      <c r="L17" s="437">
        <f t="shared" si="1"/>
        <v>3697.2</v>
      </c>
      <c r="M17" s="438"/>
      <c r="N17" s="435">
        <f t="shared" si="2"/>
        <v>8572.2</v>
      </c>
      <c r="O17" s="436"/>
      <c r="P17" s="439">
        <f t="shared" si="3"/>
        <v>4286.1</v>
      </c>
      <c r="Q17" s="440"/>
      <c r="R17" s="409"/>
      <c r="S17" s="414"/>
      <c r="T17" s="409"/>
      <c r="U17" s="415"/>
      <c r="V17" s="409"/>
      <c r="W17" s="414"/>
      <c r="X17" s="409"/>
      <c r="Y17" s="413"/>
      <c r="Z17" s="416"/>
    </row>
    <row r="18" spans="2:26" s="386" customFormat="1" ht="12.75" customHeight="1">
      <c r="B18" s="417">
        <v>4</v>
      </c>
      <c r="C18" s="418">
        <v>88000</v>
      </c>
      <c r="D18" s="419"/>
      <c r="E18" s="418">
        <v>2930</v>
      </c>
      <c r="F18" s="420"/>
      <c r="G18" s="421">
        <v>83000</v>
      </c>
      <c r="H18" s="422" t="s">
        <v>57</v>
      </c>
      <c r="I18" s="421">
        <v>93000</v>
      </c>
      <c r="J18" s="423">
        <f t="shared" si="0"/>
        <v>8342.4</v>
      </c>
      <c r="K18" s="424"/>
      <c r="L18" s="425">
        <f t="shared" si="1"/>
        <v>4171.2</v>
      </c>
      <c r="M18" s="426"/>
      <c r="N18" s="423">
        <f>C18*$N$10</f>
        <v>9671.199999999999</v>
      </c>
      <c r="O18" s="424"/>
      <c r="P18" s="427">
        <f t="shared" si="3"/>
        <v>4835.599999999999</v>
      </c>
      <c r="Q18" s="428"/>
      <c r="R18" s="409"/>
      <c r="S18" s="414"/>
      <c r="T18" s="409"/>
      <c r="U18" s="415"/>
      <c r="V18" s="409"/>
      <c r="W18" s="414"/>
      <c r="X18" s="409"/>
      <c r="Y18" s="413"/>
      <c r="Z18" s="416"/>
    </row>
    <row r="19" spans="2:26" s="386" customFormat="1" ht="12.75" customHeight="1">
      <c r="B19" s="429" t="s">
        <v>123</v>
      </c>
      <c r="C19" s="430">
        <v>98000</v>
      </c>
      <c r="D19" s="431"/>
      <c r="E19" s="430">
        <v>3270</v>
      </c>
      <c r="F19" s="434"/>
      <c r="G19" s="441">
        <v>93000</v>
      </c>
      <c r="H19" s="434" t="s">
        <v>57</v>
      </c>
      <c r="I19" s="442">
        <v>101000</v>
      </c>
      <c r="J19" s="443">
        <f t="shared" si="0"/>
        <v>9290.4</v>
      </c>
      <c r="K19" s="444"/>
      <c r="L19" s="445">
        <f t="shared" si="1"/>
        <v>4645.2</v>
      </c>
      <c r="M19" s="446"/>
      <c r="N19" s="435">
        <f t="shared" si="2"/>
        <v>10770.199999999999</v>
      </c>
      <c r="O19" s="444"/>
      <c r="P19" s="439">
        <f t="shared" si="3"/>
        <v>5385.099999999999</v>
      </c>
      <c r="Q19" s="447"/>
      <c r="R19" s="448">
        <f>C19*$R$10</f>
        <v>16083.759999999998</v>
      </c>
      <c r="S19" s="449"/>
      <c r="T19" s="448">
        <f>R19/2</f>
        <v>8041.879999999999</v>
      </c>
      <c r="U19" s="450"/>
      <c r="V19" s="448">
        <f>C19*$V$10</f>
        <v>16605.12</v>
      </c>
      <c r="W19" s="449"/>
      <c r="X19" s="448">
        <f>V19/2</f>
        <v>8302.56</v>
      </c>
      <c r="Y19" s="451"/>
      <c r="Z19" s="452"/>
    </row>
    <row r="20" spans="2:27" s="386" customFormat="1" ht="12.75" customHeight="1">
      <c r="B20" s="417" t="s">
        <v>124</v>
      </c>
      <c r="C20" s="418">
        <v>104000</v>
      </c>
      <c r="D20" s="419"/>
      <c r="E20" s="418">
        <v>3470</v>
      </c>
      <c r="F20" s="422"/>
      <c r="G20" s="453">
        <v>101000</v>
      </c>
      <c r="H20" s="422" t="s">
        <v>57</v>
      </c>
      <c r="I20" s="454">
        <v>107000</v>
      </c>
      <c r="J20" s="455">
        <f t="shared" si="0"/>
        <v>9859.199999999999</v>
      </c>
      <c r="K20" s="456"/>
      <c r="L20" s="457">
        <f t="shared" si="1"/>
        <v>4929.599999999999</v>
      </c>
      <c r="M20" s="458"/>
      <c r="N20" s="423">
        <f t="shared" si="2"/>
        <v>11429.6</v>
      </c>
      <c r="O20" s="456"/>
      <c r="P20" s="427">
        <f t="shared" si="3"/>
        <v>5714.8</v>
      </c>
      <c r="Q20" s="459"/>
      <c r="R20" s="460">
        <f aca="true" t="shared" si="4" ref="R20:R48">C20*$R$10</f>
        <v>17068.48</v>
      </c>
      <c r="S20" s="461"/>
      <c r="T20" s="460">
        <f aca="true" t="shared" si="5" ref="T20:T48">R20/2</f>
        <v>8534.24</v>
      </c>
      <c r="U20" s="462"/>
      <c r="V20" s="460">
        <f aca="true" t="shared" si="6" ref="V20:V48">C20*$V$10</f>
        <v>17621.760000000002</v>
      </c>
      <c r="W20" s="461"/>
      <c r="X20" s="460">
        <f aca="true" t="shared" si="7" ref="X20:X48">V20/2</f>
        <v>8810.880000000001</v>
      </c>
      <c r="Y20" s="459"/>
      <c r="Z20" s="392"/>
      <c r="AA20" s="416"/>
    </row>
    <row r="21" spans="2:27" s="386" customFormat="1" ht="12.75" customHeight="1">
      <c r="B21" s="429" t="s">
        <v>125</v>
      </c>
      <c r="C21" s="430">
        <v>110000</v>
      </c>
      <c r="D21" s="431"/>
      <c r="E21" s="430">
        <v>3670</v>
      </c>
      <c r="F21" s="434"/>
      <c r="G21" s="441">
        <v>107000</v>
      </c>
      <c r="H21" s="434" t="s">
        <v>57</v>
      </c>
      <c r="I21" s="442">
        <v>114000</v>
      </c>
      <c r="J21" s="443">
        <f t="shared" si="0"/>
        <v>10428</v>
      </c>
      <c r="K21" s="444"/>
      <c r="L21" s="445">
        <f t="shared" si="1"/>
        <v>5214</v>
      </c>
      <c r="M21" s="446"/>
      <c r="N21" s="435">
        <f t="shared" si="2"/>
        <v>12089</v>
      </c>
      <c r="O21" s="444"/>
      <c r="P21" s="439">
        <f t="shared" si="3"/>
        <v>6044.5</v>
      </c>
      <c r="Q21" s="447"/>
      <c r="R21" s="463">
        <f t="shared" si="4"/>
        <v>18053.199999999997</v>
      </c>
      <c r="S21" s="464"/>
      <c r="T21" s="463">
        <f t="shared" si="5"/>
        <v>9026.599999999999</v>
      </c>
      <c r="U21" s="465"/>
      <c r="V21" s="463">
        <f t="shared" si="6"/>
        <v>18638.4</v>
      </c>
      <c r="W21" s="464"/>
      <c r="X21" s="463">
        <f t="shared" si="7"/>
        <v>9319.2</v>
      </c>
      <c r="Y21" s="447"/>
      <c r="Z21" s="392"/>
      <c r="AA21" s="416"/>
    </row>
    <row r="22" spans="2:27" s="386" customFormat="1" ht="12.75" customHeight="1">
      <c r="B22" s="417" t="s">
        <v>126</v>
      </c>
      <c r="C22" s="418">
        <v>118000</v>
      </c>
      <c r="D22" s="419"/>
      <c r="E22" s="418">
        <v>3930</v>
      </c>
      <c r="F22" s="422"/>
      <c r="G22" s="453">
        <v>114000</v>
      </c>
      <c r="H22" s="422" t="s">
        <v>57</v>
      </c>
      <c r="I22" s="454">
        <v>122000</v>
      </c>
      <c r="J22" s="455">
        <f t="shared" si="0"/>
        <v>11186.4</v>
      </c>
      <c r="K22" s="456"/>
      <c r="L22" s="457">
        <f t="shared" si="1"/>
        <v>5593.2</v>
      </c>
      <c r="M22" s="458"/>
      <c r="N22" s="423">
        <f t="shared" si="2"/>
        <v>12968.199999999999</v>
      </c>
      <c r="O22" s="456"/>
      <c r="P22" s="427">
        <f t="shared" si="3"/>
        <v>6484.099999999999</v>
      </c>
      <c r="Q22" s="459"/>
      <c r="R22" s="460">
        <f t="shared" si="4"/>
        <v>19366.16</v>
      </c>
      <c r="S22" s="461"/>
      <c r="T22" s="460">
        <f t="shared" si="5"/>
        <v>9683.08</v>
      </c>
      <c r="U22" s="462"/>
      <c r="V22" s="460">
        <f t="shared" si="6"/>
        <v>19993.920000000002</v>
      </c>
      <c r="W22" s="461"/>
      <c r="X22" s="460">
        <f t="shared" si="7"/>
        <v>9996.960000000001</v>
      </c>
      <c r="Y22" s="459"/>
      <c r="Z22" s="392"/>
      <c r="AA22" s="416"/>
    </row>
    <row r="23" spans="2:27" s="386" customFormat="1" ht="12.75" customHeight="1">
      <c r="B23" s="429" t="s">
        <v>127</v>
      </c>
      <c r="C23" s="430">
        <v>126000</v>
      </c>
      <c r="D23" s="431"/>
      <c r="E23" s="430">
        <v>4200</v>
      </c>
      <c r="F23" s="434"/>
      <c r="G23" s="441">
        <v>122000</v>
      </c>
      <c r="H23" s="434" t="s">
        <v>57</v>
      </c>
      <c r="I23" s="442">
        <v>130000</v>
      </c>
      <c r="J23" s="443">
        <f t="shared" si="0"/>
        <v>11944.8</v>
      </c>
      <c r="K23" s="444"/>
      <c r="L23" s="445">
        <f t="shared" si="1"/>
        <v>5972.4</v>
      </c>
      <c r="M23" s="446"/>
      <c r="N23" s="435">
        <f t="shared" si="2"/>
        <v>13847.4</v>
      </c>
      <c r="O23" s="444"/>
      <c r="P23" s="439">
        <f t="shared" si="3"/>
        <v>6923.7</v>
      </c>
      <c r="Q23" s="447"/>
      <c r="R23" s="463">
        <f t="shared" si="4"/>
        <v>20679.12</v>
      </c>
      <c r="S23" s="464"/>
      <c r="T23" s="463">
        <f t="shared" si="5"/>
        <v>10339.56</v>
      </c>
      <c r="U23" s="465"/>
      <c r="V23" s="463">
        <f t="shared" si="6"/>
        <v>21349.440000000002</v>
      </c>
      <c r="W23" s="464"/>
      <c r="X23" s="463">
        <f t="shared" si="7"/>
        <v>10674.720000000001</v>
      </c>
      <c r="Y23" s="447"/>
      <c r="Z23" s="392"/>
      <c r="AA23" s="416"/>
    </row>
    <row r="24" spans="2:27" s="386" customFormat="1" ht="12.75" customHeight="1">
      <c r="B24" s="417" t="s">
        <v>128</v>
      </c>
      <c r="C24" s="466">
        <v>134000</v>
      </c>
      <c r="D24" s="467"/>
      <c r="E24" s="466">
        <v>4470</v>
      </c>
      <c r="F24" s="468"/>
      <c r="G24" s="469">
        <v>130000</v>
      </c>
      <c r="H24" s="468" t="s">
        <v>57</v>
      </c>
      <c r="I24" s="470">
        <v>138000</v>
      </c>
      <c r="J24" s="471">
        <f t="shared" si="0"/>
        <v>12703.199999999999</v>
      </c>
      <c r="K24" s="472"/>
      <c r="L24" s="473">
        <f t="shared" si="1"/>
        <v>6351.599999999999</v>
      </c>
      <c r="M24" s="474"/>
      <c r="N24" s="423">
        <f t="shared" si="2"/>
        <v>14726.6</v>
      </c>
      <c r="O24" s="472"/>
      <c r="P24" s="427">
        <f t="shared" si="3"/>
        <v>7363.3</v>
      </c>
      <c r="Q24" s="475"/>
      <c r="R24" s="460">
        <f t="shared" si="4"/>
        <v>21992.079999999998</v>
      </c>
      <c r="S24" s="461"/>
      <c r="T24" s="460">
        <f t="shared" si="5"/>
        <v>10996.039999999999</v>
      </c>
      <c r="U24" s="462"/>
      <c r="V24" s="460">
        <f t="shared" si="6"/>
        <v>22704.960000000003</v>
      </c>
      <c r="W24" s="461"/>
      <c r="X24" s="460">
        <f t="shared" si="7"/>
        <v>11352.480000000001</v>
      </c>
      <c r="Y24" s="459"/>
      <c r="Z24" s="392"/>
      <c r="AA24" s="416"/>
    </row>
    <row r="25" spans="2:27" s="386" customFormat="1" ht="12.75" customHeight="1">
      <c r="B25" s="429" t="s">
        <v>129</v>
      </c>
      <c r="C25" s="476">
        <v>142000</v>
      </c>
      <c r="D25" s="477"/>
      <c r="E25" s="476">
        <v>4730</v>
      </c>
      <c r="F25" s="478"/>
      <c r="G25" s="479">
        <v>138000</v>
      </c>
      <c r="H25" s="478" t="s">
        <v>57</v>
      </c>
      <c r="I25" s="480">
        <v>146000</v>
      </c>
      <c r="J25" s="481">
        <f t="shared" si="0"/>
        <v>13461.599999999999</v>
      </c>
      <c r="K25" s="482"/>
      <c r="L25" s="483">
        <f t="shared" si="1"/>
        <v>6730.799999999999</v>
      </c>
      <c r="M25" s="484"/>
      <c r="N25" s="435">
        <f t="shared" si="2"/>
        <v>15605.8</v>
      </c>
      <c r="O25" s="482"/>
      <c r="P25" s="439">
        <f t="shared" si="3"/>
        <v>7802.9</v>
      </c>
      <c r="Q25" s="485"/>
      <c r="R25" s="463">
        <f t="shared" si="4"/>
        <v>23305.039999999997</v>
      </c>
      <c r="S25" s="464"/>
      <c r="T25" s="463">
        <f t="shared" si="5"/>
        <v>11652.519999999999</v>
      </c>
      <c r="U25" s="465"/>
      <c r="V25" s="463">
        <f t="shared" si="6"/>
        <v>24060.48</v>
      </c>
      <c r="W25" s="464"/>
      <c r="X25" s="463">
        <f t="shared" si="7"/>
        <v>12030.24</v>
      </c>
      <c r="Y25" s="447"/>
      <c r="Z25" s="392"/>
      <c r="AA25" s="416"/>
    </row>
    <row r="26" spans="2:27" s="386" customFormat="1" ht="12.75" customHeight="1">
      <c r="B26" s="417" t="s">
        <v>130</v>
      </c>
      <c r="C26" s="466">
        <v>150000</v>
      </c>
      <c r="D26" s="486"/>
      <c r="E26" s="466">
        <v>5000</v>
      </c>
      <c r="F26" s="487"/>
      <c r="G26" s="488">
        <v>146000</v>
      </c>
      <c r="H26" s="487" t="s">
        <v>57</v>
      </c>
      <c r="I26" s="470">
        <v>155000</v>
      </c>
      <c r="J26" s="471">
        <f t="shared" si="0"/>
        <v>14220</v>
      </c>
      <c r="K26" s="472"/>
      <c r="L26" s="473">
        <f t="shared" si="1"/>
        <v>7110</v>
      </c>
      <c r="M26" s="474"/>
      <c r="N26" s="423">
        <f t="shared" si="2"/>
        <v>16485</v>
      </c>
      <c r="O26" s="472"/>
      <c r="P26" s="427">
        <f t="shared" si="3"/>
        <v>8242.5</v>
      </c>
      <c r="Q26" s="475"/>
      <c r="R26" s="460">
        <f t="shared" si="4"/>
        <v>24618</v>
      </c>
      <c r="S26" s="461"/>
      <c r="T26" s="460">
        <f t="shared" si="5"/>
        <v>12309</v>
      </c>
      <c r="U26" s="462"/>
      <c r="V26" s="460">
        <f t="shared" si="6"/>
        <v>25416</v>
      </c>
      <c r="W26" s="461"/>
      <c r="X26" s="460">
        <f t="shared" si="7"/>
        <v>12708</v>
      </c>
      <c r="Y26" s="459"/>
      <c r="Z26" s="392"/>
      <c r="AA26" s="416"/>
    </row>
    <row r="27" spans="2:27" s="386" customFormat="1" ht="12.75" customHeight="1">
      <c r="B27" s="429" t="s">
        <v>131</v>
      </c>
      <c r="C27" s="476">
        <v>160000</v>
      </c>
      <c r="D27" s="477"/>
      <c r="E27" s="476">
        <v>5330</v>
      </c>
      <c r="F27" s="478"/>
      <c r="G27" s="479">
        <v>155000</v>
      </c>
      <c r="H27" s="478" t="s">
        <v>57</v>
      </c>
      <c r="I27" s="480">
        <v>165000</v>
      </c>
      <c r="J27" s="481">
        <f t="shared" si="0"/>
        <v>15168</v>
      </c>
      <c r="K27" s="482"/>
      <c r="L27" s="483">
        <f t="shared" si="1"/>
        <v>7584</v>
      </c>
      <c r="M27" s="484"/>
      <c r="N27" s="435">
        <f t="shared" si="2"/>
        <v>17584</v>
      </c>
      <c r="O27" s="482"/>
      <c r="P27" s="439">
        <f t="shared" si="3"/>
        <v>8792</v>
      </c>
      <c r="Q27" s="485"/>
      <c r="R27" s="463">
        <f t="shared" si="4"/>
        <v>26259.199999999997</v>
      </c>
      <c r="S27" s="464"/>
      <c r="T27" s="463">
        <f t="shared" si="5"/>
        <v>13129.599999999999</v>
      </c>
      <c r="U27" s="465"/>
      <c r="V27" s="463">
        <f t="shared" si="6"/>
        <v>27110.4</v>
      </c>
      <c r="W27" s="464"/>
      <c r="X27" s="463">
        <f t="shared" si="7"/>
        <v>13555.2</v>
      </c>
      <c r="Y27" s="447"/>
      <c r="Z27" s="392"/>
      <c r="AA27" s="416"/>
    </row>
    <row r="28" spans="2:27" s="386" customFormat="1" ht="12.75" customHeight="1">
      <c r="B28" s="417" t="s">
        <v>132</v>
      </c>
      <c r="C28" s="466">
        <v>170000</v>
      </c>
      <c r="D28" s="486"/>
      <c r="E28" s="466">
        <v>5670</v>
      </c>
      <c r="F28" s="487"/>
      <c r="G28" s="488">
        <v>165000</v>
      </c>
      <c r="H28" s="487" t="s">
        <v>57</v>
      </c>
      <c r="I28" s="470">
        <v>175000</v>
      </c>
      <c r="J28" s="471">
        <f t="shared" si="0"/>
        <v>16116</v>
      </c>
      <c r="K28" s="472"/>
      <c r="L28" s="473">
        <f t="shared" si="1"/>
        <v>8058</v>
      </c>
      <c r="M28" s="474"/>
      <c r="N28" s="423">
        <f t="shared" si="2"/>
        <v>18683</v>
      </c>
      <c r="O28" s="472"/>
      <c r="P28" s="427">
        <f t="shared" si="3"/>
        <v>9341.5</v>
      </c>
      <c r="Q28" s="475"/>
      <c r="R28" s="460">
        <f t="shared" si="4"/>
        <v>27900.399999999998</v>
      </c>
      <c r="S28" s="461"/>
      <c r="T28" s="460">
        <f t="shared" si="5"/>
        <v>13950.199999999999</v>
      </c>
      <c r="U28" s="462"/>
      <c r="V28" s="460">
        <f t="shared" si="6"/>
        <v>28804.800000000003</v>
      </c>
      <c r="W28" s="461"/>
      <c r="X28" s="460">
        <f t="shared" si="7"/>
        <v>14402.400000000001</v>
      </c>
      <c r="Y28" s="459"/>
      <c r="Z28" s="392"/>
      <c r="AA28" s="416"/>
    </row>
    <row r="29" spans="2:27" s="386" customFormat="1" ht="12.75" customHeight="1">
      <c r="B29" s="429" t="s">
        <v>133</v>
      </c>
      <c r="C29" s="476">
        <v>180000</v>
      </c>
      <c r="D29" s="477"/>
      <c r="E29" s="476">
        <v>6000</v>
      </c>
      <c r="F29" s="478"/>
      <c r="G29" s="479">
        <v>175000</v>
      </c>
      <c r="H29" s="478" t="s">
        <v>57</v>
      </c>
      <c r="I29" s="480">
        <v>185000</v>
      </c>
      <c r="J29" s="481">
        <f t="shared" si="0"/>
        <v>17064</v>
      </c>
      <c r="K29" s="482"/>
      <c r="L29" s="483">
        <f t="shared" si="1"/>
        <v>8532</v>
      </c>
      <c r="M29" s="484"/>
      <c r="N29" s="435">
        <f t="shared" si="2"/>
        <v>19782</v>
      </c>
      <c r="O29" s="482"/>
      <c r="P29" s="439">
        <f t="shared" si="3"/>
        <v>9891</v>
      </c>
      <c r="Q29" s="485"/>
      <c r="R29" s="463">
        <f t="shared" si="4"/>
        <v>29541.6</v>
      </c>
      <c r="S29" s="464"/>
      <c r="T29" s="463">
        <f t="shared" si="5"/>
        <v>14770.8</v>
      </c>
      <c r="U29" s="465"/>
      <c r="V29" s="463">
        <f t="shared" si="6"/>
        <v>30499.2</v>
      </c>
      <c r="W29" s="464"/>
      <c r="X29" s="463">
        <f t="shared" si="7"/>
        <v>15249.6</v>
      </c>
      <c r="Y29" s="447"/>
      <c r="Z29" s="392"/>
      <c r="AA29" s="416"/>
    </row>
    <row r="30" spans="2:27" s="386" customFormat="1" ht="12.75" customHeight="1">
      <c r="B30" s="417" t="s">
        <v>134</v>
      </c>
      <c r="C30" s="466">
        <v>190000</v>
      </c>
      <c r="D30" s="486"/>
      <c r="E30" s="466">
        <v>6330</v>
      </c>
      <c r="F30" s="487"/>
      <c r="G30" s="488">
        <v>185000</v>
      </c>
      <c r="H30" s="487" t="s">
        <v>57</v>
      </c>
      <c r="I30" s="470">
        <v>195000</v>
      </c>
      <c r="J30" s="471">
        <f t="shared" si="0"/>
        <v>18012</v>
      </c>
      <c r="K30" s="472"/>
      <c r="L30" s="473">
        <f t="shared" si="1"/>
        <v>9006</v>
      </c>
      <c r="M30" s="474"/>
      <c r="N30" s="423">
        <f t="shared" si="2"/>
        <v>20881</v>
      </c>
      <c r="O30" s="472"/>
      <c r="P30" s="427">
        <f t="shared" si="3"/>
        <v>10440.5</v>
      </c>
      <c r="Q30" s="475"/>
      <c r="R30" s="460">
        <f t="shared" si="4"/>
        <v>31182.8</v>
      </c>
      <c r="S30" s="461"/>
      <c r="T30" s="460">
        <f t="shared" si="5"/>
        <v>15591.4</v>
      </c>
      <c r="U30" s="462"/>
      <c r="V30" s="460">
        <f t="shared" si="6"/>
        <v>32193.600000000002</v>
      </c>
      <c r="W30" s="461"/>
      <c r="X30" s="460">
        <f t="shared" si="7"/>
        <v>16096.800000000001</v>
      </c>
      <c r="Y30" s="459"/>
      <c r="Z30" s="392"/>
      <c r="AA30" s="416"/>
    </row>
    <row r="31" spans="2:27" s="386" customFormat="1" ht="12.75" customHeight="1">
      <c r="B31" s="429" t="s">
        <v>135</v>
      </c>
      <c r="C31" s="476">
        <v>200000</v>
      </c>
      <c r="D31" s="477"/>
      <c r="E31" s="476">
        <v>6670</v>
      </c>
      <c r="F31" s="478"/>
      <c r="G31" s="479">
        <v>195000</v>
      </c>
      <c r="H31" s="478" t="s">
        <v>57</v>
      </c>
      <c r="I31" s="480">
        <v>210000</v>
      </c>
      <c r="J31" s="481">
        <f t="shared" si="0"/>
        <v>18960</v>
      </c>
      <c r="K31" s="489"/>
      <c r="L31" s="490">
        <f t="shared" si="1"/>
        <v>9480</v>
      </c>
      <c r="M31" s="484"/>
      <c r="N31" s="435">
        <f t="shared" si="2"/>
        <v>21980</v>
      </c>
      <c r="O31" s="482"/>
      <c r="P31" s="439">
        <f t="shared" si="3"/>
        <v>10990</v>
      </c>
      <c r="Q31" s="485"/>
      <c r="R31" s="463">
        <f t="shared" si="4"/>
        <v>32824</v>
      </c>
      <c r="S31" s="464"/>
      <c r="T31" s="463">
        <f t="shared" si="5"/>
        <v>16412</v>
      </c>
      <c r="U31" s="465"/>
      <c r="V31" s="463">
        <f t="shared" si="6"/>
        <v>33888</v>
      </c>
      <c r="W31" s="464"/>
      <c r="X31" s="463">
        <f t="shared" si="7"/>
        <v>16944</v>
      </c>
      <c r="Y31" s="447"/>
      <c r="Z31" s="392"/>
      <c r="AA31" s="416"/>
    </row>
    <row r="32" spans="2:27" s="386" customFormat="1" ht="12.75" customHeight="1">
      <c r="B32" s="417" t="s">
        <v>136</v>
      </c>
      <c r="C32" s="466">
        <v>220000</v>
      </c>
      <c r="D32" s="486"/>
      <c r="E32" s="466">
        <v>7330</v>
      </c>
      <c r="F32" s="487"/>
      <c r="G32" s="488">
        <v>210000</v>
      </c>
      <c r="H32" s="487" t="s">
        <v>57</v>
      </c>
      <c r="I32" s="470">
        <v>230000</v>
      </c>
      <c r="J32" s="471">
        <f t="shared" si="0"/>
        <v>20856</v>
      </c>
      <c r="K32" s="491"/>
      <c r="L32" s="492">
        <f t="shared" si="1"/>
        <v>10428</v>
      </c>
      <c r="M32" s="474"/>
      <c r="N32" s="423">
        <f t="shared" si="2"/>
        <v>24178</v>
      </c>
      <c r="O32" s="472"/>
      <c r="P32" s="427">
        <f t="shared" si="3"/>
        <v>12089</v>
      </c>
      <c r="Q32" s="475"/>
      <c r="R32" s="460">
        <f t="shared" si="4"/>
        <v>36106.399999999994</v>
      </c>
      <c r="S32" s="461"/>
      <c r="T32" s="460">
        <f t="shared" si="5"/>
        <v>18053.199999999997</v>
      </c>
      <c r="U32" s="462"/>
      <c r="V32" s="460">
        <f t="shared" si="6"/>
        <v>37276.8</v>
      </c>
      <c r="W32" s="461"/>
      <c r="X32" s="460">
        <f t="shared" si="7"/>
        <v>18638.4</v>
      </c>
      <c r="Y32" s="459"/>
      <c r="Z32" s="392"/>
      <c r="AA32" s="416"/>
    </row>
    <row r="33" spans="2:27" s="386" customFormat="1" ht="12.75" customHeight="1">
      <c r="B33" s="429" t="s">
        <v>137</v>
      </c>
      <c r="C33" s="476">
        <v>240000</v>
      </c>
      <c r="D33" s="477"/>
      <c r="E33" s="476">
        <v>8000</v>
      </c>
      <c r="F33" s="478"/>
      <c r="G33" s="479">
        <v>230000</v>
      </c>
      <c r="H33" s="478" t="s">
        <v>57</v>
      </c>
      <c r="I33" s="480">
        <v>250000</v>
      </c>
      <c r="J33" s="481">
        <f t="shared" si="0"/>
        <v>22752</v>
      </c>
      <c r="K33" s="489"/>
      <c r="L33" s="490">
        <f t="shared" si="1"/>
        <v>11376</v>
      </c>
      <c r="M33" s="484"/>
      <c r="N33" s="435">
        <f t="shared" si="2"/>
        <v>26376</v>
      </c>
      <c r="O33" s="482"/>
      <c r="P33" s="439">
        <f t="shared" si="3"/>
        <v>13188</v>
      </c>
      <c r="Q33" s="485"/>
      <c r="R33" s="463">
        <f t="shared" si="4"/>
        <v>39388.799999999996</v>
      </c>
      <c r="S33" s="464"/>
      <c r="T33" s="463">
        <f t="shared" si="5"/>
        <v>19694.399999999998</v>
      </c>
      <c r="U33" s="465"/>
      <c r="V33" s="463">
        <f t="shared" si="6"/>
        <v>40665.6</v>
      </c>
      <c r="W33" s="464"/>
      <c r="X33" s="463">
        <f t="shared" si="7"/>
        <v>20332.8</v>
      </c>
      <c r="Y33" s="447"/>
      <c r="Z33" s="392"/>
      <c r="AA33" s="416"/>
    </row>
    <row r="34" spans="2:27" s="386" customFormat="1" ht="12.75" customHeight="1">
      <c r="B34" s="417" t="s">
        <v>138</v>
      </c>
      <c r="C34" s="466">
        <v>260000</v>
      </c>
      <c r="D34" s="486"/>
      <c r="E34" s="466">
        <v>8670</v>
      </c>
      <c r="F34" s="487"/>
      <c r="G34" s="488">
        <v>250000</v>
      </c>
      <c r="H34" s="487" t="s">
        <v>57</v>
      </c>
      <c r="I34" s="470">
        <v>270000</v>
      </c>
      <c r="J34" s="471">
        <f t="shared" si="0"/>
        <v>24648</v>
      </c>
      <c r="K34" s="491"/>
      <c r="L34" s="492">
        <f t="shared" si="1"/>
        <v>12324</v>
      </c>
      <c r="M34" s="474"/>
      <c r="N34" s="423">
        <f t="shared" si="2"/>
        <v>28574</v>
      </c>
      <c r="O34" s="472"/>
      <c r="P34" s="427">
        <f t="shared" si="3"/>
        <v>14287</v>
      </c>
      <c r="Q34" s="475"/>
      <c r="R34" s="460">
        <f t="shared" si="4"/>
        <v>42671.2</v>
      </c>
      <c r="S34" s="461"/>
      <c r="T34" s="460">
        <f t="shared" si="5"/>
        <v>21335.6</v>
      </c>
      <c r="U34" s="462"/>
      <c r="V34" s="460">
        <f t="shared" si="6"/>
        <v>44054.4</v>
      </c>
      <c r="W34" s="461"/>
      <c r="X34" s="460">
        <f t="shared" si="7"/>
        <v>22027.2</v>
      </c>
      <c r="Y34" s="459"/>
      <c r="Z34" s="392"/>
      <c r="AA34" s="416"/>
    </row>
    <row r="35" spans="2:27" s="386" customFormat="1" ht="12.75" customHeight="1">
      <c r="B35" s="429" t="s">
        <v>139</v>
      </c>
      <c r="C35" s="476">
        <v>280000</v>
      </c>
      <c r="D35" s="493"/>
      <c r="E35" s="476">
        <v>9330</v>
      </c>
      <c r="F35" s="494"/>
      <c r="G35" s="479">
        <v>270000</v>
      </c>
      <c r="H35" s="494" t="s">
        <v>57</v>
      </c>
      <c r="I35" s="480">
        <v>290000</v>
      </c>
      <c r="J35" s="481">
        <f t="shared" si="0"/>
        <v>26544</v>
      </c>
      <c r="K35" s="489"/>
      <c r="L35" s="490">
        <f t="shared" si="1"/>
        <v>13272</v>
      </c>
      <c r="M35" s="484"/>
      <c r="N35" s="435">
        <f t="shared" si="2"/>
        <v>30772</v>
      </c>
      <c r="O35" s="482"/>
      <c r="P35" s="439">
        <f t="shared" si="3"/>
        <v>15386</v>
      </c>
      <c r="Q35" s="485"/>
      <c r="R35" s="463">
        <f t="shared" si="4"/>
        <v>45953.6</v>
      </c>
      <c r="S35" s="464"/>
      <c r="T35" s="463">
        <f t="shared" si="5"/>
        <v>22976.8</v>
      </c>
      <c r="U35" s="465"/>
      <c r="V35" s="463">
        <f t="shared" si="6"/>
        <v>47443.200000000004</v>
      </c>
      <c r="W35" s="464"/>
      <c r="X35" s="463">
        <f t="shared" si="7"/>
        <v>23721.600000000002</v>
      </c>
      <c r="Y35" s="447"/>
      <c r="Z35" s="392"/>
      <c r="AA35" s="416"/>
    </row>
    <row r="36" spans="2:27" s="386" customFormat="1" ht="12.75" customHeight="1">
      <c r="B36" s="417" t="s">
        <v>140</v>
      </c>
      <c r="C36" s="466">
        <v>300000</v>
      </c>
      <c r="D36" s="486"/>
      <c r="E36" s="466">
        <v>10000</v>
      </c>
      <c r="F36" s="487"/>
      <c r="G36" s="488">
        <v>290000</v>
      </c>
      <c r="H36" s="487" t="s">
        <v>57</v>
      </c>
      <c r="I36" s="470">
        <v>310000</v>
      </c>
      <c r="J36" s="471">
        <f t="shared" si="0"/>
        <v>28440</v>
      </c>
      <c r="K36" s="491"/>
      <c r="L36" s="492">
        <f t="shared" si="1"/>
        <v>14220</v>
      </c>
      <c r="M36" s="474"/>
      <c r="N36" s="423">
        <f t="shared" si="2"/>
        <v>32970</v>
      </c>
      <c r="O36" s="472"/>
      <c r="P36" s="427">
        <f t="shared" si="3"/>
        <v>16485</v>
      </c>
      <c r="Q36" s="475"/>
      <c r="R36" s="460">
        <f t="shared" si="4"/>
        <v>49236</v>
      </c>
      <c r="S36" s="461"/>
      <c r="T36" s="460">
        <f t="shared" si="5"/>
        <v>24618</v>
      </c>
      <c r="U36" s="462"/>
      <c r="V36" s="460">
        <f t="shared" si="6"/>
        <v>50832</v>
      </c>
      <c r="W36" s="461"/>
      <c r="X36" s="460">
        <f t="shared" si="7"/>
        <v>25416</v>
      </c>
      <c r="Y36" s="459"/>
      <c r="Z36" s="392"/>
      <c r="AA36" s="416"/>
    </row>
    <row r="37" spans="2:27" s="386" customFormat="1" ht="12.75" customHeight="1">
      <c r="B37" s="429" t="s">
        <v>141</v>
      </c>
      <c r="C37" s="476">
        <v>320000</v>
      </c>
      <c r="D37" s="477"/>
      <c r="E37" s="476">
        <v>10670</v>
      </c>
      <c r="F37" s="478"/>
      <c r="G37" s="479">
        <v>310000</v>
      </c>
      <c r="H37" s="478" t="s">
        <v>57</v>
      </c>
      <c r="I37" s="480">
        <v>330000</v>
      </c>
      <c r="J37" s="481">
        <f t="shared" si="0"/>
        <v>30336</v>
      </c>
      <c r="K37" s="489"/>
      <c r="L37" s="490">
        <f t="shared" si="1"/>
        <v>15168</v>
      </c>
      <c r="M37" s="484"/>
      <c r="N37" s="435">
        <f t="shared" si="2"/>
        <v>35168</v>
      </c>
      <c r="O37" s="482"/>
      <c r="P37" s="439">
        <f t="shared" si="3"/>
        <v>17584</v>
      </c>
      <c r="Q37" s="485"/>
      <c r="R37" s="463">
        <f t="shared" si="4"/>
        <v>52518.399999999994</v>
      </c>
      <c r="S37" s="464"/>
      <c r="T37" s="463">
        <f t="shared" si="5"/>
        <v>26259.199999999997</v>
      </c>
      <c r="U37" s="465"/>
      <c r="V37" s="463">
        <f t="shared" si="6"/>
        <v>54220.8</v>
      </c>
      <c r="W37" s="464"/>
      <c r="X37" s="463">
        <f t="shared" si="7"/>
        <v>27110.4</v>
      </c>
      <c r="Y37" s="447"/>
      <c r="Z37" s="392"/>
      <c r="AA37" s="416"/>
    </row>
    <row r="38" spans="2:27" s="386" customFormat="1" ht="12.75" customHeight="1">
      <c r="B38" s="417" t="s">
        <v>142</v>
      </c>
      <c r="C38" s="466">
        <v>340000</v>
      </c>
      <c r="D38" s="486"/>
      <c r="E38" s="466">
        <v>11330</v>
      </c>
      <c r="F38" s="487"/>
      <c r="G38" s="488">
        <v>330000</v>
      </c>
      <c r="H38" s="487" t="s">
        <v>57</v>
      </c>
      <c r="I38" s="470">
        <v>350000</v>
      </c>
      <c r="J38" s="471">
        <f t="shared" si="0"/>
        <v>32232</v>
      </c>
      <c r="K38" s="491"/>
      <c r="L38" s="492">
        <f t="shared" si="1"/>
        <v>16116</v>
      </c>
      <c r="M38" s="474"/>
      <c r="N38" s="423">
        <f t="shared" si="2"/>
        <v>37366</v>
      </c>
      <c r="O38" s="472"/>
      <c r="P38" s="427">
        <f t="shared" si="3"/>
        <v>18683</v>
      </c>
      <c r="Q38" s="475"/>
      <c r="R38" s="460">
        <f t="shared" si="4"/>
        <v>55800.799999999996</v>
      </c>
      <c r="S38" s="461"/>
      <c r="T38" s="460">
        <f t="shared" si="5"/>
        <v>27900.399999999998</v>
      </c>
      <c r="U38" s="462"/>
      <c r="V38" s="460">
        <f t="shared" si="6"/>
        <v>57609.600000000006</v>
      </c>
      <c r="W38" s="461"/>
      <c r="X38" s="460">
        <f t="shared" si="7"/>
        <v>28804.800000000003</v>
      </c>
      <c r="Y38" s="459"/>
      <c r="Z38" s="392"/>
      <c r="AA38" s="416"/>
    </row>
    <row r="39" spans="2:27" s="386" customFormat="1" ht="12.75" customHeight="1">
      <c r="B39" s="429" t="s">
        <v>143</v>
      </c>
      <c r="C39" s="476">
        <v>360000</v>
      </c>
      <c r="D39" s="477"/>
      <c r="E39" s="476">
        <v>12000</v>
      </c>
      <c r="F39" s="478"/>
      <c r="G39" s="479">
        <v>350000</v>
      </c>
      <c r="H39" s="478" t="s">
        <v>57</v>
      </c>
      <c r="I39" s="480">
        <v>370000</v>
      </c>
      <c r="J39" s="481">
        <f t="shared" si="0"/>
        <v>34128</v>
      </c>
      <c r="K39" s="489"/>
      <c r="L39" s="490">
        <f t="shared" si="1"/>
        <v>17064</v>
      </c>
      <c r="M39" s="484"/>
      <c r="N39" s="435">
        <f t="shared" si="2"/>
        <v>39564</v>
      </c>
      <c r="O39" s="482"/>
      <c r="P39" s="439">
        <f t="shared" si="3"/>
        <v>19782</v>
      </c>
      <c r="Q39" s="485"/>
      <c r="R39" s="463">
        <f t="shared" si="4"/>
        <v>59083.2</v>
      </c>
      <c r="S39" s="464"/>
      <c r="T39" s="463">
        <f t="shared" si="5"/>
        <v>29541.6</v>
      </c>
      <c r="U39" s="465"/>
      <c r="V39" s="463">
        <f t="shared" si="6"/>
        <v>60998.4</v>
      </c>
      <c r="W39" s="464"/>
      <c r="X39" s="463">
        <f t="shared" si="7"/>
        <v>30499.2</v>
      </c>
      <c r="Y39" s="447"/>
      <c r="Z39" s="392"/>
      <c r="AA39" s="416"/>
    </row>
    <row r="40" spans="2:27" s="386" customFormat="1" ht="12.75" customHeight="1">
      <c r="B40" s="417" t="s">
        <v>144</v>
      </c>
      <c r="C40" s="466">
        <v>380000</v>
      </c>
      <c r="D40" s="486"/>
      <c r="E40" s="466">
        <v>12670</v>
      </c>
      <c r="F40" s="487"/>
      <c r="G40" s="488">
        <v>370000</v>
      </c>
      <c r="H40" s="487" t="s">
        <v>57</v>
      </c>
      <c r="I40" s="470">
        <v>395000</v>
      </c>
      <c r="J40" s="471">
        <f t="shared" si="0"/>
        <v>36024</v>
      </c>
      <c r="K40" s="491"/>
      <c r="L40" s="492">
        <f t="shared" si="1"/>
        <v>18012</v>
      </c>
      <c r="M40" s="474"/>
      <c r="N40" s="423">
        <f t="shared" si="2"/>
        <v>41762</v>
      </c>
      <c r="O40" s="472"/>
      <c r="P40" s="427">
        <f t="shared" si="3"/>
        <v>20881</v>
      </c>
      <c r="Q40" s="475"/>
      <c r="R40" s="460">
        <f t="shared" si="4"/>
        <v>62365.6</v>
      </c>
      <c r="S40" s="461"/>
      <c r="T40" s="460">
        <f t="shared" si="5"/>
        <v>31182.8</v>
      </c>
      <c r="U40" s="462"/>
      <c r="V40" s="460">
        <f t="shared" si="6"/>
        <v>64387.200000000004</v>
      </c>
      <c r="W40" s="461"/>
      <c r="X40" s="460">
        <f t="shared" si="7"/>
        <v>32193.600000000002</v>
      </c>
      <c r="Y40" s="459"/>
      <c r="Z40" s="392"/>
      <c r="AA40" s="416"/>
    </row>
    <row r="41" spans="2:27" s="386" customFormat="1" ht="12.75" customHeight="1">
      <c r="B41" s="429" t="s">
        <v>145</v>
      </c>
      <c r="C41" s="476">
        <v>410000</v>
      </c>
      <c r="D41" s="477"/>
      <c r="E41" s="476">
        <v>13670</v>
      </c>
      <c r="F41" s="478"/>
      <c r="G41" s="479">
        <v>395000</v>
      </c>
      <c r="H41" s="478" t="s">
        <v>57</v>
      </c>
      <c r="I41" s="480">
        <v>425000</v>
      </c>
      <c r="J41" s="481">
        <f t="shared" si="0"/>
        <v>38868</v>
      </c>
      <c r="K41" s="489"/>
      <c r="L41" s="490">
        <f t="shared" si="1"/>
        <v>19434</v>
      </c>
      <c r="M41" s="484"/>
      <c r="N41" s="435">
        <f t="shared" si="2"/>
        <v>45059</v>
      </c>
      <c r="O41" s="482"/>
      <c r="P41" s="439">
        <f t="shared" si="3"/>
        <v>22529.5</v>
      </c>
      <c r="Q41" s="485"/>
      <c r="R41" s="463">
        <f t="shared" si="4"/>
        <v>67289.2</v>
      </c>
      <c r="S41" s="464"/>
      <c r="T41" s="463">
        <f t="shared" si="5"/>
        <v>33644.6</v>
      </c>
      <c r="U41" s="465"/>
      <c r="V41" s="463">
        <f t="shared" si="6"/>
        <v>69470.40000000001</v>
      </c>
      <c r="W41" s="464"/>
      <c r="X41" s="463">
        <f t="shared" si="7"/>
        <v>34735.200000000004</v>
      </c>
      <c r="Y41" s="447"/>
      <c r="Z41" s="392"/>
      <c r="AA41" s="416"/>
    </row>
    <row r="42" spans="2:27" s="386" customFormat="1" ht="12.75" customHeight="1">
      <c r="B42" s="417" t="s">
        <v>146</v>
      </c>
      <c r="C42" s="466">
        <v>440000</v>
      </c>
      <c r="D42" s="486"/>
      <c r="E42" s="466">
        <v>14670</v>
      </c>
      <c r="F42" s="487"/>
      <c r="G42" s="488">
        <v>425000</v>
      </c>
      <c r="H42" s="487" t="s">
        <v>57</v>
      </c>
      <c r="I42" s="470">
        <v>455000</v>
      </c>
      <c r="J42" s="471">
        <f t="shared" si="0"/>
        <v>41712</v>
      </c>
      <c r="K42" s="491"/>
      <c r="L42" s="492">
        <f t="shared" si="1"/>
        <v>20856</v>
      </c>
      <c r="M42" s="474"/>
      <c r="N42" s="423">
        <f t="shared" si="2"/>
        <v>48356</v>
      </c>
      <c r="O42" s="472"/>
      <c r="P42" s="427">
        <f t="shared" si="3"/>
        <v>24178</v>
      </c>
      <c r="Q42" s="475"/>
      <c r="R42" s="460">
        <f t="shared" si="4"/>
        <v>72212.79999999999</v>
      </c>
      <c r="S42" s="461"/>
      <c r="T42" s="460">
        <f t="shared" si="5"/>
        <v>36106.399999999994</v>
      </c>
      <c r="U42" s="462"/>
      <c r="V42" s="460">
        <f t="shared" si="6"/>
        <v>74553.6</v>
      </c>
      <c r="W42" s="461"/>
      <c r="X42" s="460">
        <f t="shared" si="7"/>
        <v>37276.8</v>
      </c>
      <c r="Y42" s="459"/>
      <c r="Z42" s="392"/>
      <c r="AA42" s="416"/>
    </row>
    <row r="43" spans="2:27" s="386" customFormat="1" ht="12.75" customHeight="1">
      <c r="B43" s="429" t="s">
        <v>147</v>
      </c>
      <c r="C43" s="476">
        <v>470000</v>
      </c>
      <c r="D43" s="477"/>
      <c r="E43" s="476">
        <v>15670</v>
      </c>
      <c r="F43" s="478"/>
      <c r="G43" s="479">
        <v>455000</v>
      </c>
      <c r="H43" s="478" t="s">
        <v>57</v>
      </c>
      <c r="I43" s="480">
        <v>485000</v>
      </c>
      <c r="J43" s="481">
        <f t="shared" si="0"/>
        <v>44556</v>
      </c>
      <c r="K43" s="489"/>
      <c r="L43" s="490">
        <f t="shared" si="1"/>
        <v>22278</v>
      </c>
      <c r="M43" s="484"/>
      <c r="N43" s="435">
        <f t="shared" si="2"/>
        <v>51653</v>
      </c>
      <c r="O43" s="482"/>
      <c r="P43" s="439">
        <f t="shared" si="3"/>
        <v>25826.5</v>
      </c>
      <c r="Q43" s="485"/>
      <c r="R43" s="463">
        <f t="shared" si="4"/>
        <v>77136.4</v>
      </c>
      <c r="S43" s="464"/>
      <c r="T43" s="463">
        <f t="shared" si="5"/>
        <v>38568.2</v>
      </c>
      <c r="U43" s="465"/>
      <c r="V43" s="463">
        <f t="shared" si="6"/>
        <v>79636.8</v>
      </c>
      <c r="W43" s="464"/>
      <c r="X43" s="463">
        <f t="shared" si="7"/>
        <v>39818.4</v>
      </c>
      <c r="Y43" s="447"/>
      <c r="Z43" s="392"/>
      <c r="AA43" s="416"/>
    </row>
    <row r="44" spans="2:27" s="386" customFormat="1" ht="12.75" customHeight="1">
      <c r="B44" s="417" t="s">
        <v>148</v>
      </c>
      <c r="C44" s="466">
        <v>500000</v>
      </c>
      <c r="D44" s="486"/>
      <c r="E44" s="466">
        <v>16670</v>
      </c>
      <c r="F44" s="487"/>
      <c r="G44" s="488">
        <v>485000</v>
      </c>
      <c r="H44" s="487" t="s">
        <v>57</v>
      </c>
      <c r="I44" s="470">
        <v>515000</v>
      </c>
      <c r="J44" s="471">
        <f t="shared" si="0"/>
        <v>47400</v>
      </c>
      <c r="K44" s="491"/>
      <c r="L44" s="492">
        <f t="shared" si="1"/>
        <v>23700</v>
      </c>
      <c r="M44" s="474"/>
      <c r="N44" s="423">
        <f t="shared" si="2"/>
        <v>54950</v>
      </c>
      <c r="O44" s="472"/>
      <c r="P44" s="427">
        <f t="shared" si="3"/>
        <v>27475</v>
      </c>
      <c r="Q44" s="495"/>
      <c r="R44" s="460">
        <f t="shared" si="4"/>
        <v>82060</v>
      </c>
      <c r="S44" s="461"/>
      <c r="T44" s="460">
        <f t="shared" si="5"/>
        <v>41030</v>
      </c>
      <c r="U44" s="462"/>
      <c r="V44" s="460">
        <f t="shared" si="6"/>
        <v>84720</v>
      </c>
      <c r="W44" s="461"/>
      <c r="X44" s="460">
        <f t="shared" si="7"/>
        <v>42360</v>
      </c>
      <c r="Y44" s="459"/>
      <c r="Z44" s="392"/>
      <c r="AA44" s="416"/>
    </row>
    <row r="45" spans="2:27" s="386" customFormat="1" ht="12.75" customHeight="1">
      <c r="B45" s="429" t="s">
        <v>149</v>
      </c>
      <c r="C45" s="476">
        <v>530000</v>
      </c>
      <c r="D45" s="477"/>
      <c r="E45" s="476">
        <v>17670</v>
      </c>
      <c r="F45" s="478"/>
      <c r="G45" s="479">
        <v>515000</v>
      </c>
      <c r="H45" s="478" t="s">
        <v>57</v>
      </c>
      <c r="I45" s="480">
        <v>545000</v>
      </c>
      <c r="J45" s="481">
        <f t="shared" si="0"/>
        <v>50244</v>
      </c>
      <c r="K45" s="489"/>
      <c r="L45" s="490">
        <f t="shared" si="1"/>
        <v>25122</v>
      </c>
      <c r="M45" s="484"/>
      <c r="N45" s="435">
        <f t="shared" si="2"/>
        <v>58247</v>
      </c>
      <c r="O45" s="482"/>
      <c r="P45" s="439">
        <f t="shared" si="3"/>
        <v>29123.5</v>
      </c>
      <c r="Q45" s="496"/>
      <c r="R45" s="463">
        <f t="shared" si="4"/>
        <v>86983.59999999999</v>
      </c>
      <c r="S45" s="464"/>
      <c r="T45" s="463">
        <f t="shared" si="5"/>
        <v>43491.799999999996</v>
      </c>
      <c r="U45" s="465"/>
      <c r="V45" s="463">
        <f t="shared" si="6"/>
        <v>89803.2</v>
      </c>
      <c r="W45" s="464"/>
      <c r="X45" s="463">
        <f t="shared" si="7"/>
        <v>44901.6</v>
      </c>
      <c r="Y45" s="447"/>
      <c r="Z45" s="392"/>
      <c r="AA45" s="416"/>
    </row>
    <row r="46" spans="2:27" s="386" customFormat="1" ht="12.75" customHeight="1">
      <c r="B46" s="417" t="s">
        <v>150</v>
      </c>
      <c r="C46" s="466">
        <v>560000</v>
      </c>
      <c r="D46" s="486"/>
      <c r="E46" s="466">
        <v>18670</v>
      </c>
      <c r="F46" s="487"/>
      <c r="G46" s="488">
        <v>545000</v>
      </c>
      <c r="H46" s="487" t="s">
        <v>57</v>
      </c>
      <c r="I46" s="470">
        <v>575000</v>
      </c>
      <c r="J46" s="471">
        <f t="shared" si="0"/>
        <v>53088</v>
      </c>
      <c r="K46" s="491"/>
      <c r="L46" s="492">
        <f t="shared" si="1"/>
        <v>26544</v>
      </c>
      <c r="M46" s="474"/>
      <c r="N46" s="423">
        <f t="shared" si="2"/>
        <v>61544</v>
      </c>
      <c r="O46" s="472"/>
      <c r="P46" s="427">
        <f t="shared" si="3"/>
        <v>30772</v>
      </c>
      <c r="Q46" s="497"/>
      <c r="R46" s="460">
        <f t="shared" si="4"/>
        <v>91907.2</v>
      </c>
      <c r="S46" s="461"/>
      <c r="T46" s="460">
        <f t="shared" si="5"/>
        <v>45953.6</v>
      </c>
      <c r="U46" s="462"/>
      <c r="V46" s="460">
        <f t="shared" si="6"/>
        <v>94886.40000000001</v>
      </c>
      <c r="W46" s="461"/>
      <c r="X46" s="460">
        <f t="shared" si="7"/>
        <v>47443.200000000004</v>
      </c>
      <c r="Y46" s="459"/>
      <c r="Z46" s="392"/>
      <c r="AA46" s="416"/>
    </row>
    <row r="47" spans="2:27" s="386" customFormat="1" ht="12.75" customHeight="1">
      <c r="B47" s="429" t="s">
        <v>151</v>
      </c>
      <c r="C47" s="476">
        <v>590000</v>
      </c>
      <c r="D47" s="477"/>
      <c r="E47" s="476">
        <v>19670</v>
      </c>
      <c r="F47" s="478"/>
      <c r="G47" s="479">
        <v>575000</v>
      </c>
      <c r="H47" s="478" t="s">
        <v>57</v>
      </c>
      <c r="I47" s="480">
        <v>605000</v>
      </c>
      <c r="J47" s="481">
        <f t="shared" si="0"/>
        <v>55932</v>
      </c>
      <c r="K47" s="489"/>
      <c r="L47" s="490">
        <f t="shared" si="1"/>
        <v>27966</v>
      </c>
      <c r="M47" s="484"/>
      <c r="N47" s="435">
        <f t="shared" si="2"/>
        <v>64841</v>
      </c>
      <c r="O47" s="482"/>
      <c r="P47" s="439">
        <f t="shared" si="3"/>
        <v>32420.5</v>
      </c>
      <c r="Q47" s="496"/>
      <c r="R47" s="463">
        <f t="shared" si="4"/>
        <v>96830.79999999999</v>
      </c>
      <c r="S47" s="464"/>
      <c r="T47" s="463">
        <f t="shared" si="5"/>
        <v>48415.399999999994</v>
      </c>
      <c r="U47" s="465"/>
      <c r="V47" s="463">
        <f t="shared" si="6"/>
        <v>99969.6</v>
      </c>
      <c r="W47" s="464"/>
      <c r="X47" s="463">
        <f t="shared" si="7"/>
        <v>49984.8</v>
      </c>
      <c r="Y47" s="447"/>
      <c r="Z47" s="392"/>
      <c r="AA47" s="416"/>
    </row>
    <row r="48" spans="2:27" s="386" customFormat="1" ht="12.75" customHeight="1" thickBot="1">
      <c r="B48" s="417" t="s">
        <v>152</v>
      </c>
      <c r="C48" s="466">
        <v>620000</v>
      </c>
      <c r="D48" s="486"/>
      <c r="E48" s="466">
        <v>20670</v>
      </c>
      <c r="F48" s="487"/>
      <c r="G48" s="488">
        <v>605000</v>
      </c>
      <c r="H48" s="487" t="s">
        <v>57</v>
      </c>
      <c r="I48" s="470">
        <v>635000</v>
      </c>
      <c r="J48" s="471">
        <f t="shared" si="0"/>
        <v>58776</v>
      </c>
      <c r="K48" s="491"/>
      <c r="L48" s="492">
        <f t="shared" si="1"/>
        <v>29388</v>
      </c>
      <c r="M48" s="474"/>
      <c r="N48" s="423">
        <f t="shared" si="2"/>
        <v>68138</v>
      </c>
      <c r="O48" s="472"/>
      <c r="P48" s="427">
        <f t="shared" si="3"/>
        <v>34069</v>
      </c>
      <c r="Q48" s="495"/>
      <c r="R48" s="498">
        <f t="shared" si="4"/>
        <v>101754.4</v>
      </c>
      <c r="S48" s="499"/>
      <c r="T48" s="498">
        <f t="shared" si="5"/>
        <v>50877.2</v>
      </c>
      <c r="U48" s="500"/>
      <c r="V48" s="498">
        <f t="shared" si="6"/>
        <v>105052.8</v>
      </c>
      <c r="W48" s="499"/>
      <c r="X48" s="498">
        <f t="shared" si="7"/>
        <v>52526.4</v>
      </c>
      <c r="Y48" s="501"/>
      <c r="Z48" s="392"/>
      <c r="AA48" s="416"/>
    </row>
    <row r="49" spans="2:27" s="386" customFormat="1" ht="12.75" customHeight="1" thickTop="1">
      <c r="B49" s="502">
        <v>35</v>
      </c>
      <c r="C49" s="476">
        <v>650000</v>
      </c>
      <c r="D49" s="477"/>
      <c r="E49" s="476">
        <v>21670</v>
      </c>
      <c r="F49" s="478"/>
      <c r="G49" s="479">
        <v>635000</v>
      </c>
      <c r="H49" s="478" t="s">
        <v>57</v>
      </c>
      <c r="I49" s="480">
        <v>665000</v>
      </c>
      <c r="J49" s="481">
        <f t="shared" si="0"/>
        <v>61620</v>
      </c>
      <c r="K49" s="489"/>
      <c r="L49" s="490">
        <f t="shared" si="1"/>
        <v>30810</v>
      </c>
      <c r="M49" s="484"/>
      <c r="N49" s="435">
        <f t="shared" si="2"/>
        <v>71435</v>
      </c>
      <c r="O49" s="482"/>
      <c r="P49" s="439">
        <f t="shared" si="3"/>
        <v>35717.5</v>
      </c>
      <c r="Q49" s="503"/>
      <c r="R49" s="1375" t="s">
        <v>214</v>
      </c>
      <c r="S49" s="1376"/>
      <c r="T49" s="1376"/>
      <c r="U49" s="1376"/>
      <c r="V49" s="1376"/>
      <c r="W49" s="1376"/>
      <c r="X49" s="1376"/>
      <c r="Y49" s="1376"/>
      <c r="Z49" s="416"/>
      <c r="AA49" s="416"/>
    </row>
    <row r="50" spans="2:27" s="386" customFormat="1" ht="12.75" customHeight="1">
      <c r="B50" s="504">
        <v>36</v>
      </c>
      <c r="C50" s="466">
        <v>680000</v>
      </c>
      <c r="D50" s="486"/>
      <c r="E50" s="466">
        <v>22670</v>
      </c>
      <c r="F50" s="487"/>
      <c r="G50" s="488">
        <v>665000</v>
      </c>
      <c r="H50" s="487" t="s">
        <v>57</v>
      </c>
      <c r="I50" s="470">
        <v>695000</v>
      </c>
      <c r="J50" s="471">
        <f t="shared" si="0"/>
        <v>64464</v>
      </c>
      <c r="K50" s="491"/>
      <c r="L50" s="492">
        <f t="shared" si="1"/>
        <v>32232</v>
      </c>
      <c r="M50" s="474"/>
      <c r="N50" s="423">
        <f t="shared" si="2"/>
        <v>74732</v>
      </c>
      <c r="O50" s="472"/>
      <c r="P50" s="427">
        <f t="shared" si="3"/>
        <v>37366</v>
      </c>
      <c r="Q50" s="497"/>
      <c r="R50" s="1377"/>
      <c r="S50" s="1377"/>
      <c r="T50" s="1377"/>
      <c r="U50" s="1377"/>
      <c r="V50" s="1377"/>
      <c r="W50" s="1377"/>
      <c r="X50" s="1377"/>
      <c r="Y50" s="1377"/>
      <c r="Z50" s="416"/>
      <c r="AA50" s="416"/>
    </row>
    <row r="51" spans="2:26" s="386" customFormat="1" ht="12.75" customHeight="1">
      <c r="B51" s="502">
        <v>37</v>
      </c>
      <c r="C51" s="476">
        <v>710000</v>
      </c>
      <c r="D51" s="477"/>
      <c r="E51" s="476">
        <v>23670</v>
      </c>
      <c r="F51" s="478"/>
      <c r="G51" s="479">
        <v>695000</v>
      </c>
      <c r="H51" s="478" t="s">
        <v>57</v>
      </c>
      <c r="I51" s="480">
        <v>730000</v>
      </c>
      <c r="J51" s="481">
        <f t="shared" si="0"/>
        <v>67308</v>
      </c>
      <c r="K51" s="489"/>
      <c r="L51" s="490">
        <f t="shared" si="1"/>
        <v>33654</v>
      </c>
      <c r="M51" s="484"/>
      <c r="N51" s="435">
        <f t="shared" si="2"/>
        <v>78029</v>
      </c>
      <c r="O51" s="482"/>
      <c r="P51" s="439">
        <f t="shared" si="3"/>
        <v>39014.5</v>
      </c>
      <c r="Q51" s="496"/>
      <c r="R51" s="1377"/>
      <c r="S51" s="1377"/>
      <c r="T51" s="1377"/>
      <c r="U51" s="1377"/>
      <c r="V51" s="1377"/>
      <c r="W51" s="1377"/>
      <c r="X51" s="1377"/>
      <c r="Y51" s="1377"/>
      <c r="Z51" s="416"/>
    </row>
    <row r="52" spans="2:26" s="386" customFormat="1" ht="12.75" customHeight="1">
      <c r="B52" s="504">
        <v>38</v>
      </c>
      <c r="C52" s="466">
        <v>750000</v>
      </c>
      <c r="D52" s="486"/>
      <c r="E52" s="466">
        <v>25000</v>
      </c>
      <c r="F52" s="487"/>
      <c r="G52" s="488">
        <v>730000</v>
      </c>
      <c r="H52" s="487" t="s">
        <v>57</v>
      </c>
      <c r="I52" s="470">
        <v>770000</v>
      </c>
      <c r="J52" s="471">
        <f t="shared" si="0"/>
        <v>71100</v>
      </c>
      <c r="K52" s="491"/>
      <c r="L52" s="492">
        <f t="shared" si="1"/>
        <v>35550</v>
      </c>
      <c r="M52" s="474"/>
      <c r="N52" s="423">
        <f t="shared" si="2"/>
        <v>82425</v>
      </c>
      <c r="O52" s="472"/>
      <c r="P52" s="427">
        <f t="shared" si="3"/>
        <v>41212.5</v>
      </c>
      <c r="Q52" s="497"/>
      <c r="R52" s="1377"/>
      <c r="S52" s="1377"/>
      <c r="T52" s="1377"/>
      <c r="U52" s="1377"/>
      <c r="V52" s="1377"/>
      <c r="W52" s="1377"/>
      <c r="X52" s="1377"/>
      <c r="Y52" s="1377"/>
      <c r="Z52" s="416"/>
    </row>
    <row r="53" spans="2:26" s="386" customFormat="1" ht="12.75" customHeight="1">
      <c r="B53" s="502">
        <v>39</v>
      </c>
      <c r="C53" s="476">
        <v>790000</v>
      </c>
      <c r="D53" s="477"/>
      <c r="E53" s="476">
        <v>26330</v>
      </c>
      <c r="F53" s="478"/>
      <c r="G53" s="479">
        <v>770000</v>
      </c>
      <c r="H53" s="478" t="s">
        <v>57</v>
      </c>
      <c r="I53" s="480">
        <v>810000</v>
      </c>
      <c r="J53" s="481">
        <f t="shared" si="0"/>
        <v>74892</v>
      </c>
      <c r="K53" s="489"/>
      <c r="L53" s="490">
        <f t="shared" si="1"/>
        <v>37446</v>
      </c>
      <c r="M53" s="484"/>
      <c r="N53" s="435">
        <f t="shared" si="2"/>
        <v>86821</v>
      </c>
      <c r="O53" s="482"/>
      <c r="P53" s="439">
        <f t="shared" si="3"/>
        <v>43410.5</v>
      </c>
      <c r="Q53" s="496"/>
      <c r="R53" s="1377"/>
      <c r="S53" s="1377"/>
      <c r="T53" s="1377"/>
      <c r="U53" s="1377"/>
      <c r="V53" s="1377"/>
      <c r="W53" s="1377"/>
      <c r="X53" s="1377"/>
      <c r="Y53" s="1377"/>
      <c r="Z53" s="416"/>
    </row>
    <row r="54" spans="2:26" s="386" customFormat="1" ht="12.75" customHeight="1">
      <c r="B54" s="504">
        <v>40</v>
      </c>
      <c r="C54" s="466">
        <v>830000</v>
      </c>
      <c r="D54" s="486"/>
      <c r="E54" s="466">
        <v>27670</v>
      </c>
      <c r="F54" s="487"/>
      <c r="G54" s="488">
        <v>810000</v>
      </c>
      <c r="H54" s="487" t="s">
        <v>57</v>
      </c>
      <c r="I54" s="470">
        <v>855000</v>
      </c>
      <c r="J54" s="471">
        <f t="shared" si="0"/>
        <v>78684</v>
      </c>
      <c r="K54" s="491"/>
      <c r="L54" s="492">
        <f t="shared" si="1"/>
        <v>39342</v>
      </c>
      <c r="M54" s="474"/>
      <c r="N54" s="423">
        <f t="shared" si="2"/>
        <v>91217</v>
      </c>
      <c r="O54" s="472"/>
      <c r="P54" s="427">
        <f t="shared" si="3"/>
        <v>45608.5</v>
      </c>
      <c r="Q54" s="497"/>
      <c r="R54" s="1377"/>
      <c r="S54" s="1377"/>
      <c r="T54" s="1377"/>
      <c r="U54" s="1377"/>
      <c r="V54" s="1377"/>
      <c r="W54" s="1377"/>
      <c r="X54" s="1377"/>
      <c r="Y54" s="1377"/>
      <c r="Z54" s="416"/>
    </row>
    <row r="55" spans="2:26" s="386" customFormat="1" ht="12.75" customHeight="1">
      <c r="B55" s="502">
        <v>41</v>
      </c>
      <c r="C55" s="405">
        <v>880000</v>
      </c>
      <c r="D55" s="505"/>
      <c r="E55" s="405">
        <v>29330</v>
      </c>
      <c r="F55" s="506"/>
      <c r="G55" s="507">
        <v>855000</v>
      </c>
      <c r="H55" s="506" t="s">
        <v>57</v>
      </c>
      <c r="I55" s="508">
        <v>905000</v>
      </c>
      <c r="J55" s="509">
        <f t="shared" si="0"/>
        <v>83424</v>
      </c>
      <c r="K55" s="408"/>
      <c r="L55" s="510">
        <f t="shared" si="1"/>
        <v>41712</v>
      </c>
      <c r="M55" s="511"/>
      <c r="N55" s="435">
        <f t="shared" si="2"/>
        <v>96712</v>
      </c>
      <c r="O55" s="512"/>
      <c r="P55" s="439">
        <f t="shared" si="3"/>
        <v>48356</v>
      </c>
      <c r="Q55" s="513"/>
      <c r="R55" s="1377"/>
      <c r="S55" s="1377"/>
      <c r="T55" s="1377"/>
      <c r="U55" s="1377"/>
      <c r="V55" s="1377"/>
      <c r="W55" s="1377"/>
      <c r="X55" s="1377"/>
      <c r="Y55" s="1377"/>
      <c r="Z55" s="416"/>
    </row>
    <row r="56" spans="2:26" s="386" customFormat="1" ht="12.75" customHeight="1">
      <c r="B56" s="504">
        <v>42</v>
      </c>
      <c r="C56" s="418">
        <v>930000</v>
      </c>
      <c r="D56" s="419"/>
      <c r="E56" s="418">
        <v>31000</v>
      </c>
      <c r="F56" s="422"/>
      <c r="G56" s="453">
        <v>905000</v>
      </c>
      <c r="H56" s="422" t="s">
        <v>57</v>
      </c>
      <c r="I56" s="454">
        <v>955000</v>
      </c>
      <c r="J56" s="455">
        <f t="shared" si="0"/>
        <v>88164</v>
      </c>
      <c r="K56" s="421"/>
      <c r="L56" s="514">
        <f t="shared" si="1"/>
        <v>44082</v>
      </c>
      <c r="M56" s="458"/>
      <c r="N56" s="423">
        <f t="shared" si="2"/>
        <v>102207</v>
      </c>
      <c r="O56" s="456"/>
      <c r="P56" s="427">
        <f t="shared" si="3"/>
        <v>51103.5</v>
      </c>
      <c r="Q56" s="515"/>
      <c r="R56" s="1377"/>
      <c r="S56" s="1377"/>
      <c r="T56" s="1377"/>
      <c r="U56" s="1377"/>
      <c r="V56" s="1377"/>
      <c r="W56" s="1377"/>
      <c r="X56" s="1377"/>
      <c r="Y56" s="1377"/>
      <c r="Z56" s="416"/>
    </row>
    <row r="57" spans="2:49" s="386" customFormat="1" ht="12.75" customHeight="1">
      <c r="B57" s="516">
        <v>43</v>
      </c>
      <c r="C57" s="430">
        <v>980000</v>
      </c>
      <c r="D57" s="431"/>
      <c r="E57" s="430">
        <v>32670</v>
      </c>
      <c r="F57" s="434"/>
      <c r="G57" s="441">
        <v>955000</v>
      </c>
      <c r="H57" s="434" t="s">
        <v>57</v>
      </c>
      <c r="I57" s="442">
        <v>1005000</v>
      </c>
      <c r="J57" s="443">
        <f t="shared" si="0"/>
        <v>92904</v>
      </c>
      <c r="K57" s="444"/>
      <c r="L57" s="445">
        <f t="shared" si="1"/>
        <v>46452</v>
      </c>
      <c r="M57" s="446"/>
      <c r="N57" s="435">
        <f t="shared" si="2"/>
        <v>107702</v>
      </c>
      <c r="O57" s="444"/>
      <c r="P57" s="439">
        <f t="shared" si="3"/>
        <v>53851</v>
      </c>
      <c r="Q57" s="517"/>
      <c r="R57" s="1377"/>
      <c r="S57" s="1377"/>
      <c r="T57" s="1377"/>
      <c r="U57" s="1377"/>
      <c r="V57" s="1377"/>
      <c r="W57" s="1377"/>
      <c r="X57" s="1377"/>
      <c r="Y57" s="1377"/>
      <c r="Z57" s="39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row>
    <row r="58" spans="2:49" s="386" customFormat="1" ht="12.75" customHeight="1">
      <c r="B58" s="518">
        <v>44</v>
      </c>
      <c r="C58" s="421">
        <v>1030000</v>
      </c>
      <c r="D58" s="458"/>
      <c r="E58" s="421">
        <v>34330</v>
      </c>
      <c r="F58" s="426"/>
      <c r="G58" s="421">
        <v>1005000</v>
      </c>
      <c r="H58" s="422" t="s">
        <v>57</v>
      </c>
      <c r="I58" s="420">
        <v>1055000</v>
      </c>
      <c r="J58" s="455">
        <f t="shared" si="0"/>
        <v>97644</v>
      </c>
      <c r="K58" s="456"/>
      <c r="L58" s="457">
        <f t="shared" si="1"/>
        <v>48822</v>
      </c>
      <c r="M58" s="458"/>
      <c r="N58" s="423">
        <f t="shared" si="2"/>
        <v>113197</v>
      </c>
      <c r="O58" s="456"/>
      <c r="P58" s="427">
        <f t="shared" si="3"/>
        <v>56598.5</v>
      </c>
      <c r="Q58" s="515"/>
      <c r="R58" s="1377"/>
      <c r="S58" s="1377"/>
      <c r="T58" s="1377"/>
      <c r="U58" s="1377"/>
      <c r="V58" s="1377"/>
      <c r="W58" s="1377"/>
      <c r="X58" s="1377"/>
      <c r="Y58" s="1377"/>
      <c r="Z58" s="39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row>
    <row r="59" spans="2:49" s="386" customFormat="1" ht="12.75" customHeight="1">
      <c r="B59" s="519">
        <v>45</v>
      </c>
      <c r="C59" s="433">
        <v>1090000</v>
      </c>
      <c r="D59" s="446"/>
      <c r="E59" s="433">
        <v>36330</v>
      </c>
      <c r="F59" s="438"/>
      <c r="G59" s="433">
        <v>1055000</v>
      </c>
      <c r="H59" s="434" t="s">
        <v>57</v>
      </c>
      <c r="I59" s="432">
        <v>1115000</v>
      </c>
      <c r="J59" s="443">
        <f t="shared" si="0"/>
        <v>103332</v>
      </c>
      <c r="K59" s="444"/>
      <c r="L59" s="445">
        <f t="shared" si="1"/>
        <v>51666</v>
      </c>
      <c r="M59" s="446"/>
      <c r="N59" s="435">
        <f t="shared" si="2"/>
        <v>119791</v>
      </c>
      <c r="O59" s="444"/>
      <c r="P59" s="439">
        <f t="shared" si="3"/>
        <v>59895.5</v>
      </c>
      <c r="Q59" s="517"/>
      <c r="R59" s="1377"/>
      <c r="S59" s="1377"/>
      <c r="T59" s="1377"/>
      <c r="U59" s="1377"/>
      <c r="V59" s="1377"/>
      <c r="W59" s="1377"/>
      <c r="X59" s="1377"/>
      <c r="Y59" s="1377"/>
      <c r="Z59" s="39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row>
    <row r="60" spans="2:49" s="386" customFormat="1" ht="12.75" customHeight="1">
      <c r="B60" s="518">
        <v>46</v>
      </c>
      <c r="C60" s="421">
        <v>1150000</v>
      </c>
      <c r="D60" s="458"/>
      <c r="E60" s="421">
        <v>38330</v>
      </c>
      <c r="F60" s="426"/>
      <c r="G60" s="421">
        <v>1115000</v>
      </c>
      <c r="H60" s="422" t="s">
        <v>57</v>
      </c>
      <c r="I60" s="420">
        <v>1175000</v>
      </c>
      <c r="J60" s="455">
        <f t="shared" si="0"/>
        <v>109020</v>
      </c>
      <c r="K60" s="456"/>
      <c r="L60" s="457">
        <f t="shared" si="1"/>
        <v>54510</v>
      </c>
      <c r="M60" s="458"/>
      <c r="N60" s="423">
        <f t="shared" si="2"/>
        <v>126385</v>
      </c>
      <c r="O60" s="456"/>
      <c r="P60" s="427">
        <f t="shared" si="3"/>
        <v>63192.5</v>
      </c>
      <c r="Q60" s="459"/>
      <c r="R60" s="1377"/>
      <c r="S60" s="1377"/>
      <c r="T60" s="1377"/>
      <c r="U60" s="1377"/>
      <c r="V60" s="1377"/>
      <c r="W60" s="1377"/>
      <c r="X60" s="1377"/>
      <c r="Y60" s="1377"/>
      <c r="Z60" s="39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row>
    <row r="61" spans="2:49" s="386" customFormat="1" ht="12.75" customHeight="1" thickBot="1">
      <c r="B61" s="520">
        <v>47</v>
      </c>
      <c r="C61" s="521">
        <v>1210000</v>
      </c>
      <c r="D61" s="522"/>
      <c r="E61" s="521">
        <v>40330</v>
      </c>
      <c r="F61" s="523"/>
      <c r="G61" s="521">
        <v>1175000</v>
      </c>
      <c r="H61" s="524" t="s">
        <v>57</v>
      </c>
      <c r="I61" s="525"/>
      <c r="J61" s="526">
        <f t="shared" si="0"/>
        <v>114708</v>
      </c>
      <c r="K61" s="527"/>
      <c r="L61" s="528">
        <f t="shared" si="1"/>
        <v>57354</v>
      </c>
      <c r="M61" s="522"/>
      <c r="N61" s="529">
        <f t="shared" si="2"/>
        <v>132979</v>
      </c>
      <c r="O61" s="527"/>
      <c r="P61" s="530">
        <f t="shared" si="3"/>
        <v>66489.5</v>
      </c>
      <c r="Q61" s="531"/>
      <c r="R61" s="1377"/>
      <c r="S61" s="1377"/>
      <c r="T61" s="1377"/>
      <c r="U61" s="1377"/>
      <c r="V61" s="1377"/>
      <c r="W61" s="1377"/>
      <c r="X61" s="1377"/>
      <c r="Y61" s="1377"/>
      <c r="Z61" s="39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row>
    <row r="62" spans="2:26" s="386" customFormat="1" ht="5.25" customHeight="1" thickTop="1">
      <c r="B62" s="532"/>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row>
    <row r="63" spans="1:26" s="386" customFormat="1" ht="12.75" customHeight="1">
      <c r="A63" s="1378">
        <f>J10</f>
        <v>0.0948</v>
      </c>
      <c r="B63" s="1378"/>
      <c r="C63" s="1378"/>
      <c r="D63" s="1378"/>
      <c r="E63" s="1378"/>
      <c r="F63" s="1378"/>
      <c r="G63" s="1378"/>
      <c r="H63" s="1378"/>
      <c r="I63" s="1378"/>
      <c r="J63" s="1378"/>
      <c r="K63" s="1378"/>
      <c r="L63" s="1378"/>
      <c r="M63" s="1378"/>
      <c r="N63" s="1378"/>
      <c r="O63" s="1378"/>
      <c r="P63" s="1378"/>
      <c r="Q63" s="1378"/>
      <c r="R63" s="1378"/>
      <c r="S63" s="1378"/>
      <c r="T63" s="1378"/>
      <c r="U63" s="1378"/>
      <c r="V63" s="1378"/>
      <c r="W63" s="1378"/>
      <c r="X63" s="1378"/>
      <c r="Y63" s="1378"/>
      <c r="Z63" s="1378"/>
    </row>
    <row r="64" spans="1:26" s="386" customFormat="1" ht="3" customHeight="1">
      <c r="A64" s="533"/>
      <c r="B64" s="534" t="s">
        <v>46</v>
      </c>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row>
    <row r="65" spans="1:26" s="386" customFormat="1" ht="12.75" customHeight="1">
      <c r="A65" s="1372" t="s">
        <v>154</v>
      </c>
      <c r="B65" s="1372"/>
      <c r="C65" s="1372"/>
      <c r="D65" s="1372"/>
      <c r="E65" s="1372"/>
      <c r="F65" s="1372"/>
      <c r="G65" s="1372"/>
      <c r="H65" s="1372"/>
      <c r="I65" s="1372"/>
      <c r="J65" s="1372"/>
      <c r="K65" s="1372"/>
      <c r="L65" s="1372"/>
      <c r="M65" s="1372"/>
      <c r="N65" s="1372"/>
      <c r="O65" s="1372"/>
      <c r="P65" s="1372"/>
      <c r="Q65" s="1372"/>
      <c r="R65" s="1372"/>
      <c r="S65" s="1372"/>
      <c r="T65" s="1372"/>
      <c r="U65" s="1372"/>
      <c r="V65" s="1372"/>
      <c r="W65" s="1372"/>
      <c r="X65" s="1372"/>
      <c r="Y65" s="1372"/>
      <c r="Z65" s="534"/>
    </row>
    <row r="66" spans="1:26" s="386" customFormat="1" ht="12.75" customHeight="1">
      <c r="A66" s="1379" t="s">
        <v>155</v>
      </c>
      <c r="B66" s="1379"/>
      <c r="C66" s="1379"/>
      <c r="D66" s="1379"/>
      <c r="E66" s="1379"/>
      <c r="F66" s="1379"/>
      <c r="G66" s="1379"/>
      <c r="H66" s="1379"/>
      <c r="I66" s="1379"/>
      <c r="J66" s="1379"/>
      <c r="K66" s="1379"/>
      <c r="L66" s="1379"/>
      <c r="M66" s="1379"/>
      <c r="N66" s="1379"/>
      <c r="O66" s="1379"/>
      <c r="P66" s="1379"/>
      <c r="Q66" s="1379"/>
      <c r="R66" s="1379"/>
      <c r="S66" s="1379"/>
      <c r="T66" s="1379"/>
      <c r="U66" s="1379"/>
      <c r="V66" s="1379"/>
      <c r="W66" s="1379"/>
      <c r="X66" s="1379"/>
      <c r="Y66" s="1379"/>
      <c r="Z66" s="534"/>
    </row>
    <row r="67" spans="1:26" s="386" customFormat="1" ht="12.75" customHeight="1">
      <c r="A67" s="1380" t="s">
        <v>156</v>
      </c>
      <c r="B67" s="1381"/>
      <c r="C67" s="1381"/>
      <c r="D67" s="1381"/>
      <c r="E67" s="1381"/>
      <c r="F67" s="1381"/>
      <c r="G67" s="1381"/>
      <c r="H67" s="1381"/>
      <c r="I67" s="1381"/>
      <c r="J67" s="1381"/>
      <c r="K67" s="1381"/>
      <c r="L67" s="1381"/>
      <c r="M67" s="1381"/>
      <c r="N67" s="1381"/>
      <c r="O67" s="1381"/>
      <c r="P67" s="1381"/>
      <c r="Q67" s="1381"/>
      <c r="R67" s="1381"/>
      <c r="S67" s="1381"/>
      <c r="T67" s="1381"/>
      <c r="U67" s="1381"/>
      <c r="V67" s="1381"/>
      <c r="W67" s="1381"/>
      <c r="X67" s="1381"/>
      <c r="Y67" s="1381"/>
      <c r="Z67" s="534"/>
    </row>
    <row r="68" spans="1:26" s="386" customFormat="1" ht="3" customHeight="1">
      <c r="A68" s="533"/>
      <c r="B68" s="534" t="s">
        <v>46</v>
      </c>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row>
    <row r="69" spans="1:26" s="386" customFormat="1" ht="12.75" customHeight="1">
      <c r="A69" s="1372" t="s">
        <v>215</v>
      </c>
      <c r="B69" s="1372"/>
      <c r="C69" s="1372"/>
      <c r="D69" s="1372"/>
      <c r="E69" s="1372"/>
      <c r="F69" s="1372"/>
      <c r="G69" s="1372"/>
      <c r="H69" s="1372"/>
      <c r="I69" s="1372"/>
      <c r="J69" s="1372"/>
      <c r="K69" s="1372"/>
      <c r="L69" s="1372"/>
      <c r="M69" s="1372"/>
      <c r="N69" s="1372"/>
      <c r="O69" s="1372"/>
      <c r="P69" s="1372"/>
      <c r="Q69" s="1372"/>
      <c r="R69" s="1372"/>
      <c r="S69" s="1372"/>
      <c r="T69" s="1372"/>
      <c r="U69" s="1372"/>
      <c r="V69" s="1372"/>
      <c r="W69" s="1372"/>
      <c r="X69" s="1372"/>
      <c r="Y69" s="1372"/>
      <c r="Z69" s="534"/>
    </row>
    <row r="70" spans="1:26" s="386" customFormat="1" ht="3" customHeight="1">
      <c r="A70" s="533"/>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row>
    <row r="71" spans="1:26" s="386" customFormat="1" ht="12.75" customHeight="1">
      <c r="A71" s="1372" t="s">
        <v>158</v>
      </c>
      <c r="B71" s="1374"/>
      <c r="C71" s="1374"/>
      <c r="D71" s="1374"/>
      <c r="E71" s="1374"/>
      <c r="F71" s="1374"/>
      <c r="G71" s="1374"/>
      <c r="H71" s="1374"/>
      <c r="I71" s="1374"/>
      <c r="J71" s="1374"/>
      <c r="K71" s="1374"/>
      <c r="L71" s="1374"/>
      <c r="M71" s="1374"/>
      <c r="N71" s="1374"/>
      <c r="O71" s="1374"/>
      <c r="P71" s="1374"/>
      <c r="Q71" s="1374"/>
      <c r="R71" s="535"/>
      <c r="S71" s="535"/>
      <c r="T71" s="535"/>
      <c r="U71" s="535"/>
      <c r="V71" s="535"/>
      <c r="W71" s="535"/>
      <c r="X71" s="535"/>
      <c r="Y71" s="535"/>
      <c r="Z71" s="533"/>
    </row>
    <row r="72" spans="1:25" s="386" customFormat="1" ht="12.75" customHeight="1">
      <c r="A72" s="1368" t="s">
        <v>159</v>
      </c>
      <c r="B72" s="1368"/>
      <c r="C72" s="1368"/>
      <c r="D72" s="1368"/>
      <c r="E72" s="1368"/>
      <c r="F72" s="1368"/>
      <c r="G72" s="1368"/>
      <c r="H72" s="1368"/>
      <c r="I72" s="1368"/>
      <c r="J72" s="1368"/>
      <c r="K72" s="1368"/>
      <c r="L72" s="1368"/>
      <c r="M72" s="1368"/>
      <c r="N72" s="1368"/>
      <c r="O72" s="1368"/>
      <c r="P72" s="1368"/>
      <c r="Q72" s="1368"/>
      <c r="R72" s="1368"/>
      <c r="S72" s="1368"/>
      <c r="T72" s="1368"/>
      <c r="U72" s="1368"/>
      <c r="V72" s="1373"/>
      <c r="W72" s="1373"/>
      <c r="X72" s="1373"/>
      <c r="Y72" s="1373"/>
    </row>
    <row r="73" spans="1:25" s="386" customFormat="1" ht="12.75" customHeight="1">
      <c r="A73" s="1368" t="s">
        <v>160</v>
      </c>
      <c r="B73" s="1368"/>
      <c r="C73" s="1368"/>
      <c r="D73" s="1368"/>
      <c r="E73" s="1368"/>
      <c r="F73" s="1368"/>
      <c r="G73" s="1368"/>
      <c r="H73" s="1368"/>
      <c r="I73" s="1368"/>
      <c r="J73" s="1368"/>
      <c r="K73" s="1368"/>
      <c r="L73" s="1368"/>
      <c r="M73" s="1368"/>
      <c r="N73" s="1368"/>
      <c r="O73" s="1368"/>
      <c r="P73" s="1368"/>
      <c r="Q73" s="1368"/>
      <c r="R73" s="1368"/>
      <c r="S73" s="1368"/>
      <c r="T73" s="1368"/>
      <c r="U73" s="1368"/>
      <c r="V73" s="1373"/>
      <c r="W73" s="1373"/>
      <c r="X73" s="1373"/>
      <c r="Y73" s="1373"/>
    </row>
    <row r="74" spans="1:25" s="386" customFormat="1" ht="12.75" customHeight="1">
      <c r="A74" s="1368" t="s">
        <v>161</v>
      </c>
      <c r="B74" s="1368"/>
      <c r="C74" s="1368"/>
      <c r="D74" s="1368"/>
      <c r="E74" s="1368"/>
      <c r="F74" s="1368"/>
      <c r="G74" s="1368"/>
      <c r="H74" s="1368"/>
      <c r="I74" s="1368"/>
      <c r="J74" s="1368"/>
      <c r="K74" s="1368"/>
      <c r="L74" s="1368"/>
      <c r="M74" s="1368"/>
      <c r="N74" s="1368"/>
      <c r="O74" s="1368"/>
      <c r="P74" s="1368"/>
      <c r="Q74" s="1368"/>
      <c r="R74" s="1368"/>
      <c r="S74" s="1368"/>
      <c r="T74" s="1368"/>
      <c r="U74" s="1368"/>
      <c r="V74" s="1373"/>
      <c r="W74" s="1373"/>
      <c r="X74" s="1373"/>
      <c r="Y74" s="1373"/>
    </row>
    <row r="75" spans="1:25" s="386" customFormat="1" ht="3.75" customHeight="1">
      <c r="A75" s="1369"/>
      <c r="B75" s="1369"/>
      <c r="C75" s="1369"/>
      <c r="D75" s="1369"/>
      <c r="E75" s="1369"/>
      <c r="F75" s="1369"/>
      <c r="G75" s="1369"/>
      <c r="H75" s="1369"/>
      <c r="I75" s="1369"/>
      <c r="J75" s="1369"/>
      <c r="K75" s="1369"/>
      <c r="L75" s="1369"/>
      <c r="M75" s="1369"/>
      <c r="N75" s="1369"/>
      <c r="O75" s="1369"/>
      <c r="P75" s="1369"/>
      <c r="Q75" s="1369"/>
      <c r="R75" s="536"/>
      <c r="S75" s="536"/>
      <c r="T75" s="536"/>
      <c r="U75" s="536"/>
      <c r="V75" s="536"/>
      <c r="W75" s="536"/>
      <c r="X75" s="536"/>
      <c r="Y75" s="536"/>
    </row>
    <row r="76" spans="1:25" s="386" customFormat="1" ht="12.75" customHeight="1">
      <c r="A76" s="1372" t="s">
        <v>162</v>
      </c>
      <c r="B76" s="1372"/>
      <c r="C76" s="1372"/>
      <c r="D76" s="1372"/>
      <c r="E76" s="1372"/>
      <c r="F76" s="1372"/>
      <c r="G76" s="1372"/>
      <c r="H76" s="1372"/>
      <c r="I76" s="1372"/>
      <c r="J76" s="1372"/>
      <c r="K76" s="1372"/>
      <c r="L76" s="1372"/>
      <c r="M76" s="1372"/>
      <c r="N76" s="1372"/>
      <c r="O76" s="1372"/>
      <c r="P76" s="1372"/>
      <c r="Q76" s="1372"/>
      <c r="R76" s="1372"/>
      <c r="S76" s="1372"/>
      <c r="T76" s="1372"/>
      <c r="U76" s="1372"/>
      <c r="V76" s="1372"/>
      <c r="W76" s="1372"/>
      <c r="X76" s="1372"/>
      <c r="Y76" s="536"/>
    </row>
    <row r="77" spans="1:25" s="386" customFormat="1" ht="12.75" customHeight="1">
      <c r="A77" s="1370" t="s">
        <v>163</v>
      </c>
      <c r="B77" s="1370"/>
      <c r="C77" s="1370"/>
      <c r="D77" s="1370"/>
      <c r="E77" s="1370"/>
      <c r="F77" s="1370"/>
      <c r="G77" s="1370"/>
      <c r="H77" s="1370"/>
      <c r="I77" s="1370"/>
      <c r="J77" s="1370"/>
      <c r="K77" s="1370"/>
      <c r="L77" s="1370"/>
      <c r="M77" s="1370"/>
      <c r="N77" s="1370"/>
      <c r="O77" s="1370"/>
      <c r="P77" s="1370"/>
      <c r="Q77" s="1370"/>
      <c r="R77" s="1370"/>
      <c r="S77" s="1370"/>
      <c r="T77" s="1370"/>
      <c r="U77" s="1370"/>
      <c r="V77" s="1371"/>
      <c r="W77" s="1371"/>
      <c r="X77" s="1371"/>
      <c r="Y77" s="536"/>
    </row>
    <row r="78" spans="1:25" s="386" customFormat="1" ht="3.75" customHeight="1">
      <c r="A78" s="536"/>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row>
    <row r="79" spans="1:25" s="386" customFormat="1" ht="12.75" customHeight="1">
      <c r="A79" s="1372" t="s">
        <v>164</v>
      </c>
      <c r="B79" s="1372"/>
      <c r="C79" s="1372"/>
      <c r="D79" s="1372"/>
      <c r="E79" s="1372"/>
      <c r="F79" s="1372"/>
      <c r="G79" s="1372"/>
      <c r="H79" s="1372"/>
      <c r="I79" s="1372"/>
      <c r="J79" s="1372"/>
      <c r="K79" s="1372"/>
      <c r="L79" s="1372"/>
      <c r="M79" s="1372"/>
      <c r="N79" s="1372"/>
      <c r="O79" s="1372"/>
      <c r="P79" s="1372"/>
      <c r="Q79" s="1372"/>
      <c r="R79" s="536"/>
      <c r="S79" s="536"/>
      <c r="T79" s="536"/>
      <c r="U79" s="536"/>
      <c r="V79" s="536"/>
      <c r="W79" s="536"/>
      <c r="X79" s="536"/>
      <c r="Y79" s="536"/>
    </row>
    <row r="80" spans="1:25" s="386" customFormat="1" ht="12.75" customHeight="1">
      <c r="A80" s="1368" t="s">
        <v>165</v>
      </c>
      <c r="B80" s="1368"/>
      <c r="C80" s="1368"/>
      <c r="D80" s="1368"/>
      <c r="E80" s="1368"/>
      <c r="F80" s="1368"/>
      <c r="G80" s="1368"/>
      <c r="H80" s="1368"/>
      <c r="I80" s="1368"/>
      <c r="J80" s="1368"/>
      <c r="K80" s="1368"/>
      <c r="L80" s="1368"/>
      <c r="M80" s="1368"/>
      <c r="N80" s="1368"/>
      <c r="O80" s="1368"/>
      <c r="P80" s="1368"/>
      <c r="Q80" s="1368"/>
      <c r="R80" s="1368"/>
      <c r="S80" s="1368"/>
      <c r="T80" s="1368"/>
      <c r="U80" s="1368"/>
      <c r="V80" s="1373"/>
      <c r="W80" s="536"/>
      <c r="X80" s="536"/>
      <c r="Y80" s="536"/>
    </row>
    <row r="81" spans="1:25" s="386" customFormat="1" ht="12.75" customHeight="1">
      <c r="A81" s="1370" t="s">
        <v>166</v>
      </c>
      <c r="B81" s="1371"/>
      <c r="C81" s="1371"/>
      <c r="D81" s="1371"/>
      <c r="E81" s="1371"/>
      <c r="F81" s="1371"/>
      <c r="G81" s="1371"/>
      <c r="H81" s="1371"/>
      <c r="I81" s="1371"/>
      <c r="J81" s="1371"/>
      <c r="K81" s="1371"/>
      <c r="L81" s="1371"/>
      <c r="M81" s="1371"/>
      <c r="N81" s="1371"/>
      <c r="O81" s="1371"/>
      <c r="P81" s="1371"/>
      <c r="Q81" s="1371"/>
      <c r="R81" s="1371"/>
      <c r="S81" s="1371"/>
      <c r="T81" s="1371"/>
      <c r="U81" s="1371"/>
      <c r="V81" s="1371"/>
      <c r="W81" s="1371"/>
      <c r="X81" s="1371"/>
      <c r="Y81" s="1371"/>
    </row>
    <row r="82" spans="1:25" s="386" customFormat="1" ht="3" customHeight="1">
      <c r="A82" s="536"/>
      <c r="B82" s="536"/>
      <c r="C82" s="536"/>
      <c r="D82" s="536"/>
      <c r="E82" s="536"/>
      <c r="F82" s="536"/>
      <c r="G82" s="536"/>
      <c r="H82" s="536"/>
      <c r="I82" s="536"/>
      <c r="J82" s="536"/>
      <c r="K82" s="536"/>
      <c r="L82" s="536"/>
      <c r="M82" s="536"/>
      <c r="N82" s="536"/>
      <c r="O82" s="536"/>
      <c r="P82" s="536"/>
      <c r="Q82" s="536"/>
      <c r="R82" s="536"/>
      <c r="S82" s="536"/>
      <c r="T82" s="536"/>
      <c r="U82" s="536"/>
      <c r="V82" s="536"/>
      <c r="W82" s="536"/>
      <c r="X82" s="536"/>
      <c r="Y82" s="536"/>
    </row>
    <row r="83" spans="1:25" s="386" customFormat="1" ht="12" customHeight="1">
      <c r="A83" s="1372" t="s">
        <v>167</v>
      </c>
      <c r="B83" s="1372"/>
      <c r="C83" s="1372"/>
      <c r="D83" s="1372"/>
      <c r="E83" s="1372"/>
      <c r="F83" s="1372"/>
      <c r="G83" s="1372"/>
      <c r="H83" s="1372"/>
      <c r="I83" s="1372"/>
      <c r="J83" s="1372"/>
      <c r="K83" s="1372"/>
      <c r="L83" s="1372"/>
      <c r="M83" s="1372"/>
      <c r="N83" s="1372"/>
      <c r="O83" s="1372"/>
      <c r="P83" s="1372"/>
      <c r="Q83" s="1372"/>
      <c r="R83" s="1372"/>
      <c r="S83" s="1372"/>
      <c r="T83" s="1372"/>
      <c r="U83" s="1372"/>
      <c r="V83" s="1372"/>
      <c r="W83" s="536"/>
      <c r="X83" s="536"/>
      <c r="Y83" s="536"/>
    </row>
    <row r="84" spans="1:25" s="386" customFormat="1" ht="12" customHeight="1">
      <c r="A84" s="1370" t="s">
        <v>216</v>
      </c>
      <c r="B84" s="1370"/>
      <c r="C84" s="1370"/>
      <c r="D84" s="1370"/>
      <c r="E84" s="1370"/>
      <c r="F84" s="1370"/>
      <c r="G84" s="1370"/>
      <c r="H84" s="1370"/>
      <c r="I84" s="1370"/>
      <c r="J84" s="1370"/>
      <c r="K84" s="1370"/>
      <c r="L84" s="1370"/>
      <c r="M84" s="1370"/>
      <c r="N84" s="1370"/>
      <c r="O84" s="1370"/>
      <c r="P84" s="1370"/>
      <c r="Q84" s="1370"/>
      <c r="R84" s="1370"/>
      <c r="S84" s="1370"/>
      <c r="T84" s="1370"/>
      <c r="U84" s="1370"/>
      <c r="V84" s="1370"/>
      <c r="W84" s="1370"/>
      <c r="X84" s="1370"/>
      <c r="Y84" s="1370"/>
    </row>
    <row r="85" spans="1:25" s="386" customFormat="1" ht="12" customHeight="1">
      <c r="A85" s="1368" t="s">
        <v>217</v>
      </c>
      <c r="B85" s="1368"/>
      <c r="C85" s="1368"/>
      <c r="D85" s="1368"/>
      <c r="E85" s="1368"/>
      <c r="F85" s="1368"/>
      <c r="G85" s="1368"/>
      <c r="H85" s="1368"/>
      <c r="I85" s="1368"/>
      <c r="J85" s="1368"/>
      <c r="K85" s="1368"/>
      <c r="L85" s="1368"/>
      <c r="M85" s="1368"/>
      <c r="N85" s="1368"/>
      <c r="O85" s="1368"/>
      <c r="P85" s="1368"/>
      <c r="Q85" s="1368"/>
      <c r="R85" s="1368"/>
      <c r="S85" s="1368"/>
      <c r="T85" s="1368"/>
      <c r="U85" s="1368"/>
      <c r="V85" s="1368"/>
      <c r="W85" s="1368"/>
      <c r="X85" s="1368"/>
      <c r="Y85" s="1368"/>
    </row>
    <row r="86" spans="1:25" s="386" customFormat="1" ht="2.25" customHeight="1">
      <c r="A86" s="1369"/>
      <c r="B86" s="1369"/>
      <c r="C86" s="1369"/>
      <c r="D86" s="1369"/>
      <c r="E86" s="1369"/>
      <c r="F86" s="1369"/>
      <c r="G86" s="1369"/>
      <c r="H86" s="1369"/>
      <c r="I86" s="1369"/>
      <c r="J86" s="1369"/>
      <c r="K86" s="1369"/>
      <c r="L86" s="1369"/>
      <c r="M86" s="1369"/>
      <c r="N86" s="1369"/>
      <c r="O86" s="1369"/>
      <c r="P86" s="1369"/>
      <c r="Q86" s="1369"/>
      <c r="R86" s="536"/>
      <c r="S86" s="536"/>
      <c r="T86" s="536"/>
      <c r="U86" s="536"/>
      <c r="V86" s="536"/>
      <c r="W86" s="536"/>
      <c r="X86" s="536"/>
      <c r="Y86" s="536"/>
    </row>
    <row r="87" spans="3:25" s="386" customFormat="1" ht="11.25">
      <c r="C87" s="537"/>
      <c r="D87" s="537"/>
      <c r="N87" s="538"/>
      <c r="O87" s="538"/>
      <c r="P87" s="538"/>
      <c r="Q87" s="538"/>
      <c r="R87" s="538"/>
      <c r="S87" s="538"/>
      <c r="T87" s="538"/>
      <c r="U87" s="538"/>
      <c r="V87" s="538"/>
      <c r="W87" s="538"/>
      <c r="X87" s="538"/>
      <c r="Y87" s="538"/>
    </row>
    <row r="88" spans="3:25" s="386" customFormat="1" ht="11.25">
      <c r="C88" s="537"/>
      <c r="D88" s="537"/>
      <c r="N88" s="538"/>
      <c r="O88" s="538"/>
      <c r="P88" s="538"/>
      <c r="Q88" s="538"/>
      <c r="R88" s="538"/>
      <c r="S88" s="538"/>
      <c r="T88" s="538"/>
      <c r="U88" s="538"/>
      <c r="V88" s="538"/>
      <c r="W88" s="538"/>
      <c r="X88" s="538"/>
      <c r="Y88" s="538"/>
    </row>
    <row r="89" spans="3:25" s="386" customFormat="1" ht="11.25">
      <c r="C89" s="537"/>
      <c r="D89" s="537"/>
      <c r="N89" s="538"/>
      <c r="O89" s="538"/>
      <c r="P89" s="538"/>
      <c r="Q89" s="538"/>
      <c r="R89" s="538"/>
      <c r="S89" s="538"/>
      <c r="T89" s="538"/>
      <c r="U89" s="538"/>
      <c r="V89" s="538"/>
      <c r="W89" s="538"/>
      <c r="X89" s="538"/>
      <c r="Y89" s="538"/>
    </row>
    <row r="90" spans="3:25" s="386" customFormat="1" ht="11.25">
      <c r="C90" s="537"/>
      <c r="D90" s="537"/>
      <c r="N90" s="538"/>
      <c r="O90" s="538"/>
      <c r="P90" s="538"/>
      <c r="Q90" s="538"/>
      <c r="R90" s="538"/>
      <c r="S90" s="538"/>
      <c r="T90" s="538"/>
      <c r="U90" s="538"/>
      <c r="V90" s="538"/>
      <c r="W90" s="538"/>
      <c r="X90" s="538"/>
      <c r="Y90" s="538"/>
    </row>
    <row r="91" spans="3:25" s="386" customFormat="1" ht="11.25">
      <c r="C91" s="537"/>
      <c r="D91" s="537"/>
      <c r="N91" s="538"/>
      <c r="O91" s="538"/>
      <c r="P91" s="538"/>
      <c r="Q91" s="538"/>
      <c r="R91" s="538"/>
      <c r="S91" s="538"/>
      <c r="T91" s="538"/>
      <c r="U91" s="538"/>
      <c r="V91" s="538"/>
      <c r="W91" s="538"/>
      <c r="X91" s="538"/>
      <c r="Y91" s="538"/>
    </row>
    <row r="92" spans="3:25" s="386" customFormat="1" ht="11.25">
      <c r="C92" s="537"/>
      <c r="D92" s="537"/>
      <c r="N92" s="538"/>
      <c r="O92" s="538"/>
      <c r="P92" s="538"/>
      <c r="Q92" s="538"/>
      <c r="R92" s="538"/>
      <c r="S92" s="538"/>
      <c r="T92" s="538"/>
      <c r="U92" s="538"/>
      <c r="V92" s="538"/>
      <c r="W92" s="538"/>
      <c r="X92" s="538"/>
      <c r="Y92" s="538"/>
    </row>
    <row r="93" spans="3:25" s="386" customFormat="1" ht="11.25">
      <c r="C93" s="537"/>
      <c r="D93" s="537"/>
      <c r="N93" s="538"/>
      <c r="O93" s="538"/>
      <c r="P93" s="538"/>
      <c r="Q93" s="538"/>
      <c r="R93" s="538"/>
      <c r="S93" s="538"/>
      <c r="T93" s="538"/>
      <c r="U93" s="538"/>
      <c r="V93" s="538"/>
      <c r="W93" s="538"/>
      <c r="X93" s="538"/>
      <c r="Y93" s="538"/>
    </row>
    <row r="94" spans="3:25" s="386" customFormat="1" ht="11.25">
      <c r="C94" s="537"/>
      <c r="D94" s="537"/>
      <c r="N94" s="538"/>
      <c r="O94" s="538"/>
      <c r="P94" s="538"/>
      <c r="Q94" s="538"/>
      <c r="R94" s="538"/>
      <c r="S94" s="538"/>
      <c r="T94" s="538"/>
      <c r="U94" s="538"/>
      <c r="V94" s="538"/>
      <c r="W94" s="538"/>
      <c r="X94" s="538"/>
      <c r="Y94" s="538"/>
    </row>
    <row r="95" spans="3:25" s="386" customFormat="1" ht="11.25">
      <c r="C95" s="537"/>
      <c r="D95" s="537"/>
      <c r="N95" s="538"/>
      <c r="O95" s="538"/>
      <c r="P95" s="538"/>
      <c r="Q95" s="538"/>
      <c r="R95" s="538"/>
      <c r="S95" s="538"/>
      <c r="T95" s="538"/>
      <c r="U95" s="538"/>
      <c r="V95" s="538"/>
      <c r="W95" s="538"/>
      <c r="X95" s="538"/>
      <c r="Y95" s="538"/>
    </row>
    <row r="96" spans="3:25" s="386" customFormat="1" ht="11.25">
      <c r="C96" s="537"/>
      <c r="D96" s="537"/>
      <c r="N96" s="538"/>
      <c r="O96" s="538"/>
      <c r="P96" s="538"/>
      <c r="Q96" s="538"/>
      <c r="R96" s="538"/>
      <c r="S96" s="538"/>
      <c r="T96" s="538"/>
      <c r="U96" s="538"/>
      <c r="V96" s="538"/>
      <c r="W96" s="538"/>
      <c r="X96" s="538"/>
      <c r="Y96" s="538"/>
    </row>
    <row r="97" spans="3:25" s="386" customFormat="1" ht="11.25">
      <c r="C97" s="537"/>
      <c r="D97" s="537"/>
      <c r="N97" s="538"/>
      <c r="O97" s="538"/>
      <c r="P97" s="538"/>
      <c r="Q97" s="538"/>
      <c r="R97" s="538"/>
      <c r="S97" s="538"/>
      <c r="T97" s="538"/>
      <c r="U97" s="538"/>
      <c r="V97" s="538"/>
      <c r="W97" s="538"/>
      <c r="X97" s="538"/>
      <c r="Y97" s="538"/>
    </row>
    <row r="98" spans="3:25" s="386" customFormat="1" ht="11.25">
      <c r="C98" s="537"/>
      <c r="D98" s="537"/>
      <c r="N98" s="538"/>
      <c r="O98" s="538"/>
      <c r="P98" s="538"/>
      <c r="Q98" s="538"/>
      <c r="R98" s="538"/>
      <c r="S98" s="538"/>
      <c r="T98" s="538"/>
      <c r="U98" s="538"/>
      <c r="V98" s="538"/>
      <c r="W98" s="538"/>
      <c r="X98" s="538"/>
      <c r="Y98" s="538"/>
    </row>
    <row r="99" spans="3:25" s="386" customFormat="1" ht="11.25">
      <c r="C99" s="537"/>
      <c r="D99" s="537"/>
      <c r="N99" s="538"/>
      <c r="O99" s="538"/>
      <c r="P99" s="538"/>
      <c r="Q99" s="538"/>
      <c r="R99" s="538"/>
      <c r="S99" s="538"/>
      <c r="T99" s="538"/>
      <c r="U99" s="538"/>
      <c r="V99" s="538"/>
      <c r="W99" s="538"/>
      <c r="X99" s="538"/>
      <c r="Y99" s="538"/>
    </row>
    <row r="100" spans="3:25" s="386" customFormat="1" ht="11.25">
      <c r="C100" s="537"/>
      <c r="D100" s="537"/>
      <c r="N100" s="538"/>
      <c r="O100" s="538"/>
      <c r="P100" s="538"/>
      <c r="Q100" s="538"/>
      <c r="R100" s="538"/>
      <c r="S100" s="538"/>
      <c r="T100" s="538"/>
      <c r="U100" s="538"/>
      <c r="V100" s="538"/>
      <c r="W100" s="538"/>
      <c r="X100" s="538"/>
      <c r="Y100" s="538"/>
    </row>
    <row r="101" spans="3:25" s="386" customFormat="1" ht="11.25">
      <c r="C101" s="537"/>
      <c r="D101" s="537"/>
      <c r="N101" s="538"/>
      <c r="O101" s="538"/>
      <c r="P101" s="538"/>
      <c r="Q101" s="538"/>
      <c r="R101" s="538"/>
      <c r="S101" s="538"/>
      <c r="T101" s="538"/>
      <c r="U101" s="538"/>
      <c r="V101" s="538"/>
      <c r="W101" s="538"/>
      <c r="X101" s="538"/>
      <c r="Y101" s="538"/>
    </row>
    <row r="102" spans="3:25" s="386" customFormat="1" ht="11.25">
      <c r="C102" s="537"/>
      <c r="D102" s="537"/>
      <c r="N102" s="538"/>
      <c r="O102" s="538"/>
      <c r="P102" s="538"/>
      <c r="Q102" s="538"/>
      <c r="R102" s="538"/>
      <c r="S102" s="538"/>
      <c r="T102" s="538"/>
      <c r="U102" s="538"/>
      <c r="V102" s="538"/>
      <c r="W102" s="538"/>
      <c r="X102" s="538"/>
      <c r="Y102" s="538"/>
    </row>
    <row r="103" spans="3:25" s="386" customFormat="1" ht="11.25">
      <c r="C103" s="537"/>
      <c r="D103" s="537"/>
      <c r="N103" s="538"/>
      <c r="O103" s="538"/>
      <c r="P103" s="538"/>
      <c r="Q103" s="538"/>
      <c r="R103" s="538"/>
      <c r="S103" s="538"/>
      <c r="T103" s="538"/>
      <c r="U103" s="538"/>
      <c r="V103" s="538"/>
      <c r="W103" s="538"/>
      <c r="X103" s="538"/>
      <c r="Y103" s="538"/>
    </row>
    <row r="104" spans="3:25" s="386" customFormat="1" ht="11.25">
      <c r="C104" s="537"/>
      <c r="D104" s="537"/>
      <c r="N104" s="538"/>
      <c r="O104" s="538"/>
      <c r="P104" s="538"/>
      <c r="Q104" s="538"/>
      <c r="R104" s="538"/>
      <c r="S104" s="538"/>
      <c r="T104" s="538"/>
      <c r="U104" s="538"/>
      <c r="V104" s="538"/>
      <c r="W104" s="538"/>
      <c r="X104" s="538"/>
      <c r="Y104" s="538"/>
    </row>
    <row r="105" spans="3:25" s="386" customFormat="1" ht="11.25">
      <c r="C105" s="537"/>
      <c r="D105" s="537"/>
      <c r="N105" s="538"/>
      <c r="O105" s="538"/>
      <c r="P105" s="538"/>
      <c r="Q105" s="538"/>
      <c r="R105" s="538"/>
      <c r="S105" s="538"/>
      <c r="T105" s="538"/>
      <c r="U105" s="538"/>
      <c r="V105" s="538"/>
      <c r="W105" s="538"/>
      <c r="X105" s="538"/>
      <c r="Y105" s="538"/>
    </row>
    <row r="106" spans="3:25" s="386" customFormat="1" ht="11.25">
      <c r="C106" s="537"/>
      <c r="D106" s="537"/>
      <c r="N106" s="538"/>
      <c r="O106" s="538"/>
      <c r="P106" s="538"/>
      <c r="Q106" s="538"/>
      <c r="R106" s="538"/>
      <c r="S106" s="538"/>
      <c r="T106" s="538"/>
      <c r="U106" s="538"/>
      <c r="V106" s="538"/>
      <c r="W106" s="538"/>
      <c r="X106" s="538"/>
      <c r="Y106" s="538"/>
    </row>
    <row r="107" spans="3:25" s="386" customFormat="1" ht="11.25">
      <c r="C107" s="537"/>
      <c r="D107" s="537"/>
      <c r="N107" s="538"/>
      <c r="O107" s="538"/>
      <c r="P107" s="538"/>
      <c r="Q107" s="538"/>
      <c r="R107" s="538"/>
      <c r="S107" s="538"/>
      <c r="T107" s="538"/>
      <c r="U107" s="538"/>
      <c r="V107" s="538"/>
      <c r="W107" s="538"/>
      <c r="X107" s="538"/>
      <c r="Y107" s="538"/>
    </row>
    <row r="108" spans="3:25" s="386" customFormat="1" ht="11.25">
      <c r="C108" s="537"/>
      <c r="D108" s="537"/>
      <c r="N108" s="538"/>
      <c r="O108" s="538"/>
      <c r="P108" s="538"/>
      <c r="Q108" s="538"/>
      <c r="R108" s="538"/>
      <c r="S108" s="538"/>
      <c r="T108" s="538"/>
      <c r="U108" s="538"/>
      <c r="V108" s="538"/>
      <c r="W108" s="538"/>
      <c r="X108" s="538"/>
      <c r="Y108" s="538"/>
    </row>
    <row r="109" spans="3:25" s="386" customFormat="1" ht="11.25">
      <c r="C109" s="537"/>
      <c r="D109" s="537"/>
      <c r="N109" s="538"/>
      <c r="O109" s="538"/>
      <c r="P109" s="538"/>
      <c r="Q109" s="538"/>
      <c r="R109" s="538"/>
      <c r="S109" s="538"/>
      <c r="T109" s="538"/>
      <c r="U109" s="538"/>
      <c r="V109" s="538"/>
      <c r="W109" s="538"/>
      <c r="X109" s="538"/>
      <c r="Y109" s="538"/>
    </row>
    <row r="110" spans="3:25" s="386" customFormat="1" ht="11.25">
      <c r="C110" s="537"/>
      <c r="D110" s="537"/>
      <c r="N110" s="538"/>
      <c r="O110" s="538"/>
      <c r="P110" s="538"/>
      <c r="Q110" s="538"/>
      <c r="R110" s="538"/>
      <c r="S110" s="538"/>
      <c r="T110" s="538"/>
      <c r="U110" s="538"/>
      <c r="V110" s="538"/>
      <c r="W110" s="538"/>
      <c r="X110" s="538"/>
      <c r="Y110" s="538"/>
    </row>
    <row r="111" spans="3:25" s="386" customFormat="1" ht="11.25">
      <c r="C111" s="537"/>
      <c r="D111" s="537"/>
      <c r="N111" s="538"/>
      <c r="O111" s="538"/>
      <c r="P111" s="538"/>
      <c r="Q111" s="538"/>
      <c r="R111" s="538"/>
      <c r="S111" s="538"/>
      <c r="T111" s="538"/>
      <c r="U111" s="538"/>
      <c r="V111" s="538"/>
      <c r="W111" s="538"/>
      <c r="X111" s="538"/>
      <c r="Y111" s="538"/>
    </row>
    <row r="112" spans="3:25" s="386" customFormat="1" ht="11.25">
      <c r="C112" s="537"/>
      <c r="D112" s="537"/>
      <c r="N112" s="538"/>
      <c r="O112" s="538"/>
      <c r="P112" s="538"/>
      <c r="Q112" s="538"/>
      <c r="R112" s="538"/>
      <c r="S112" s="538"/>
      <c r="T112" s="538"/>
      <c r="U112" s="538"/>
      <c r="V112" s="538"/>
      <c r="W112" s="538"/>
      <c r="X112" s="538"/>
      <c r="Y112" s="538"/>
    </row>
    <row r="113" spans="3:25" s="386" customFormat="1" ht="11.25">
      <c r="C113" s="537"/>
      <c r="D113" s="537"/>
      <c r="N113" s="538"/>
      <c r="O113" s="538"/>
      <c r="P113" s="538"/>
      <c r="Q113" s="538"/>
      <c r="R113" s="538"/>
      <c r="S113" s="538"/>
      <c r="T113" s="538"/>
      <c r="U113" s="538"/>
      <c r="V113" s="538"/>
      <c r="W113" s="538"/>
      <c r="X113" s="538"/>
      <c r="Y113" s="538"/>
    </row>
    <row r="114" spans="3:25" s="386" customFormat="1" ht="11.25">
      <c r="C114" s="537"/>
      <c r="D114" s="537"/>
      <c r="N114" s="538"/>
      <c r="O114" s="538"/>
      <c r="P114" s="538"/>
      <c r="Q114" s="538"/>
      <c r="R114" s="538"/>
      <c r="S114" s="538"/>
      <c r="T114" s="538"/>
      <c r="U114" s="538"/>
      <c r="V114" s="538"/>
      <c r="W114" s="538"/>
      <c r="X114" s="538"/>
      <c r="Y114" s="538"/>
    </row>
    <row r="115" spans="3:25" s="386" customFormat="1" ht="11.25">
      <c r="C115" s="537"/>
      <c r="D115" s="537"/>
      <c r="N115" s="538"/>
      <c r="O115" s="538"/>
      <c r="P115" s="538"/>
      <c r="Q115" s="538"/>
      <c r="R115" s="538"/>
      <c r="S115" s="538"/>
      <c r="T115" s="538"/>
      <c r="U115" s="538"/>
      <c r="V115" s="538"/>
      <c r="W115" s="538"/>
      <c r="X115" s="538"/>
      <c r="Y115" s="538"/>
    </row>
    <row r="116" spans="3:25" s="386" customFormat="1" ht="11.25">
      <c r="C116" s="537"/>
      <c r="D116" s="537"/>
      <c r="N116" s="538"/>
      <c r="O116" s="538"/>
      <c r="P116" s="538"/>
      <c r="Q116" s="538"/>
      <c r="R116" s="538"/>
      <c r="S116" s="538"/>
      <c r="T116" s="538"/>
      <c r="U116" s="538"/>
      <c r="V116" s="538"/>
      <c r="W116" s="538"/>
      <c r="X116" s="538"/>
      <c r="Y116" s="538"/>
    </row>
    <row r="117" spans="3:25" s="386" customFormat="1" ht="11.25">
      <c r="C117" s="537"/>
      <c r="D117" s="537"/>
      <c r="N117" s="538"/>
      <c r="O117" s="538"/>
      <c r="P117" s="538"/>
      <c r="Q117" s="538"/>
      <c r="R117" s="538"/>
      <c r="S117" s="538"/>
      <c r="T117" s="538"/>
      <c r="U117" s="538"/>
      <c r="V117" s="538"/>
      <c r="W117" s="538"/>
      <c r="X117" s="538"/>
      <c r="Y117" s="538"/>
    </row>
    <row r="118" spans="3:25" s="386" customFormat="1" ht="11.25">
      <c r="C118" s="537"/>
      <c r="D118" s="537"/>
      <c r="N118" s="538"/>
      <c r="O118" s="538"/>
      <c r="P118" s="538"/>
      <c r="Q118" s="538"/>
      <c r="R118" s="538"/>
      <c r="S118" s="538"/>
      <c r="T118" s="538"/>
      <c r="U118" s="538"/>
      <c r="V118" s="538"/>
      <c r="W118" s="538"/>
      <c r="X118" s="538"/>
      <c r="Y118" s="538"/>
    </row>
    <row r="119" spans="3:25" s="386" customFormat="1" ht="11.25">
      <c r="C119" s="537"/>
      <c r="D119" s="537"/>
      <c r="N119" s="538"/>
      <c r="O119" s="538"/>
      <c r="P119" s="538"/>
      <c r="Q119" s="538"/>
      <c r="R119" s="538"/>
      <c r="S119" s="538"/>
      <c r="T119" s="538"/>
      <c r="U119" s="538"/>
      <c r="V119" s="538"/>
      <c r="W119" s="538"/>
      <c r="X119" s="538"/>
      <c r="Y119" s="538"/>
    </row>
    <row r="120" spans="3:25" s="386" customFormat="1" ht="11.25">
      <c r="C120" s="537"/>
      <c r="D120" s="537"/>
      <c r="N120" s="538"/>
      <c r="O120" s="538"/>
      <c r="P120" s="538"/>
      <c r="Q120" s="538"/>
      <c r="R120" s="538"/>
      <c r="S120" s="538"/>
      <c r="T120" s="538"/>
      <c r="U120" s="538"/>
      <c r="V120" s="538"/>
      <c r="W120" s="538"/>
      <c r="X120" s="538"/>
      <c r="Y120" s="538"/>
    </row>
    <row r="121" spans="3:25" s="386" customFormat="1" ht="11.25">
      <c r="C121" s="537"/>
      <c r="D121" s="537"/>
      <c r="N121" s="538"/>
      <c r="O121" s="538"/>
      <c r="P121" s="538"/>
      <c r="Q121" s="538"/>
      <c r="R121" s="538"/>
      <c r="S121" s="538"/>
      <c r="T121" s="538"/>
      <c r="U121" s="538"/>
      <c r="V121" s="538"/>
      <c r="W121" s="538"/>
      <c r="X121" s="538"/>
      <c r="Y121" s="538"/>
    </row>
    <row r="122" spans="3:25" s="386" customFormat="1" ht="11.25">
      <c r="C122" s="537"/>
      <c r="D122" s="537"/>
      <c r="N122" s="538"/>
      <c r="O122" s="538"/>
      <c r="P122" s="538"/>
      <c r="Q122" s="538"/>
      <c r="R122" s="538"/>
      <c r="S122" s="538"/>
      <c r="T122" s="538"/>
      <c r="U122" s="538"/>
      <c r="V122" s="538"/>
      <c r="W122" s="538"/>
      <c r="X122" s="538"/>
      <c r="Y122" s="538"/>
    </row>
    <row r="123" spans="3:25" s="386" customFormat="1" ht="11.25">
      <c r="C123" s="537"/>
      <c r="D123" s="537"/>
      <c r="N123" s="538"/>
      <c r="O123" s="538"/>
      <c r="P123" s="538"/>
      <c r="Q123" s="538"/>
      <c r="R123" s="538"/>
      <c r="S123" s="538"/>
      <c r="T123" s="538"/>
      <c r="U123" s="538"/>
      <c r="V123" s="538"/>
      <c r="W123" s="538"/>
      <c r="X123" s="538"/>
      <c r="Y123" s="538"/>
    </row>
    <row r="124" spans="3:25" s="386" customFormat="1" ht="11.25">
      <c r="C124" s="537"/>
      <c r="D124" s="537"/>
      <c r="N124" s="538"/>
      <c r="O124" s="538"/>
      <c r="P124" s="538"/>
      <c r="Q124" s="538"/>
      <c r="R124" s="538"/>
      <c r="S124" s="538"/>
      <c r="T124" s="538"/>
      <c r="U124" s="538"/>
      <c r="V124" s="538"/>
      <c r="W124" s="538"/>
      <c r="X124" s="538"/>
      <c r="Y124" s="538"/>
    </row>
    <row r="125" spans="3:25" s="386" customFormat="1" ht="11.25">
      <c r="C125" s="537"/>
      <c r="D125" s="537"/>
      <c r="N125" s="538"/>
      <c r="O125" s="538"/>
      <c r="P125" s="538"/>
      <c r="Q125" s="538"/>
      <c r="R125" s="538"/>
      <c r="S125" s="538"/>
      <c r="T125" s="538"/>
      <c r="U125" s="538"/>
      <c r="V125" s="538"/>
      <c r="W125" s="538"/>
      <c r="X125" s="538"/>
      <c r="Y125" s="538"/>
    </row>
    <row r="126" spans="3:25" s="386" customFormat="1" ht="11.25">
      <c r="C126" s="537"/>
      <c r="D126" s="537"/>
      <c r="N126" s="538"/>
      <c r="O126" s="538"/>
      <c r="P126" s="538"/>
      <c r="Q126" s="538"/>
      <c r="R126" s="538"/>
      <c r="S126" s="538"/>
      <c r="T126" s="538"/>
      <c r="U126" s="538"/>
      <c r="V126" s="538"/>
      <c r="W126" s="538"/>
      <c r="X126" s="538"/>
      <c r="Y126" s="538"/>
    </row>
    <row r="127" spans="3:25" s="386" customFormat="1" ht="11.25">
      <c r="C127" s="537"/>
      <c r="D127" s="537"/>
      <c r="N127" s="538"/>
      <c r="O127" s="538"/>
      <c r="P127" s="538"/>
      <c r="Q127" s="538"/>
      <c r="R127" s="538"/>
      <c r="S127" s="538"/>
      <c r="T127" s="538"/>
      <c r="U127" s="538"/>
      <c r="V127" s="538"/>
      <c r="W127" s="538"/>
      <c r="X127" s="538"/>
      <c r="Y127" s="538"/>
    </row>
    <row r="128" spans="3:25" s="386" customFormat="1" ht="11.25">
      <c r="C128" s="537"/>
      <c r="D128" s="537"/>
      <c r="N128" s="538"/>
      <c r="O128" s="538"/>
      <c r="P128" s="538"/>
      <c r="Q128" s="538"/>
      <c r="R128" s="538"/>
      <c r="S128" s="538"/>
      <c r="T128" s="538"/>
      <c r="U128" s="538"/>
      <c r="V128" s="538"/>
      <c r="W128" s="538"/>
      <c r="X128" s="538"/>
      <c r="Y128" s="538"/>
    </row>
    <row r="129" spans="3:25" s="386" customFormat="1" ht="11.25">
      <c r="C129" s="537"/>
      <c r="D129" s="537"/>
      <c r="N129" s="538"/>
      <c r="O129" s="538"/>
      <c r="P129" s="538"/>
      <c r="Q129" s="538"/>
      <c r="R129" s="538"/>
      <c r="S129" s="538"/>
      <c r="T129" s="538"/>
      <c r="U129" s="538"/>
      <c r="V129" s="538"/>
      <c r="W129" s="538"/>
      <c r="X129" s="538"/>
      <c r="Y129" s="538"/>
    </row>
    <row r="130" spans="3:25" s="386" customFormat="1" ht="11.25">
      <c r="C130" s="537"/>
      <c r="D130" s="537"/>
      <c r="N130" s="538"/>
      <c r="O130" s="538"/>
      <c r="P130" s="538"/>
      <c r="Q130" s="538"/>
      <c r="R130" s="538"/>
      <c r="S130" s="538"/>
      <c r="T130" s="538"/>
      <c r="U130" s="538"/>
      <c r="V130" s="538"/>
      <c r="W130" s="538"/>
      <c r="X130" s="538"/>
      <c r="Y130" s="538"/>
    </row>
    <row r="131" spans="3:25" s="386" customFormat="1" ht="11.25">
      <c r="C131" s="537"/>
      <c r="D131" s="537"/>
      <c r="N131" s="538"/>
      <c r="O131" s="538"/>
      <c r="P131" s="538"/>
      <c r="Q131" s="538"/>
      <c r="R131" s="538"/>
      <c r="S131" s="538"/>
      <c r="T131" s="538"/>
      <c r="U131" s="538"/>
      <c r="V131" s="538"/>
      <c r="W131" s="538"/>
      <c r="X131" s="538"/>
      <c r="Y131" s="538"/>
    </row>
    <row r="132" spans="3:25" s="386" customFormat="1" ht="11.25">
      <c r="C132" s="537"/>
      <c r="D132" s="537"/>
      <c r="N132" s="538"/>
      <c r="O132" s="538"/>
      <c r="P132" s="538"/>
      <c r="Q132" s="538"/>
      <c r="R132" s="538"/>
      <c r="S132" s="538"/>
      <c r="T132" s="538"/>
      <c r="U132" s="538"/>
      <c r="V132" s="538"/>
      <c r="W132" s="538"/>
      <c r="X132" s="538"/>
      <c r="Y132" s="538"/>
    </row>
    <row r="133" spans="3:25" s="386" customFormat="1" ht="11.25">
      <c r="C133" s="537"/>
      <c r="D133" s="537"/>
      <c r="N133" s="538"/>
      <c r="O133" s="538"/>
      <c r="P133" s="538"/>
      <c r="Q133" s="538"/>
      <c r="R133" s="538"/>
      <c r="S133" s="538"/>
      <c r="T133" s="538"/>
      <c r="U133" s="538"/>
      <c r="V133" s="538"/>
      <c r="W133" s="538"/>
      <c r="X133" s="538"/>
      <c r="Y133" s="538"/>
    </row>
    <row r="134" spans="3:25" s="386" customFormat="1" ht="11.25">
      <c r="C134" s="537"/>
      <c r="D134" s="537"/>
      <c r="N134" s="538"/>
      <c r="O134" s="538"/>
      <c r="P134" s="538"/>
      <c r="Q134" s="538"/>
      <c r="R134" s="538"/>
      <c r="S134" s="538"/>
      <c r="T134" s="538"/>
      <c r="U134" s="538"/>
      <c r="V134" s="538"/>
      <c r="W134" s="538"/>
      <c r="X134" s="538"/>
      <c r="Y134" s="538"/>
    </row>
    <row r="135" spans="3:25" s="386" customFormat="1" ht="11.25">
      <c r="C135" s="537"/>
      <c r="D135" s="537"/>
      <c r="N135" s="538"/>
      <c r="O135" s="538"/>
      <c r="P135" s="538"/>
      <c r="Q135" s="538"/>
      <c r="R135" s="538"/>
      <c r="S135" s="538"/>
      <c r="T135" s="538"/>
      <c r="U135" s="538"/>
      <c r="V135" s="538"/>
      <c r="W135" s="538"/>
      <c r="X135" s="538"/>
      <c r="Y135" s="538"/>
    </row>
    <row r="136" spans="2:26" ht="13.5">
      <c r="B136" s="386"/>
      <c r="C136" s="537"/>
      <c r="D136" s="537"/>
      <c r="E136" s="386"/>
      <c r="F136" s="386"/>
      <c r="G136" s="386"/>
      <c r="H136" s="386"/>
      <c r="I136" s="386"/>
      <c r="J136" s="386"/>
      <c r="K136" s="386"/>
      <c r="L136" s="386"/>
      <c r="M136" s="386"/>
      <c r="N136" s="538"/>
      <c r="O136" s="538"/>
      <c r="P136" s="538"/>
      <c r="Q136" s="538"/>
      <c r="R136" s="538"/>
      <c r="S136" s="538"/>
      <c r="T136" s="538"/>
      <c r="U136" s="538"/>
      <c r="V136" s="538"/>
      <c r="W136" s="538"/>
      <c r="X136" s="538"/>
      <c r="Y136" s="538"/>
      <c r="Z136" s="386"/>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sheetPr>
    <pageSetUpPr fitToPage="1"/>
  </sheetPr>
  <dimension ref="A1:AH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34" customWidth="1"/>
    <col min="2" max="2" width="5.140625" style="134" customWidth="1"/>
    <col min="3" max="3" width="7.8515625" style="241" customWidth="1"/>
    <col min="4" max="5" width="8.140625" style="134" customWidth="1"/>
    <col min="6" max="7" width="8.7109375" style="134" customWidth="1"/>
    <col min="8" max="12" width="8.7109375" style="242" customWidth="1"/>
    <col min="13" max="13" width="12.57421875" style="242" customWidth="1"/>
    <col min="14" max="14" width="5.00390625" style="134" customWidth="1"/>
    <col min="15" max="15" width="11.28125" style="319" customWidth="1"/>
    <col min="16" max="16384" width="9.00390625" style="134" customWidth="1"/>
  </cols>
  <sheetData>
    <row r="1" spans="2:14" ht="16.5" customHeight="1">
      <c r="B1" s="1511" t="s">
        <v>104</v>
      </c>
      <c r="C1" s="1512"/>
      <c r="D1" s="1512"/>
      <c r="E1" s="1512"/>
      <c r="F1" s="1512"/>
      <c r="G1" s="1512"/>
      <c r="H1" s="1512"/>
      <c r="I1" s="1512"/>
      <c r="J1" s="1512"/>
      <c r="K1" s="1512"/>
      <c r="L1" s="1512"/>
      <c r="M1" s="1512"/>
      <c r="N1" s="135"/>
    </row>
    <row r="2" spans="2:14" ht="16.5" customHeight="1">
      <c r="B2" s="1512"/>
      <c r="C2" s="1512"/>
      <c r="D2" s="1512"/>
      <c r="E2" s="1512"/>
      <c r="F2" s="1512"/>
      <c r="G2" s="1512"/>
      <c r="H2" s="1512"/>
      <c r="I2" s="1512"/>
      <c r="J2" s="1512"/>
      <c r="K2" s="1512"/>
      <c r="L2" s="1512"/>
      <c r="M2" s="1512"/>
      <c r="N2" s="135"/>
    </row>
    <row r="3" spans="2:14" ht="17.25" customHeight="1">
      <c r="B3" s="1513" t="s">
        <v>211</v>
      </c>
      <c r="C3" s="1513"/>
      <c r="D3" s="1513"/>
      <c r="E3" s="1513"/>
      <c r="F3" s="1513"/>
      <c r="G3" s="1513"/>
      <c r="H3" s="1513"/>
      <c r="I3" s="1513"/>
      <c r="J3" s="1513"/>
      <c r="K3" s="1513"/>
      <c r="L3" s="1513"/>
      <c r="M3" s="1513"/>
      <c r="N3" s="135"/>
    </row>
    <row r="4" spans="1:14" ht="24" customHeight="1">
      <c r="A4" s="137"/>
      <c r="B4" s="1513"/>
      <c r="C4" s="1513"/>
      <c r="D4" s="1513"/>
      <c r="E4" s="1513"/>
      <c r="F4" s="1513"/>
      <c r="G4" s="1513"/>
      <c r="H4" s="1513"/>
      <c r="I4" s="1513"/>
      <c r="J4" s="1513"/>
      <c r="K4" s="1513"/>
      <c r="L4" s="1513"/>
      <c r="M4" s="1513"/>
      <c r="N4" s="135"/>
    </row>
    <row r="5" spans="2:14" ht="15.75" customHeight="1" thickBot="1">
      <c r="B5" s="1514" t="s">
        <v>105</v>
      </c>
      <c r="C5" s="1514"/>
      <c r="D5" s="1514"/>
      <c r="E5" s="1514"/>
      <c r="F5" s="1514"/>
      <c r="G5" s="1514"/>
      <c r="H5" s="1514"/>
      <c r="I5" s="1514"/>
      <c r="J5" s="139"/>
      <c r="K5" s="139"/>
      <c r="L5" s="139"/>
      <c r="M5" s="140" t="s">
        <v>0</v>
      </c>
      <c r="N5" s="135"/>
    </row>
    <row r="6" spans="2:15" s="141" customFormat="1" ht="18.75" customHeight="1" thickTop="1">
      <c r="B6" s="1515" t="s">
        <v>106</v>
      </c>
      <c r="C6" s="1516"/>
      <c r="D6" s="1519" t="s">
        <v>107</v>
      </c>
      <c r="E6" s="1520"/>
      <c r="F6" s="1525" t="s">
        <v>108</v>
      </c>
      <c r="G6" s="1525"/>
      <c r="H6" s="1525"/>
      <c r="I6" s="1525"/>
      <c r="J6" s="1525" t="s">
        <v>109</v>
      </c>
      <c r="K6" s="1526"/>
      <c r="L6" s="1526"/>
      <c r="M6" s="1527"/>
      <c r="O6" s="319"/>
    </row>
    <row r="7" spans="2:15" s="141" customFormat="1" ht="13.5" customHeight="1">
      <c r="B7" s="1517"/>
      <c r="C7" s="1518"/>
      <c r="D7" s="1521"/>
      <c r="E7" s="1522"/>
      <c r="F7" s="1528" t="s">
        <v>110</v>
      </c>
      <c r="G7" s="1528"/>
      <c r="H7" s="1531" t="s">
        <v>111</v>
      </c>
      <c r="I7" s="1489"/>
      <c r="J7" s="1535" t="s">
        <v>112</v>
      </c>
      <c r="K7" s="1535"/>
      <c r="L7" s="1488" t="s">
        <v>113</v>
      </c>
      <c r="M7" s="1489"/>
      <c r="O7" s="319"/>
    </row>
    <row r="8" spans="2:15" s="141" customFormat="1" ht="14.25">
      <c r="B8" s="1517"/>
      <c r="C8" s="1518"/>
      <c r="D8" s="1521"/>
      <c r="E8" s="1522"/>
      <c r="F8" s="1529"/>
      <c r="G8" s="1529"/>
      <c r="H8" s="1532"/>
      <c r="I8" s="1491"/>
      <c r="J8" s="1536"/>
      <c r="K8" s="1536"/>
      <c r="L8" s="1490"/>
      <c r="M8" s="1491"/>
      <c r="O8" s="319"/>
    </row>
    <row r="9" spans="2:15" s="141" customFormat="1" ht="18" customHeight="1">
      <c r="B9" s="1517"/>
      <c r="C9" s="1518"/>
      <c r="D9" s="1521"/>
      <c r="E9" s="1522"/>
      <c r="F9" s="1530"/>
      <c r="G9" s="1530"/>
      <c r="H9" s="1533"/>
      <c r="I9" s="1534"/>
      <c r="J9" s="1537"/>
      <c r="K9" s="1537"/>
      <c r="L9" s="1492"/>
      <c r="M9" s="1493"/>
      <c r="O9" s="319"/>
    </row>
    <row r="10" spans="2:15" s="141" customFormat="1" ht="13.5" customHeight="1">
      <c r="B10" s="1517"/>
      <c r="C10" s="1518"/>
      <c r="D10" s="1521"/>
      <c r="E10" s="1522"/>
      <c r="F10" s="1407">
        <v>0.0997</v>
      </c>
      <c r="G10" s="1407"/>
      <c r="H10" s="1494">
        <f>F10+0.0155</f>
        <v>0.1152</v>
      </c>
      <c r="I10" s="1495"/>
      <c r="J10" s="1498">
        <v>0.16766</v>
      </c>
      <c r="K10" s="1499"/>
      <c r="L10" s="1417">
        <v>0.17192</v>
      </c>
      <c r="M10" s="1419"/>
      <c r="O10" s="319"/>
    </row>
    <row r="11" spans="2:15" s="141" customFormat="1" ht="5.25" customHeight="1">
      <c r="B11" s="1517"/>
      <c r="C11" s="1518"/>
      <c r="D11" s="1521"/>
      <c r="E11" s="1522"/>
      <c r="F11" s="1410"/>
      <c r="G11" s="1410"/>
      <c r="H11" s="1496"/>
      <c r="I11" s="1497"/>
      <c r="J11" s="1500"/>
      <c r="K11" s="1418"/>
      <c r="L11" s="1417"/>
      <c r="M11" s="1419"/>
      <c r="O11" s="319"/>
    </row>
    <row r="12" spans="2:15" s="141" customFormat="1" ht="8.25" customHeight="1">
      <c r="B12" s="1501" t="s">
        <v>114</v>
      </c>
      <c r="C12" s="1503" t="s">
        <v>115</v>
      </c>
      <c r="D12" s="1521"/>
      <c r="E12" s="1522"/>
      <c r="F12" s="1505" t="s">
        <v>117</v>
      </c>
      <c r="G12" s="1507" t="s">
        <v>118</v>
      </c>
      <c r="H12" s="1509" t="s">
        <v>117</v>
      </c>
      <c r="I12" s="1475" t="s">
        <v>118</v>
      </c>
      <c r="J12" s="1477" t="s">
        <v>119</v>
      </c>
      <c r="K12" s="1479" t="s">
        <v>120</v>
      </c>
      <c r="L12" s="1481" t="s">
        <v>119</v>
      </c>
      <c r="M12" s="1483" t="s">
        <v>120</v>
      </c>
      <c r="O12" s="319"/>
    </row>
    <row r="13" spans="2:15" s="141" customFormat="1" ht="8.25" customHeight="1">
      <c r="B13" s="1502"/>
      <c r="C13" s="1504"/>
      <c r="D13" s="1523"/>
      <c r="E13" s="1524"/>
      <c r="F13" s="1506"/>
      <c r="G13" s="1508"/>
      <c r="H13" s="1510"/>
      <c r="I13" s="1476"/>
      <c r="J13" s="1478"/>
      <c r="K13" s="1480"/>
      <c r="L13" s="1482"/>
      <c r="M13" s="1484"/>
      <c r="O13" s="319"/>
    </row>
    <row r="14" spans="2:16" s="141" customFormat="1" ht="15" customHeight="1">
      <c r="B14" s="143"/>
      <c r="C14" s="144"/>
      <c r="D14" s="1061" t="s">
        <v>121</v>
      </c>
      <c r="E14" s="147" t="s">
        <v>122</v>
      </c>
      <c r="F14" s="149"/>
      <c r="G14" s="1064"/>
      <c r="H14" s="153"/>
      <c r="I14" s="1074"/>
      <c r="J14" s="1080"/>
      <c r="K14" s="158"/>
      <c r="L14" s="1086"/>
      <c r="M14" s="159"/>
      <c r="O14" s="319"/>
      <c r="P14" s="548"/>
    </row>
    <row r="15" spans="2:16" s="141" customFormat="1" ht="12.75" customHeight="1">
      <c r="B15" s="160">
        <v>1</v>
      </c>
      <c r="C15" s="161">
        <v>58000</v>
      </c>
      <c r="D15" s="1062">
        <v>0</v>
      </c>
      <c r="E15" s="164">
        <v>63000</v>
      </c>
      <c r="F15" s="245">
        <f>C15*$F$10</f>
        <v>5782.599999999999</v>
      </c>
      <c r="G15" s="1065">
        <f>F15/2</f>
        <v>2891.2999999999997</v>
      </c>
      <c r="H15" s="245">
        <f>C15*$H$10</f>
        <v>6681.599999999999</v>
      </c>
      <c r="I15" s="1075">
        <f>H15/2</f>
        <v>3340.7999999999997</v>
      </c>
      <c r="J15" s="1081"/>
      <c r="K15" s="169"/>
      <c r="L15" s="1087"/>
      <c r="M15" s="167"/>
      <c r="N15" s="170"/>
      <c r="O15" s="319"/>
      <c r="P15" s="548"/>
    </row>
    <row r="16" spans="2:15" s="141" customFormat="1" ht="12.75" customHeight="1">
      <c r="B16" s="171">
        <v>2</v>
      </c>
      <c r="C16" s="172">
        <v>68000</v>
      </c>
      <c r="D16" s="192">
        <v>63000</v>
      </c>
      <c r="E16" s="174">
        <v>73000</v>
      </c>
      <c r="F16" s="246">
        <f aca="true" t="shared" si="0" ref="F16:F61">C16*$F$10</f>
        <v>6779.599999999999</v>
      </c>
      <c r="G16" s="1066">
        <f aca="true" t="shared" si="1" ref="G16:G61">F16/2</f>
        <v>3389.7999999999997</v>
      </c>
      <c r="H16" s="246">
        <f aca="true" t="shared" si="2" ref="H16:H61">C16*$H$10</f>
        <v>7833.599999999999</v>
      </c>
      <c r="I16" s="926">
        <f aca="true" t="shared" si="3" ref="I16:I61">H16/2</f>
        <v>3916.7999999999997</v>
      </c>
      <c r="J16" s="1081"/>
      <c r="K16" s="169"/>
      <c r="L16" s="1087"/>
      <c r="M16" s="167"/>
      <c r="N16" s="170"/>
      <c r="O16" s="319"/>
    </row>
    <row r="17" spans="2:14" s="141" customFormat="1" ht="12.75" customHeight="1">
      <c r="B17" s="175">
        <v>3</v>
      </c>
      <c r="C17" s="176">
        <v>78000</v>
      </c>
      <c r="D17" s="184">
        <v>73000</v>
      </c>
      <c r="E17" s="179">
        <v>83000</v>
      </c>
      <c r="F17" s="247">
        <f t="shared" si="0"/>
        <v>7776.599999999999</v>
      </c>
      <c r="G17" s="1067">
        <f t="shared" si="1"/>
        <v>3888.2999999999997</v>
      </c>
      <c r="H17" s="247">
        <f t="shared" si="2"/>
        <v>8985.6</v>
      </c>
      <c r="I17" s="925">
        <f t="shared" si="3"/>
        <v>4492.8</v>
      </c>
      <c r="J17" s="1081"/>
      <c r="K17" s="169"/>
      <c r="L17" s="1087"/>
      <c r="M17" s="167"/>
      <c r="N17" s="170"/>
    </row>
    <row r="18" spans="2:16" s="141" customFormat="1" ht="12.75" customHeight="1">
      <c r="B18" s="171">
        <v>4</v>
      </c>
      <c r="C18" s="172">
        <v>88000</v>
      </c>
      <c r="D18" s="192">
        <v>83000</v>
      </c>
      <c r="E18" s="174">
        <v>93000</v>
      </c>
      <c r="F18" s="246">
        <f t="shared" si="0"/>
        <v>8773.6</v>
      </c>
      <c r="G18" s="1066">
        <f t="shared" si="1"/>
        <v>4386.8</v>
      </c>
      <c r="H18" s="246">
        <f>C18*$H$10</f>
        <v>10137.6</v>
      </c>
      <c r="I18" s="926">
        <f t="shared" si="3"/>
        <v>5068.8</v>
      </c>
      <c r="J18" s="1081"/>
      <c r="K18" s="169"/>
      <c r="L18" s="1087"/>
      <c r="M18" s="167"/>
      <c r="N18" s="170"/>
      <c r="P18" s="548"/>
    </row>
    <row r="19" spans="2:14" s="141" customFormat="1" ht="12.75" customHeight="1">
      <c r="B19" s="175" t="s">
        <v>123</v>
      </c>
      <c r="C19" s="176">
        <v>98000</v>
      </c>
      <c r="D19" s="184">
        <v>93000</v>
      </c>
      <c r="E19" s="185">
        <v>101000</v>
      </c>
      <c r="F19" s="248">
        <f t="shared" si="0"/>
        <v>9770.6</v>
      </c>
      <c r="G19" s="1068">
        <f t="shared" si="1"/>
        <v>4885.3</v>
      </c>
      <c r="H19" s="247">
        <f t="shared" si="2"/>
        <v>11289.6</v>
      </c>
      <c r="I19" s="925">
        <f t="shared" si="3"/>
        <v>5644.8</v>
      </c>
      <c r="J19" s="1082">
        <f>C19*$J$10</f>
        <v>16430.68</v>
      </c>
      <c r="K19" s="1076">
        <f>J19/2</f>
        <v>8215.34</v>
      </c>
      <c r="L19" s="1088">
        <f>C19*$L$10</f>
        <v>16848.16</v>
      </c>
      <c r="M19" s="921">
        <f>L19/2</f>
        <v>8424.08</v>
      </c>
      <c r="N19" s="142"/>
    </row>
    <row r="20" spans="2:16" s="141" customFormat="1" ht="12.75" customHeight="1">
      <c r="B20" s="171" t="s">
        <v>124</v>
      </c>
      <c r="C20" s="172">
        <v>104000</v>
      </c>
      <c r="D20" s="192">
        <v>101000</v>
      </c>
      <c r="E20" s="193">
        <v>107000</v>
      </c>
      <c r="F20" s="249">
        <f t="shared" si="0"/>
        <v>10368.8</v>
      </c>
      <c r="G20" s="1069">
        <f t="shared" si="1"/>
        <v>5184.4</v>
      </c>
      <c r="H20" s="246">
        <f t="shared" si="2"/>
        <v>11980.8</v>
      </c>
      <c r="I20" s="926">
        <f t="shared" si="3"/>
        <v>5990.4</v>
      </c>
      <c r="J20" s="1083">
        <f aca="true" t="shared" si="4" ref="J20:J48">C20*$J$10</f>
        <v>17436.64</v>
      </c>
      <c r="K20" s="1077">
        <f aca="true" t="shared" si="5" ref="K20:K48">J20/2</f>
        <v>8718.32</v>
      </c>
      <c r="L20" s="1089">
        <f aca="true" t="shared" si="6" ref="L20:L48">C20*$L$10</f>
        <v>17879.68</v>
      </c>
      <c r="M20" s="922">
        <f aca="true" t="shared" si="7" ref="M20:M48">L20/2</f>
        <v>8939.84</v>
      </c>
      <c r="N20" s="148"/>
      <c r="P20" s="549"/>
    </row>
    <row r="21" spans="2:15" s="141" customFormat="1" ht="12.75" customHeight="1">
      <c r="B21" s="175" t="s">
        <v>125</v>
      </c>
      <c r="C21" s="176">
        <v>110000</v>
      </c>
      <c r="D21" s="184">
        <v>107000</v>
      </c>
      <c r="E21" s="185">
        <v>114000</v>
      </c>
      <c r="F21" s="248">
        <f t="shared" si="0"/>
        <v>10967</v>
      </c>
      <c r="G21" s="1068">
        <f t="shared" si="1"/>
        <v>5483.5</v>
      </c>
      <c r="H21" s="247">
        <f t="shared" si="2"/>
        <v>12672</v>
      </c>
      <c r="I21" s="925">
        <f t="shared" si="3"/>
        <v>6336</v>
      </c>
      <c r="J21" s="1084">
        <f t="shared" si="4"/>
        <v>18442.600000000002</v>
      </c>
      <c r="K21" s="1078">
        <f t="shared" si="5"/>
        <v>9221.300000000001</v>
      </c>
      <c r="L21" s="1090">
        <f t="shared" si="6"/>
        <v>18911.199999999997</v>
      </c>
      <c r="M21" s="923">
        <f t="shared" si="7"/>
        <v>9455.599999999999</v>
      </c>
      <c r="N21" s="148"/>
      <c r="O21" s="320"/>
    </row>
    <row r="22" spans="2:15" s="141" customFormat="1" ht="12.75" customHeight="1">
      <c r="B22" s="171" t="s">
        <v>126</v>
      </c>
      <c r="C22" s="172">
        <v>118000</v>
      </c>
      <c r="D22" s="192">
        <v>114000</v>
      </c>
      <c r="E22" s="193">
        <v>122000</v>
      </c>
      <c r="F22" s="249">
        <f t="shared" si="0"/>
        <v>11764.6</v>
      </c>
      <c r="G22" s="1069">
        <f t="shared" si="1"/>
        <v>5882.3</v>
      </c>
      <c r="H22" s="246">
        <f t="shared" si="2"/>
        <v>13593.6</v>
      </c>
      <c r="I22" s="926">
        <f t="shared" si="3"/>
        <v>6796.8</v>
      </c>
      <c r="J22" s="1083">
        <f t="shared" si="4"/>
        <v>19783.88</v>
      </c>
      <c r="K22" s="1077">
        <f t="shared" si="5"/>
        <v>9891.94</v>
      </c>
      <c r="L22" s="1089">
        <f t="shared" si="6"/>
        <v>20286.559999999998</v>
      </c>
      <c r="M22" s="922">
        <f t="shared" si="7"/>
        <v>10143.279999999999</v>
      </c>
      <c r="N22" s="148"/>
      <c r="O22" s="320"/>
    </row>
    <row r="23" spans="2:15" s="141" customFormat="1" ht="12.75" customHeight="1">
      <c r="B23" s="175" t="s">
        <v>127</v>
      </c>
      <c r="C23" s="176">
        <v>126000</v>
      </c>
      <c r="D23" s="184">
        <v>122000</v>
      </c>
      <c r="E23" s="185">
        <v>130000</v>
      </c>
      <c r="F23" s="248">
        <f t="shared" si="0"/>
        <v>12562.199999999999</v>
      </c>
      <c r="G23" s="1068">
        <f t="shared" si="1"/>
        <v>6281.099999999999</v>
      </c>
      <c r="H23" s="247">
        <f t="shared" si="2"/>
        <v>14515.199999999999</v>
      </c>
      <c r="I23" s="925">
        <f t="shared" si="3"/>
        <v>7257.599999999999</v>
      </c>
      <c r="J23" s="1084">
        <f t="shared" si="4"/>
        <v>21125.16</v>
      </c>
      <c r="K23" s="1078">
        <f t="shared" si="5"/>
        <v>10562.58</v>
      </c>
      <c r="L23" s="1090">
        <f t="shared" si="6"/>
        <v>21661.92</v>
      </c>
      <c r="M23" s="923">
        <f t="shared" si="7"/>
        <v>10830.96</v>
      </c>
      <c r="N23" s="148"/>
      <c r="O23" s="320"/>
    </row>
    <row r="24" spans="2:15" s="141" customFormat="1" ht="12.75" customHeight="1">
      <c r="B24" s="171" t="s">
        <v>128</v>
      </c>
      <c r="C24" s="196">
        <v>134000</v>
      </c>
      <c r="D24" s="197">
        <v>130000</v>
      </c>
      <c r="E24" s="198">
        <v>138000</v>
      </c>
      <c r="F24" s="250">
        <f t="shared" si="0"/>
        <v>13359.8</v>
      </c>
      <c r="G24" s="1070">
        <f t="shared" si="1"/>
        <v>6679.9</v>
      </c>
      <c r="H24" s="246">
        <f t="shared" si="2"/>
        <v>15436.8</v>
      </c>
      <c r="I24" s="926">
        <f t="shared" si="3"/>
        <v>7718.4</v>
      </c>
      <c r="J24" s="1083">
        <f t="shared" si="4"/>
        <v>22466.44</v>
      </c>
      <c r="K24" s="1077">
        <f t="shared" si="5"/>
        <v>11233.22</v>
      </c>
      <c r="L24" s="1089">
        <f t="shared" si="6"/>
        <v>23037.28</v>
      </c>
      <c r="M24" s="922">
        <f t="shared" si="7"/>
        <v>11518.64</v>
      </c>
      <c r="N24" s="148"/>
      <c r="O24" s="320"/>
    </row>
    <row r="25" spans="2:15" s="141" customFormat="1" ht="12.75" customHeight="1">
      <c r="B25" s="175" t="s">
        <v>129</v>
      </c>
      <c r="C25" s="199">
        <v>142000</v>
      </c>
      <c r="D25" s="202">
        <v>138000</v>
      </c>
      <c r="E25" s="203">
        <v>146000</v>
      </c>
      <c r="F25" s="251">
        <f t="shared" si="0"/>
        <v>14157.4</v>
      </c>
      <c r="G25" s="1071">
        <f t="shared" si="1"/>
        <v>7078.7</v>
      </c>
      <c r="H25" s="247">
        <f t="shared" si="2"/>
        <v>16358.4</v>
      </c>
      <c r="I25" s="925">
        <f t="shared" si="3"/>
        <v>8179.2</v>
      </c>
      <c r="J25" s="1084">
        <f t="shared" si="4"/>
        <v>23807.72</v>
      </c>
      <c r="K25" s="1078">
        <f t="shared" si="5"/>
        <v>11903.86</v>
      </c>
      <c r="L25" s="1090">
        <f t="shared" si="6"/>
        <v>24412.64</v>
      </c>
      <c r="M25" s="923">
        <f t="shared" si="7"/>
        <v>12206.32</v>
      </c>
      <c r="N25" s="148"/>
      <c r="O25" s="320"/>
    </row>
    <row r="26" spans="2:15" s="141" customFormat="1" ht="12.75" customHeight="1">
      <c r="B26" s="171" t="s">
        <v>130</v>
      </c>
      <c r="C26" s="196">
        <v>150000</v>
      </c>
      <c r="D26" s="207">
        <v>146000</v>
      </c>
      <c r="E26" s="198">
        <v>155000</v>
      </c>
      <c r="F26" s="250">
        <f t="shared" si="0"/>
        <v>14955</v>
      </c>
      <c r="G26" s="1070">
        <f t="shared" si="1"/>
        <v>7477.5</v>
      </c>
      <c r="H26" s="246">
        <f t="shared" si="2"/>
        <v>17280</v>
      </c>
      <c r="I26" s="926">
        <f t="shared" si="3"/>
        <v>8640</v>
      </c>
      <c r="J26" s="1083">
        <f t="shared" si="4"/>
        <v>25149</v>
      </c>
      <c r="K26" s="1077">
        <f t="shared" si="5"/>
        <v>12574.5</v>
      </c>
      <c r="L26" s="1089">
        <f t="shared" si="6"/>
        <v>25788</v>
      </c>
      <c r="M26" s="922">
        <f t="shared" si="7"/>
        <v>12894</v>
      </c>
      <c r="N26" s="148"/>
      <c r="O26" s="320"/>
    </row>
    <row r="27" spans="2:15" s="141" customFormat="1" ht="12.75" customHeight="1">
      <c r="B27" s="175" t="s">
        <v>131</v>
      </c>
      <c r="C27" s="199">
        <v>160000</v>
      </c>
      <c r="D27" s="202">
        <v>155000</v>
      </c>
      <c r="E27" s="203">
        <v>165000</v>
      </c>
      <c r="F27" s="251">
        <f t="shared" si="0"/>
        <v>15952</v>
      </c>
      <c r="G27" s="1071">
        <f t="shared" si="1"/>
        <v>7976</v>
      </c>
      <c r="H27" s="247">
        <f t="shared" si="2"/>
        <v>18432</v>
      </c>
      <c r="I27" s="925">
        <f t="shared" si="3"/>
        <v>9216</v>
      </c>
      <c r="J27" s="1084">
        <f t="shared" si="4"/>
        <v>26825.600000000002</v>
      </c>
      <c r="K27" s="1078">
        <f t="shared" si="5"/>
        <v>13412.800000000001</v>
      </c>
      <c r="L27" s="1090">
        <f t="shared" si="6"/>
        <v>27507.199999999997</v>
      </c>
      <c r="M27" s="923">
        <f t="shared" si="7"/>
        <v>13753.599999999999</v>
      </c>
      <c r="N27" s="148"/>
      <c r="O27" s="320"/>
    </row>
    <row r="28" spans="2:15" s="141" customFormat="1" ht="12.75" customHeight="1">
      <c r="B28" s="171" t="s">
        <v>132</v>
      </c>
      <c r="C28" s="196">
        <v>170000</v>
      </c>
      <c r="D28" s="207">
        <v>165000</v>
      </c>
      <c r="E28" s="198">
        <v>175000</v>
      </c>
      <c r="F28" s="250">
        <f t="shared" si="0"/>
        <v>16949</v>
      </c>
      <c r="G28" s="1070">
        <f t="shared" si="1"/>
        <v>8474.5</v>
      </c>
      <c r="H28" s="246">
        <f t="shared" si="2"/>
        <v>19584</v>
      </c>
      <c r="I28" s="926">
        <f t="shared" si="3"/>
        <v>9792</v>
      </c>
      <c r="J28" s="1083">
        <f t="shared" si="4"/>
        <v>28502.2</v>
      </c>
      <c r="K28" s="1077">
        <f t="shared" si="5"/>
        <v>14251.1</v>
      </c>
      <c r="L28" s="1089">
        <f t="shared" si="6"/>
        <v>29226.399999999998</v>
      </c>
      <c r="M28" s="922">
        <f t="shared" si="7"/>
        <v>14613.199999999999</v>
      </c>
      <c r="N28" s="148"/>
      <c r="O28" s="320"/>
    </row>
    <row r="29" spans="2:15" s="141" customFormat="1" ht="12.75" customHeight="1">
      <c r="B29" s="175" t="s">
        <v>133</v>
      </c>
      <c r="C29" s="199">
        <v>180000</v>
      </c>
      <c r="D29" s="202">
        <v>175000</v>
      </c>
      <c r="E29" s="203">
        <v>185000</v>
      </c>
      <c r="F29" s="251">
        <f t="shared" si="0"/>
        <v>17946</v>
      </c>
      <c r="G29" s="1071">
        <f t="shared" si="1"/>
        <v>8973</v>
      </c>
      <c r="H29" s="247">
        <f t="shared" si="2"/>
        <v>20736</v>
      </c>
      <c r="I29" s="925">
        <f t="shared" si="3"/>
        <v>10368</v>
      </c>
      <c r="J29" s="1084">
        <f t="shared" si="4"/>
        <v>30178.8</v>
      </c>
      <c r="K29" s="1078">
        <f t="shared" si="5"/>
        <v>15089.4</v>
      </c>
      <c r="L29" s="1090">
        <f t="shared" si="6"/>
        <v>30945.6</v>
      </c>
      <c r="M29" s="923">
        <f t="shared" si="7"/>
        <v>15472.8</v>
      </c>
      <c r="N29" s="148"/>
      <c r="O29" s="320"/>
    </row>
    <row r="30" spans="2:15" s="141" customFormat="1" ht="12.75" customHeight="1">
      <c r="B30" s="171" t="s">
        <v>134</v>
      </c>
      <c r="C30" s="196">
        <v>190000</v>
      </c>
      <c r="D30" s="207">
        <v>185000</v>
      </c>
      <c r="E30" s="198">
        <v>195000</v>
      </c>
      <c r="F30" s="250">
        <f t="shared" si="0"/>
        <v>18943</v>
      </c>
      <c r="G30" s="1070">
        <f t="shared" si="1"/>
        <v>9471.5</v>
      </c>
      <c r="H30" s="246">
        <f t="shared" si="2"/>
        <v>21888</v>
      </c>
      <c r="I30" s="926">
        <f t="shared" si="3"/>
        <v>10944</v>
      </c>
      <c r="J30" s="1083">
        <f t="shared" si="4"/>
        <v>31855.4</v>
      </c>
      <c r="K30" s="1077">
        <f t="shared" si="5"/>
        <v>15927.7</v>
      </c>
      <c r="L30" s="1089">
        <f t="shared" si="6"/>
        <v>32664.8</v>
      </c>
      <c r="M30" s="922">
        <f t="shared" si="7"/>
        <v>16332.4</v>
      </c>
      <c r="N30" s="148"/>
      <c r="O30" s="320"/>
    </row>
    <row r="31" spans="2:15" s="141" customFormat="1" ht="12.75" customHeight="1">
      <c r="B31" s="175" t="s">
        <v>135</v>
      </c>
      <c r="C31" s="199">
        <v>200000</v>
      </c>
      <c r="D31" s="202">
        <v>195000</v>
      </c>
      <c r="E31" s="203">
        <v>210000</v>
      </c>
      <c r="F31" s="251">
        <f t="shared" si="0"/>
        <v>19940</v>
      </c>
      <c r="G31" s="1071">
        <f t="shared" si="1"/>
        <v>9970</v>
      </c>
      <c r="H31" s="247">
        <f t="shared" si="2"/>
        <v>23040</v>
      </c>
      <c r="I31" s="925">
        <f t="shared" si="3"/>
        <v>11520</v>
      </c>
      <c r="J31" s="1084">
        <f t="shared" si="4"/>
        <v>33532</v>
      </c>
      <c r="K31" s="1078">
        <f t="shared" si="5"/>
        <v>16766</v>
      </c>
      <c r="L31" s="1090">
        <f t="shared" si="6"/>
        <v>34384</v>
      </c>
      <c r="M31" s="923">
        <f t="shared" si="7"/>
        <v>17192</v>
      </c>
      <c r="N31" s="148"/>
      <c r="O31" s="320"/>
    </row>
    <row r="32" spans="2:15" s="141" customFormat="1" ht="12.75" customHeight="1">
      <c r="B32" s="171" t="s">
        <v>136</v>
      </c>
      <c r="C32" s="196">
        <v>220000</v>
      </c>
      <c r="D32" s="207">
        <v>210000</v>
      </c>
      <c r="E32" s="198">
        <v>230000</v>
      </c>
      <c r="F32" s="250">
        <f t="shared" si="0"/>
        <v>21934</v>
      </c>
      <c r="G32" s="1070">
        <f t="shared" si="1"/>
        <v>10967</v>
      </c>
      <c r="H32" s="246">
        <f t="shared" si="2"/>
        <v>25344</v>
      </c>
      <c r="I32" s="926">
        <f t="shared" si="3"/>
        <v>12672</v>
      </c>
      <c r="J32" s="1083">
        <f t="shared" si="4"/>
        <v>36885.200000000004</v>
      </c>
      <c r="K32" s="1077">
        <f t="shared" si="5"/>
        <v>18442.600000000002</v>
      </c>
      <c r="L32" s="1089">
        <f t="shared" si="6"/>
        <v>37822.399999999994</v>
      </c>
      <c r="M32" s="922">
        <f t="shared" si="7"/>
        <v>18911.199999999997</v>
      </c>
      <c r="N32" s="148"/>
      <c r="O32" s="320"/>
    </row>
    <row r="33" spans="2:15" s="141" customFormat="1" ht="12.75" customHeight="1">
      <c r="B33" s="175" t="s">
        <v>137</v>
      </c>
      <c r="C33" s="199">
        <v>240000</v>
      </c>
      <c r="D33" s="202">
        <v>230000</v>
      </c>
      <c r="E33" s="203">
        <v>250000</v>
      </c>
      <c r="F33" s="251">
        <f t="shared" si="0"/>
        <v>23928</v>
      </c>
      <c r="G33" s="1071">
        <f t="shared" si="1"/>
        <v>11964</v>
      </c>
      <c r="H33" s="247">
        <f t="shared" si="2"/>
        <v>27648</v>
      </c>
      <c r="I33" s="925">
        <f t="shared" si="3"/>
        <v>13824</v>
      </c>
      <c r="J33" s="1084">
        <f t="shared" si="4"/>
        <v>40238.4</v>
      </c>
      <c r="K33" s="1078">
        <f t="shared" si="5"/>
        <v>20119.2</v>
      </c>
      <c r="L33" s="1090">
        <f t="shared" si="6"/>
        <v>41260.799999999996</v>
      </c>
      <c r="M33" s="923">
        <f t="shared" si="7"/>
        <v>20630.399999999998</v>
      </c>
      <c r="N33" s="148"/>
      <c r="O33" s="320"/>
    </row>
    <row r="34" spans="2:15" s="141" customFormat="1" ht="12.75" customHeight="1">
      <c r="B34" s="171" t="s">
        <v>138</v>
      </c>
      <c r="C34" s="196">
        <v>260000</v>
      </c>
      <c r="D34" s="207">
        <v>250000</v>
      </c>
      <c r="E34" s="198">
        <v>270000</v>
      </c>
      <c r="F34" s="250">
        <f t="shared" si="0"/>
        <v>25922</v>
      </c>
      <c r="G34" s="1070">
        <f t="shared" si="1"/>
        <v>12961</v>
      </c>
      <c r="H34" s="246">
        <f t="shared" si="2"/>
        <v>29952</v>
      </c>
      <c r="I34" s="926">
        <f t="shared" si="3"/>
        <v>14976</v>
      </c>
      <c r="J34" s="1083">
        <f t="shared" si="4"/>
        <v>43591.6</v>
      </c>
      <c r="K34" s="1077">
        <f t="shared" si="5"/>
        <v>21795.8</v>
      </c>
      <c r="L34" s="1089">
        <f t="shared" si="6"/>
        <v>44699.2</v>
      </c>
      <c r="M34" s="922">
        <f t="shared" si="7"/>
        <v>22349.6</v>
      </c>
      <c r="N34" s="148"/>
      <c r="O34" s="320"/>
    </row>
    <row r="35" spans="2:15" s="141" customFormat="1" ht="12.75" customHeight="1">
      <c r="B35" s="175" t="s">
        <v>139</v>
      </c>
      <c r="C35" s="199">
        <v>280000</v>
      </c>
      <c r="D35" s="202">
        <v>270000</v>
      </c>
      <c r="E35" s="203">
        <v>290000</v>
      </c>
      <c r="F35" s="251">
        <f t="shared" si="0"/>
        <v>27916</v>
      </c>
      <c r="G35" s="1071">
        <f t="shared" si="1"/>
        <v>13958</v>
      </c>
      <c r="H35" s="247">
        <f t="shared" si="2"/>
        <v>32256</v>
      </c>
      <c r="I35" s="925">
        <f t="shared" si="3"/>
        <v>16128</v>
      </c>
      <c r="J35" s="1084">
        <f t="shared" si="4"/>
        <v>46944.8</v>
      </c>
      <c r="K35" s="1078">
        <f t="shared" si="5"/>
        <v>23472.4</v>
      </c>
      <c r="L35" s="1090">
        <f t="shared" si="6"/>
        <v>48137.6</v>
      </c>
      <c r="M35" s="923">
        <f t="shared" si="7"/>
        <v>24068.8</v>
      </c>
      <c r="N35" s="148"/>
      <c r="O35" s="320"/>
    </row>
    <row r="36" spans="2:15" s="141" customFormat="1" ht="12.75" customHeight="1">
      <c r="B36" s="171" t="s">
        <v>140</v>
      </c>
      <c r="C36" s="196">
        <v>300000</v>
      </c>
      <c r="D36" s="207">
        <v>290000</v>
      </c>
      <c r="E36" s="198">
        <v>310000</v>
      </c>
      <c r="F36" s="250">
        <f t="shared" si="0"/>
        <v>29910</v>
      </c>
      <c r="G36" s="1070">
        <f t="shared" si="1"/>
        <v>14955</v>
      </c>
      <c r="H36" s="246">
        <f t="shared" si="2"/>
        <v>34560</v>
      </c>
      <c r="I36" s="926">
        <f t="shared" si="3"/>
        <v>17280</v>
      </c>
      <c r="J36" s="1083">
        <f t="shared" si="4"/>
        <v>50298</v>
      </c>
      <c r="K36" s="1077">
        <f t="shared" si="5"/>
        <v>25149</v>
      </c>
      <c r="L36" s="1089">
        <f t="shared" si="6"/>
        <v>51576</v>
      </c>
      <c r="M36" s="922">
        <f t="shared" si="7"/>
        <v>25788</v>
      </c>
      <c r="N36" s="148"/>
      <c r="O36" s="320"/>
    </row>
    <row r="37" spans="2:15" s="141" customFormat="1" ht="12.75" customHeight="1">
      <c r="B37" s="175" t="s">
        <v>141</v>
      </c>
      <c r="C37" s="199">
        <v>320000</v>
      </c>
      <c r="D37" s="202">
        <v>310000</v>
      </c>
      <c r="E37" s="203">
        <v>330000</v>
      </c>
      <c r="F37" s="251">
        <f t="shared" si="0"/>
        <v>31904</v>
      </c>
      <c r="G37" s="1071">
        <f t="shared" si="1"/>
        <v>15952</v>
      </c>
      <c r="H37" s="247">
        <f t="shared" si="2"/>
        <v>36864</v>
      </c>
      <c r="I37" s="925">
        <f t="shared" si="3"/>
        <v>18432</v>
      </c>
      <c r="J37" s="1084">
        <f t="shared" si="4"/>
        <v>53651.200000000004</v>
      </c>
      <c r="K37" s="1078">
        <f t="shared" si="5"/>
        <v>26825.600000000002</v>
      </c>
      <c r="L37" s="1090">
        <f t="shared" si="6"/>
        <v>55014.399999999994</v>
      </c>
      <c r="M37" s="923">
        <f t="shared" si="7"/>
        <v>27507.199999999997</v>
      </c>
      <c r="N37" s="148"/>
      <c r="O37" s="320"/>
    </row>
    <row r="38" spans="2:15" s="141" customFormat="1" ht="12.75" customHeight="1">
      <c r="B38" s="171" t="s">
        <v>142</v>
      </c>
      <c r="C38" s="196">
        <v>340000</v>
      </c>
      <c r="D38" s="207">
        <v>330000</v>
      </c>
      <c r="E38" s="198">
        <v>350000</v>
      </c>
      <c r="F38" s="250">
        <f t="shared" si="0"/>
        <v>33898</v>
      </c>
      <c r="G38" s="1070">
        <f t="shared" si="1"/>
        <v>16949</v>
      </c>
      <c r="H38" s="246">
        <f t="shared" si="2"/>
        <v>39168</v>
      </c>
      <c r="I38" s="926">
        <f t="shared" si="3"/>
        <v>19584</v>
      </c>
      <c r="J38" s="1083">
        <f t="shared" si="4"/>
        <v>57004.4</v>
      </c>
      <c r="K38" s="1077">
        <f t="shared" si="5"/>
        <v>28502.2</v>
      </c>
      <c r="L38" s="1089">
        <f t="shared" si="6"/>
        <v>58452.799999999996</v>
      </c>
      <c r="M38" s="922">
        <f t="shared" si="7"/>
        <v>29226.399999999998</v>
      </c>
      <c r="N38" s="148"/>
      <c r="O38" s="320"/>
    </row>
    <row r="39" spans="2:15" s="141" customFormat="1" ht="12.75" customHeight="1">
      <c r="B39" s="175" t="s">
        <v>143</v>
      </c>
      <c r="C39" s="199">
        <v>360000</v>
      </c>
      <c r="D39" s="202">
        <v>350000</v>
      </c>
      <c r="E39" s="203">
        <v>370000</v>
      </c>
      <c r="F39" s="251">
        <f t="shared" si="0"/>
        <v>35892</v>
      </c>
      <c r="G39" s="1071">
        <f t="shared" si="1"/>
        <v>17946</v>
      </c>
      <c r="H39" s="247">
        <f t="shared" si="2"/>
        <v>41472</v>
      </c>
      <c r="I39" s="925">
        <f t="shared" si="3"/>
        <v>20736</v>
      </c>
      <c r="J39" s="1084">
        <f t="shared" si="4"/>
        <v>60357.6</v>
      </c>
      <c r="K39" s="1078">
        <f t="shared" si="5"/>
        <v>30178.8</v>
      </c>
      <c r="L39" s="1090">
        <f t="shared" si="6"/>
        <v>61891.2</v>
      </c>
      <c r="M39" s="923">
        <f t="shared" si="7"/>
        <v>30945.6</v>
      </c>
      <c r="N39" s="148"/>
      <c r="O39" s="320"/>
    </row>
    <row r="40" spans="2:15" s="141" customFormat="1" ht="12.75" customHeight="1">
      <c r="B40" s="171" t="s">
        <v>144</v>
      </c>
      <c r="C40" s="196">
        <v>380000</v>
      </c>
      <c r="D40" s="207">
        <v>370000</v>
      </c>
      <c r="E40" s="198">
        <v>395000</v>
      </c>
      <c r="F40" s="250">
        <f t="shared" si="0"/>
        <v>37886</v>
      </c>
      <c r="G40" s="1070">
        <f t="shared" si="1"/>
        <v>18943</v>
      </c>
      <c r="H40" s="246">
        <f t="shared" si="2"/>
        <v>43776</v>
      </c>
      <c r="I40" s="926">
        <f t="shared" si="3"/>
        <v>21888</v>
      </c>
      <c r="J40" s="1083">
        <f t="shared" si="4"/>
        <v>63710.8</v>
      </c>
      <c r="K40" s="1077">
        <f t="shared" si="5"/>
        <v>31855.4</v>
      </c>
      <c r="L40" s="1089">
        <f t="shared" si="6"/>
        <v>65329.6</v>
      </c>
      <c r="M40" s="922">
        <f t="shared" si="7"/>
        <v>32664.8</v>
      </c>
      <c r="N40" s="148"/>
      <c r="O40" s="320"/>
    </row>
    <row r="41" spans="2:15" s="141" customFormat="1" ht="12.75" customHeight="1">
      <c r="B41" s="175" t="s">
        <v>145</v>
      </c>
      <c r="C41" s="199">
        <v>410000</v>
      </c>
      <c r="D41" s="202">
        <v>395000</v>
      </c>
      <c r="E41" s="203">
        <v>425000</v>
      </c>
      <c r="F41" s="251">
        <f t="shared" si="0"/>
        <v>40877</v>
      </c>
      <c r="G41" s="1071">
        <f t="shared" si="1"/>
        <v>20438.5</v>
      </c>
      <c r="H41" s="247">
        <f t="shared" si="2"/>
        <v>47232</v>
      </c>
      <c r="I41" s="925">
        <f t="shared" si="3"/>
        <v>23616</v>
      </c>
      <c r="J41" s="1084">
        <f t="shared" si="4"/>
        <v>68740.6</v>
      </c>
      <c r="K41" s="1078">
        <f t="shared" si="5"/>
        <v>34370.3</v>
      </c>
      <c r="L41" s="1090">
        <f t="shared" si="6"/>
        <v>70487.2</v>
      </c>
      <c r="M41" s="923">
        <f t="shared" si="7"/>
        <v>35243.6</v>
      </c>
      <c r="N41" s="148"/>
      <c r="O41" s="320"/>
    </row>
    <row r="42" spans="2:15" s="141" customFormat="1" ht="12.75" customHeight="1">
      <c r="B42" s="171" t="s">
        <v>146</v>
      </c>
      <c r="C42" s="196">
        <v>440000</v>
      </c>
      <c r="D42" s="207">
        <v>425000</v>
      </c>
      <c r="E42" s="198">
        <v>455000</v>
      </c>
      <c r="F42" s="250">
        <f t="shared" si="0"/>
        <v>43868</v>
      </c>
      <c r="G42" s="1070">
        <f t="shared" si="1"/>
        <v>21934</v>
      </c>
      <c r="H42" s="246">
        <f t="shared" si="2"/>
        <v>50688</v>
      </c>
      <c r="I42" s="926">
        <f t="shared" si="3"/>
        <v>25344</v>
      </c>
      <c r="J42" s="1083">
        <f t="shared" si="4"/>
        <v>73770.40000000001</v>
      </c>
      <c r="K42" s="1077">
        <f t="shared" si="5"/>
        <v>36885.200000000004</v>
      </c>
      <c r="L42" s="1089">
        <f t="shared" si="6"/>
        <v>75644.79999999999</v>
      </c>
      <c r="M42" s="922">
        <f t="shared" si="7"/>
        <v>37822.399999999994</v>
      </c>
      <c r="N42" s="148"/>
      <c r="O42" s="321"/>
    </row>
    <row r="43" spans="2:15" s="141" customFormat="1" ht="12.75" customHeight="1">
      <c r="B43" s="175" t="s">
        <v>147</v>
      </c>
      <c r="C43" s="199">
        <v>470000</v>
      </c>
      <c r="D43" s="202">
        <v>455000</v>
      </c>
      <c r="E43" s="203">
        <v>485000</v>
      </c>
      <c r="F43" s="251">
        <f t="shared" si="0"/>
        <v>46859</v>
      </c>
      <c r="G43" s="1071">
        <f t="shared" si="1"/>
        <v>23429.5</v>
      </c>
      <c r="H43" s="247">
        <f t="shared" si="2"/>
        <v>54144</v>
      </c>
      <c r="I43" s="925">
        <f t="shared" si="3"/>
        <v>27072</v>
      </c>
      <c r="J43" s="1084">
        <f t="shared" si="4"/>
        <v>78800.2</v>
      </c>
      <c r="K43" s="1078">
        <f t="shared" si="5"/>
        <v>39400.1</v>
      </c>
      <c r="L43" s="1090">
        <f t="shared" si="6"/>
        <v>80802.4</v>
      </c>
      <c r="M43" s="923">
        <f t="shared" si="7"/>
        <v>40401.2</v>
      </c>
      <c r="N43" s="148"/>
      <c r="O43" s="319"/>
    </row>
    <row r="44" spans="2:15" s="141" customFormat="1" ht="12.75" customHeight="1">
      <c r="B44" s="171" t="s">
        <v>148</v>
      </c>
      <c r="C44" s="196">
        <v>500000</v>
      </c>
      <c r="D44" s="207">
        <v>485000</v>
      </c>
      <c r="E44" s="198">
        <v>515000</v>
      </c>
      <c r="F44" s="250">
        <f t="shared" si="0"/>
        <v>49850</v>
      </c>
      <c r="G44" s="1070">
        <f t="shared" si="1"/>
        <v>24925</v>
      </c>
      <c r="H44" s="246">
        <f t="shared" si="2"/>
        <v>57600</v>
      </c>
      <c r="I44" s="926">
        <f t="shared" si="3"/>
        <v>28800</v>
      </c>
      <c r="J44" s="1083">
        <f t="shared" si="4"/>
        <v>83830</v>
      </c>
      <c r="K44" s="1077">
        <f t="shared" si="5"/>
        <v>41915</v>
      </c>
      <c r="L44" s="1089">
        <f t="shared" si="6"/>
        <v>85960</v>
      </c>
      <c r="M44" s="922">
        <f t="shared" si="7"/>
        <v>42980</v>
      </c>
      <c r="N44" s="148"/>
      <c r="O44" s="319"/>
    </row>
    <row r="45" spans="2:15" s="141" customFormat="1" ht="12.75" customHeight="1">
      <c r="B45" s="175" t="s">
        <v>149</v>
      </c>
      <c r="C45" s="199">
        <v>530000</v>
      </c>
      <c r="D45" s="202">
        <v>515000</v>
      </c>
      <c r="E45" s="203">
        <v>545000</v>
      </c>
      <c r="F45" s="251">
        <f t="shared" si="0"/>
        <v>52841</v>
      </c>
      <c r="G45" s="1071">
        <f t="shared" si="1"/>
        <v>26420.5</v>
      </c>
      <c r="H45" s="247">
        <f t="shared" si="2"/>
        <v>61056</v>
      </c>
      <c r="I45" s="925">
        <f t="shared" si="3"/>
        <v>30528</v>
      </c>
      <c r="J45" s="1084">
        <f t="shared" si="4"/>
        <v>88859.8</v>
      </c>
      <c r="K45" s="1078">
        <f t="shared" si="5"/>
        <v>44429.9</v>
      </c>
      <c r="L45" s="1090">
        <f t="shared" si="6"/>
        <v>91117.59999999999</v>
      </c>
      <c r="M45" s="923">
        <f t="shared" si="7"/>
        <v>45558.799999999996</v>
      </c>
      <c r="N45" s="148"/>
      <c r="O45" s="319"/>
    </row>
    <row r="46" spans="2:15" s="141" customFormat="1" ht="12.75" customHeight="1">
      <c r="B46" s="171" t="s">
        <v>150</v>
      </c>
      <c r="C46" s="196">
        <v>560000</v>
      </c>
      <c r="D46" s="207">
        <v>545000</v>
      </c>
      <c r="E46" s="198">
        <v>575000</v>
      </c>
      <c r="F46" s="250">
        <f t="shared" si="0"/>
        <v>55832</v>
      </c>
      <c r="G46" s="1070">
        <f t="shared" si="1"/>
        <v>27916</v>
      </c>
      <c r="H46" s="246">
        <f t="shared" si="2"/>
        <v>64512</v>
      </c>
      <c r="I46" s="926">
        <f t="shared" si="3"/>
        <v>32256</v>
      </c>
      <c r="J46" s="1083">
        <f t="shared" si="4"/>
        <v>93889.6</v>
      </c>
      <c r="K46" s="1077">
        <f t="shared" si="5"/>
        <v>46944.8</v>
      </c>
      <c r="L46" s="1089">
        <f t="shared" si="6"/>
        <v>96275.2</v>
      </c>
      <c r="M46" s="922">
        <f t="shared" si="7"/>
        <v>48137.6</v>
      </c>
      <c r="N46" s="148"/>
      <c r="O46" s="319"/>
    </row>
    <row r="47" spans="2:15" s="141" customFormat="1" ht="12.75" customHeight="1">
      <c r="B47" s="175" t="s">
        <v>151</v>
      </c>
      <c r="C47" s="199">
        <v>590000</v>
      </c>
      <c r="D47" s="202">
        <v>575000</v>
      </c>
      <c r="E47" s="203">
        <v>605000</v>
      </c>
      <c r="F47" s="251">
        <f t="shared" si="0"/>
        <v>58823</v>
      </c>
      <c r="G47" s="1071">
        <f t="shared" si="1"/>
        <v>29411.5</v>
      </c>
      <c r="H47" s="247">
        <f t="shared" si="2"/>
        <v>67968</v>
      </c>
      <c r="I47" s="925">
        <f t="shared" si="3"/>
        <v>33984</v>
      </c>
      <c r="J47" s="1084">
        <f t="shared" si="4"/>
        <v>98919.40000000001</v>
      </c>
      <c r="K47" s="1078">
        <f t="shared" si="5"/>
        <v>49459.700000000004</v>
      </c>
      <c r="L47" s="1090">
        <f t="shared" si="6"/>
        <v>101432.79999999999</v>
      </c>
      <c r="M47" s="923">
        <f t="shared" si="7"/>
        <v>50716.399999999994</v>
      </c>
      <c r="N47" s="148"/>
      <c r="O47" s="319"/>
    </row>
    <row r="48" spans="2:15" s="141" customFormat="1" ht="12.75" customHeight="1" thickBot="1">
      <c r="B48" s="171" t="s">
        <v>152</v>
      </c>
      <c r="C48" s="196">
        <v>620000</v>
      </c>
      <c r="D48" s="207">
        <v>605000</v>
      </c>
      <c r="E48" s="198">
        <v>635000</v>
      </c>
      <c r="F48" s="250">
        <f t="shared" si="0"/>
        <v>61814</v>
      </c>
      <c r="G48" s="1070">
        <f t="shared" si="1"/>
        <v>30907</v>
      </c>
      <c r="H48" s="246">
        <f t="shared" si="2"/>
        <v>71424</v>
      </c>
      <c r="I48" s="926">
        <f t="shared" si="3"/>
        <v>35712</v>
      </c>
      <c r="J48" s="1085">
        <f t="shared" si="4"/>
        <v>103949.2</v>
      </c>
      <c r="K48" s="1079">
        <f t="shared" si="5"/>
        <v>51974.6</v>
      </c>
      <c r="L48" s="1091">
        <f t="shared" si="6"/>
        <v>106590.4</v>
      </c>
      <c r="M48" s="924">
        <f t="shared" si="7"/>
        <v>53295.2</v>
      </c>
      <c r="N48" s="148"/>
      <c r="O48" s="319"/>
    </row>
    <row r="49" spans="2:15" s="141" customFormat="1" ht="12.75" customHeight="1" thickTop="1">
      <c r="B49" s="212">
        <v>35</v>
      </c>
      <c r="C49" s="199">
        <v>650000</v>
      </c>
      <c r="D49" s="202">
        <v>635000</v>
      </c>
      <c r="E49" s="203">
        <v>665000</v>
      </c>
      <c r="F49" s="251">
        <f t="shared" si="0"/>
        <v>64805</v>
      </c>
      <c r="G49" s="1071">
        <f t="shared" si="1"/>
        <v>32402.5</v>
      </c>
      <c r="H49" s="247">
        <f t="shared" si="2"/>
        <v>74880</v>
      </c>
      <c r="I49" s="925">
        <f t="shared" si="3"/>
        <v>37440</v>
      </c>
      <c r="J49" s="1485" t="s">
        <v>153</v>
      </c>
      <c r="K49" s="1486"/>
      <c r="L49" s="1486"/>
      <c r="M49" s="1486"/>
      <c r="N49" s="170"/>
      <c r="O49" s="320"/>
    </row>
    <row r="50" spans="2:15" s="141" customFormat="1" ht="12.75" customHeight="1">
      <c r="B50" s="214">
        <v>36</v>
      </c>
      <c r="C50" s="196">
        <v>680000</v>
      </c>
      <c r="D50" s="207">
        <v>665000</v>
      </c>
      <c r="E50" s="198">
        <v>695000</v>
      </c>
      <c r="F50" s="250">
        <f t="shared" si="0"/>
        <v>67796</v>
      </c>
      <c r="G50" s="1070">
        <f t="shared" si="1"/>
        <v>33898</v>
      </c>
      <c r="H50" s="246">
        <f t="shared" si="2"/>
        <v>78336</v>
      </c>
      <c r="I50" s="926">
        <f t="shared" si="3"/>
        <v>39168</v>
      </c>
      <c r="J50" s="1487"/>
      <c r="K50" s="1487"/>
      <c r="L50" s="1487"/>
      <c r="M50" s="1487"/>
      <c r="N50" s="170"/>
      <c r="O50" s="320"/>
    </row>
    <row r="51" spans="2:15" s="141" customFormat="1" ht="12.75" customHeight="1">
      <c r="B51" s="212">
        <v>37</v>
      </c>
      <c r="C51" s="199">
        <v>710000</v>
      </c>
      <c r="D51" s="202">
        <v>695000</v>
      </c>
      <c r="E51" s="203">
        <v>730000</v>
      </c>
      <c r="F51" s="251">
        <f t="shared" si="0"/>
        <v>70787</v>
      </c>
      <c r="G51" s="1071">
        <f t="shared" si="1"/>
        <v>35393.5</v>
      </c>
      <c r="H51" s="247">
        <f t="shared" si="2"/>
        <v>81792</v>
      </c>
      <c r="I51" s="925">
        <f t="shared" si="3"/>
        <v>40896</v>
      </c>
      <c r="J51" s="1487"/>
      <c r="K51" s="1487"/>
      <c r="L51" s="1487"/>
      <c r="M51" s="1487"/>
      <c r="N51" s="170"/>
      <c r="O51" s="320"/>
    </row>
    <row r="52" spans="2:15" s="141" customFormat="1" ht="12.75" customHeight="1">
      <c r="B52" s="214">
        <v>38</v>
      </c>
      <c r="C52" s="196">
        <v>750000</v>
      </c>
      <c r="D52" s="207">
        <v>730000</v>
      </c>
      <c r="E52" s="198">
        <v>770000</v>
      </c>
      <c r="F52" s="250">
        <f t="shared" si="0"/>
        <v>74775</v>
      </c>
      <c r="G52" s="1070">
        <f t="shared" si="1"/>
        <v>37387.5</v>
      </c>
      <c r="H52" s="246">
        <f t="shared" si="2"/>
        <v>86400</v>
      </c>
      <c r="I52" s="926">
        <f t="shared" si="3"/>
        <v>43200</v>
      </c>
      <c r="J52" s="1487"/>
      <c r="K52" s="1487"/>
      <c r="L52" s="1487"/>
      <c r="M52" s="1487"/>
      <c r="N52" s="170"/>
      <c r="O52" s="320"/>
    </row>
    <row r="53" spans="2:15" s="141" customFormat="1" ht="12.75" customHeight="1">
      <c r="B53" s="212">
        <v>39</v>
      </c>
      <c r="C53" s="199">
        <v>790000</v>
      </c>
      <c r="D53" s="202">
        <v>770000</v>
      </c>
      <c r="E53" s="203">
        <v>810000</v>
      </c>
      <c r="F53" s="251">
        <f t="shared" si="0"/>
        <v>78763</v>
      </c>
      <c r="G53" s="1071">
        <f t="shared" si="1"/>
        <v>39381.5</v>
      </c>
      <c r="H53" s="247">
        <f t="shared" si="2"/>
        <v>91008</v>
      </c>
      <c r="I53" s="925">
        <f t="shared" si="3"/>
        <v>45504</v>
      </c>
      <c r="J53" s="1487"/>
      <c r="K53" s="1487"/>
      <c r="L53" s="1487"/>
      <c r="M53" s="1487"/>
      <c r="N53" s="170"/>
      <c r="O53" s="320"/>
    </row>
    <row r="54" spans="2:15" s="141" customFormat="1" ht="12.75" customHeight="1">
      <c r="B54" s="214">
        <v>40</v>
      </c>
      <c r="C54" s="196">
        <v>830000</v>
      </c>
      <c r="D54" s="207">
        <v>810000</v>
      </c>
      <c r="E54" s="198">
        <v>855000</v>
      </c>
      <c r="F54" s="250">
        <f t="shared" si="0"/>
        <v>82751</v>
      </c>
      <c r="G54" s="1070">
        <f t="shared" si="1"/>
        <v>41375.5</v>
      </c>
      <c r="H54" s="246">
        <f t="shared" si="2"/>
        <v>95616</v>
      </c>
      <c r="I54" s="926">
        <f t="shared" si="3"/>
        <v>47808</v>
      </c>
      <c r="J54" s="1487"/>
      <c r="K54" s="1487"/>
      <c r="L54" s="1487"/>
      <c r="M54" s="1487"/>
      <c r="N54" s="170"/>
      <c r="O54" s="320"/>
    </row>
    <row r="55" spans="2:15" s="141" customFormat="1" ht="12.75" customHeight="1">
      <c r="B55" s="212">
        <v>41</v>
      </c>
      <c r="C55" s="161">
        <v>880000</v>
      </c>
      <c r="D55" s="217">
        <v>855000</v>
      </c>
      <c r="E55" s="218">
        <v>905000</v>
      </c>
      <c r="F55" s="252">
        <f t="shared" si="0"/>
        <v>87736</v>
      </c>
      <c r="G55" s="1072">
        <f t="shared" si="1"/>
        <v>43868</v>
      </c>
      <c r="H55" s="247">
        <f t="shared" si="2"/>
        <v>101376</v>
      </c>
      <c r="I55" s="925">
        <f t="shared" si="3"/>
        <v>50688</v>
      </c>
      <c r="J55" s="1487"/>
      <c r="K55" s="1487"/>
      <c r="L55" s="1487"/>
      <c r="M55" s="1487"/>
      <c r="N55" s="170"/>
      <c r="O55" s="320"/>
    </row>
    <row r="56" spans="2:15" s="141" customFormat="1" ht="21" customHeight="1">
      <c r="B56" s="214">
        <v>42</v>
      </c>
      <c r="C56" s="172">
        <v>930000</v>
      </c>
      <c r="D56" s="192">
        <v>905000</v>
      </c>
      <c r="E56" s="193">
        <v>955000</v>
      </c>
      <c r="F56" s="249">
        <f t="shared" si="0"/>
        <v>92721</v>
      </c>
      <c r="G56" s="1069">
        <f t="shared" si="1"/>
        <v>46360.5</v>
      </c>
      <c r="H56" s="246">
        <f t="shared" si="2"/>
        <v>107136</v>
      </c>
      <c r="I56" s="926">
        <f t="shared" si="3"/>
        <v>53568</v>
      </c>
      <c r="J56" s="1487"/>
      <c r="K56" s="1487"/>
      <c r="L56" s="1487"/>
      <c r="M56" s="1487"/>
      <c r="N56" s="170"/>
      <c r="O56" s="320"/>
    </row>
    <row r="57" spans="2:34" s="141" customFormat="1" ht="12.75" customHeight="1">
      <c r="B57" s="222">
        <v>43</v>
      </c>
      <c r="C57" s="176">
        <v>980000</v>
      </c>
      <c r="D57" s="184">
        <v>955000</v>
      </c>
      <c r="E57" s="185">
        <v>1005000</v>
      </c>
      <c r="F57" s="248">
        <f t="shared" si="0"/>
        <v>97706</v>
      </c>
      <c r="G57" s="1068">
        <f t="shared" si="1"/>
        <v>48853</v>
      </c>
      <c r="H57" s="247">
        <f t="shared" si="2"/>
        <v>112896</v>
      </c>
      <c r="I57" s="925">
        <f t="shared" si="3"/>
        <v>56448</v>
      </c>
      <c r="J57" s="1487"/>
      <c r="K57" s="1487"/>
      <c r="L57" s="1487"/>
      <c r="M57" s="1487"/>
      <c r="N57" s="148"/>
      <c r="O57" s="320"/>
      <c r="P57" s="142"/>
      <c r="Q57" s="142"/>
      <c r="R57" s="142"/>
      <c r="S57" s="142"/>
      <c r="T57" s="142"/>
      <c r="U57" s="142"/>
      <c r="V57" s="142"/>
      <c r="W57" s="142"/>
      <c r="X57" s="142"/>
      <c r="Y57" s="142"/>
      <c r="Z57" s="142"/>
      <c r="AA57" s="142"/>
      <c r="AB57" s="142"/>
      <c r="AC57" s="142"/>
      <c r="AD57" s="142"/>
      <c r="AE57" s="142"/>
      <c r="AF57" s="142"/>
      <c r="AG57" s="142"/>
      <c r="AH57" s="142"/>
    </row>
    <row r="58" spans="2:34" s="141" customFormat="1" ht="12.75" customHeight="1">
      <c r="B58" s="224">
        <v>44</v>
      </c>
      <c r="C58" s="174">
        <v>1030000</v>
      </c>
      <c r="D58" s="192">
        <v>1005000</v>
      </c>
      <c r="E58" s="173">
        <v>1055000</v>
      </c>
      <c r="F58" s="249">
        <f t="shared" si="0"/>
        <v>102691</v>
      </c>
      <c r="G58" s="1069">
        <f t="shared" si="1"/>
        <v>51345.5</v>
      </c>
      <c r="H58" s="246">
        <f t="shared" si="2"/>
        <v>118656</v>
      </c>
      <c r="I58" s="926">
        <f t="shared" si="3"/>
        <v>59328</v>
      </c>
      <c r="J58" s="1487"/>
      <c r="K58" s="1487"/>
      <c r="L58" s="1487"/>
      <c r="M58" s="1487"/>
      <c r="N58" s="148"/>
      <c r="O58" s="320"/>
      <c r="P58" s="142"/>
      <c r="Q58" s="142"/>
      <c r="R58" s="142"/>
      <c r="S58" s="142"/>
      <c r="T58" s="142"/>
      <c r="U58" s="142"/>
      <c r="V58" s="142"/>
      <c r="W58" s="142"/>
      <c r="X58" s="142"/>
      <c r="Y58" s="142"/>
      <c r="Z58" s="142"/>
      <c r="AA58" s="142"/>
      <c r="AB58" s="142"/>
      <c r="AC58" s="142"/>
      <c r="AD58" s="142"/>
      <c r="AE58" s="142"/>
      <c r="AF58" s="142"/>
      <c r="AG58" s="142"/>
      <c r="AH58" s="142"/>
    </row>
    <row r="59" spans="2:34" s="141" customFormat="1" ht="12.75" customHeight="1">
      <c r="B59" s="225">
        <v>45</v>
      </c>
      <c r="C59" s="179">
        <v>1090000</v>
      </c>
      <c r="D59" s="184">
        <v>1055000</v>
      </c>
      <c r="E59" s="178">
        <v>1115000</v>
      </c>
      <c r="F59" s="248">
        <f t="shared" si="0"/>
        <v>108673</v>
      </c>
      <c r="G59" s="1068">
        <f t="shared" si="1"/>
        <v>54336.5</v>
      </c>
      <c r="H59" s="247">
        <f t="shared" si="2"/>
        <v>125568</v>
      </c>
      <c r="I59" s="925">
        <f t="shared" si="3"/>
        <v>62784</v>
      </c>
      <c r="J59" s="1487"/>
      <c r="K59" s="1487"/>
      <c r="L59" s="1487"/>
      <c r="M59" s="1487"/>
      <c r="N59" s="148"/>
      <c r="O59" s="320"/>
      <c r="P59" s="142"/>
      <c r="Q59" s="142"/>
      <c r="R59" s="142"/>
      <c r="S59" s="142"/>
      <c r="T59" s="142"/>
      <c r="U59" s="142"/>
      <c r="V59" s="142"/>
      <c r="W59" s="142"/>
      <c r="X59" s="142"/>
      <c r="Y59" s="142"/>
      <c r="Z59" s="142"/>
      <c r="AA59" s="142"/>
      <c r="AB59" s="142"/>
      <c r="AC59" s="142"/>
      <c r="AD59" s="142"/>
      <c r="AE59" s="142"/>
      <c r="AF59" s="142"/>
      <c r="AG59" s="142"/>
      <c r="AH59" s="142"/>
    </row>
    <row r="60" spans="2:34" s="141" customFormat="1" ht="12.75" customHeight="1">
      <c r="B60" s="224">
        <v>46</v>
      </c>
      <c r="C60" s="174">
        <v>1150000</v>
      </c>
      <c r="D60" s="192">
        <v>1115000</v>
      </c>
      <c r="E60" s="173">
        <v>1175000</v>
      </c>
      <c r="F60" s="249">
        <f t="shared" si="0"/>
        <v>114655</v>
      </c>
      <c r="G60" s="1069">
        <f t="shared" si="1"/>
        <v>57327.5</v>
      </c>
      <c r="H60" s="246">
        <f t="shared" si="2"/>
        <v>132480</v>
      </c>
      <c r="I60" s="926">
        <f t="shared" si="3"/>
        <v>66240</v>
      </c>
      <c r="J60" s="1487"/>
      <c r="K60" s="1487"/>
      <c r="L60" s="1487"/>
      <c r="M60" s="1487"/>
      <c r="N60" s="148"/>
      <c r="O60" s="320"/>
      <c r="P60" s="142"/>
      <c r="Q60" s="142"/>
      <c r="R60" s="142"/>
      <c r="S60" s="142"/>
      <c r="T60" s="142"/>
      <c r="U60" s="142"/>
      <c r="V60" s="142"/>
      <c r="W60" s="142"/>
      <c r="X60" s="142"/>
      <c r="Y60" s="142"/>
      <c r="Z60" s="142"/>
      <c r="AA60" s="142"/>
      <c r="AB60" s="142"/>
      <c r="AC60" s="142"/>
      <c r="AD60" s="142"/>
      <c r="AE60" s="142"/>
      <c r="AF60" s="142"/>
      <c r="AG60" s="142"/>
      <c r="AH60" s="142"/>
    </row>
    <row r="61" spans="2:34" s="141" customFormat="1" ht="12.75" customHeight="1" thickBot="1">
      <c r="B61" s="226">
        <v>47</v>
      </c>
      <c r="C61" s="227">
        <v>1210000</v>
      </c>
      <c r="D61" s="1063">
        <v>1175000</v>
      </c>
      <c r="E61" s="231"/>
      <c r="F61" s="253">
        <f t="shared" si="0"/>
        <v>120637</v>
      </c>
      <c r="G61" s="1073">
        <f t="shared" si="1"/>
        <v>60318.5</v>
      </c>
      <c r="H61" s="261">
        <f t="shared" si="2"/>
        <v>139392</v>
      </c>
      <c r="I61" s="927">
        <f t="shared" si="3"/>
        <v>69696</v>
      </c>
      <c r="J61" s="1487"/>
      <c r="K61" s="1487"/>
      <c r="L61" s="1487"/>
      <c r="M61" s="1487"/>
      <c r="N61" s="148"/>
      <c r="O61" s="320"/>
      <c r="P61" s="142"/>
      <c r="Q61" s="142"/>
      <c r="R61" s="142"/>
      <c r="S61" s="142"/>
      <c r="T61" s="142"/>
      <c r="U61" s="142"/>
      <c r="V61" s="142"/>
      <c r="W61" s="142"/>
      <c r="X61" s="142"/>
      <c r="Y61" s="142"/>
      <c r="Z61" s="142"/>
      <c r="AA61" s="142"/>
      <c r="AB61" s="142"/>
      <c r="AC61" s="142"/>
      <c r="AD61" s="142"/>
      <c r="AE61" s="142"/>
      <c r="AF61" s="142"/>
      <c r="AG61" s="142"/>
      <c r="AH61" s="142"/>
    </row>
    <row r="62" spans="2:15" s="141" customFormat="1" ht="12" customHeight="1" thickTop="1">
      <c r="B62" s="234"/>
      <c r="C62" s="234"/>
      <c r="D62" s="234"/>
      <c r="E62" s="234"/>
      <c r="F62" s="234"/>
      <c r="G62" s="234"/>
      <c r="H62" s="234"/>
      <c r="I62" s="234"/>
      <c r="J62" s="234"/>
      <c r="K62" s="234"/>
      <c r="L62" s="234"/>
      <c r="M62" s="234"/>
      <c r="N62" s="234"/>
      <c r="O62" s="320"/>
    </row>
    <row r="63" spans="1:15" s="141" customFormat="1" ht="12.75" customHeight="1">
      <c r="A63" s="1470">
        <f>F10</f>
        <v>0.0997</v>
      </c>
      <c r="B63" s="1470"/>
      <c r="C63" s="1470"/>
      <c r="D63" s="1470"/>
      <c r="E63" s="1470"/>
      <c r="F63" s="1470"/>
      <c r="G63" s="1470"/>
      <c r="H63" s="1470"/>
      <c r="I63" s="1470"/>
      <c r="J63" s="1470"/>
      <c r="K63" s="1470"/>
      <c r="L63" s="1470"/>
      <c r="M63" s="1470"/>
      <c r="N63" s="1470"/>
      <c r="O63" s="319"/>
    </row>
    <row r="64" spans="1:15" s="141" customFormat="1" ht="12" customHeight="1">
      <c r="A64" s="235"/>
      <c r="B64" s="236" t="s">
        <v>46</v>
      </c>
      <c r="C64" s="236"/>
      <c r="D64" s="236"/>
      <c r="E64" s="236"/>
      <c r="F64" s="236"/>
      <c r="G64" s="236"/>
      <c r="H64" s="236"/>
      <c r="I64" s="236"/>
      <c r="J64" s="236"/>
      <c r="K64" s="236"/>
      <c r="L64" s="236"/>
      <c r="M64" s="236"/>
      <c r="N64" s="236"/>
      <c r="O64" s="319"/>
    </row>
    <row r="65" spans="1:15" s="141" customFormat="1" ht="12.75" customHeight="1">
      <c r="A65" s="1465" t="s">
        <v>154</v>
      </c>
      <c r="B65" s="1465"/>
      <c r="C65" s="1465"/>
      <c r="D65" s="1465"/>
      <c r="E65" s="1465"/>
      <c r="F65" s="1465"/>
      <c r="G65" s="1465"/>
      <c r="H65" s="1465"/>
      <c r="I65" s="1465"/>
      <c r="J65" s="1465"/>
      <c r="K65" s="1465"/>
      <c r="L65" s="1465"/>
      <c r="M65" s="1465"/>
      <c r="N65" s="236"/>
      <c r="O65" s="319"/>
    </row>
    <row r="66" spans="1:15" s="141" customFormat="1" ht="12.75" customHeight="1">
      <c r="A66" s="1471" t="s">
        <v>155</v>
      </c>
      <c r="B66" s="1471"/>
      <c r="C66" s="1471"/>
      <c r="D66" s="1471"/>
      <c r="E66" s="1471"/>
      <c r="F66" s="1471"/>
      <c r="G66" s="1471"/>
      <c r="H66" s="1471"/>
      <c r="I66" s="1471"/>
      <c r="J66" s="1471"/>
      <c r="K66" s="1471"/>
      <c r="L66" s="1471"/>
      <c r="M66" s="1471"/>
      <c r="N66" s="236"/>
      <c r="O66" s="319"/>
    </row>
    <row r="67" spans="1:15" s="141" customFormat="1" ht="12.75" customHeight="1">
      <c r="A67" s="1472" t="s">
        <v>156</v>
      </c>
      <c r="B67" s="1473"/>
      <c r="C67" s="1473"/>
      <c r="D67" s="1473"/>
      <c r="E67" s="1473"/>
      <c r="F67" s="1473"/>
      <c r="G67" s="1473"/>
      <c r="H67" s="1473"/>
      <c r="I67" s="1473"/>
      <c r="J67" s="1473"/>
      <c r="K67" s="1473"/>
      <c r="L67" s="1473"/>
      <c r="M67" s="1473"/>
      <c r="N67" s="236"/>
      <c r="O67" s="319"/>
    </row>
    <row r="68" spans="1:15" s="141" customFormat="1" ht="13.5" customHeight="1">
      <c r="A68" s="235"/>
      <c r="B68" s="236" t="s">
        <v>46</v>
      </c>
      <c r="C68" s="236"/>
      <c r="D68" s="236"/>
      <c r="E68" s="236"/>
      <c r="F68" s="236"/>
      <c r="G68" s="236"/>
      <c r="H68" s="236"/>
      <c r="I68" s="236"/>
      <c r="J68" s="236"/>
      <c r="K68" s="236"/>
      <c r="L68" s="236"/>
      <c r="M68" s="236"/>
      <c r="N68" s="236"/>
      <c r="O68" s="319"/>
    </row>
    <row r="69" spans="1:15" s="141" customFormat="1" ht="12.75" customHeight="1">
      <c r="A69" s="1465" t="s">
        <v>157</v>
      </c>
      <c r="B69" s="1465"/>
      <c r="C69" s="1465"/>
      <c r="D69" s="1465"/>
      <c r="E69" s="1465"/>
      <c r="F69" s="1465"/>
      <c r="G69" s="1465"/>
      <c r="H69" s="1465"/>
      <c r="I69" s="1465"/>
      <c r="J69" s="1465"/>
      <c r="K69" s="1465"/>
      <c r="L69" s="1465"/>
      <c r="M69" s="1465"/>
      <c r="N69" s="236"/>
      <c r="O69" s="319"/>
    </row>
    <row r="70" spans="1:15" s="141" customFormat="1" ht="14.25" customHeight="1">
      <c r="A70" s="235"/>
      <c r="B70" s="236"/>
      <c r="C70" s="236"/>
      <c r="D70" s="236"/>
      <c r="E70" s="236"/>
      <c r="F70" s="236"/>
      <c r="G70" s="236"/>
      <c r="H70" s="236"/>
      <c r="I70" s="236"/>
      <c r="J70" s="236"/>
      <c r="K70" s="236"/>
      <c r="L70" s="236"/>
      <c r="M70" s="236"/>
      <c r="N70" s="236"/>
      <c r="O70" s="319"/>
    </row>
    <row r="71" spans="1:15" s="141" customFormat="1" ht="12.75" customHeight="1">
      <c r="A71" s="1465" t="s">
        <v>158</v>
      </c>
      <c r="B71" s="1474"/>
      <c r="C71" s="1474"/>
      <c r="D71" s="1474"/>
      <c r="E71" s="1474"/>
      <c r="F71" s="1474"/>
      <c r="G71" s="1474"/>
      <c r="H71" s="1474"/>
      <c r="I71" s="1474"/>
      <c r="J71" s="237"/>
      <c r="K71" s="237"/>
      <c r="L71" s="237"/>
      <c r="M71" s="237"/>
      <c r="N71" s="235"/>
      <c r="O71" s="319"/>
    </row>
    <row r="72" spans="1:15" s="141" customFormat="1" ht="12.75" customHeight="1">
      <c r="A72" s="1466" t="s">
        <v>159</v>
      </c>
      <c r="B72" s="1466"/>
      <c r="C72" s="1466"/>
      <c r="D72" s="1466"/>
      <c r="E72" s="1466"/>
      <c r="F72" s="1466"/>
      <c r="G72" s="1466"/>
      <c r="H72" s="1466"/>
      <c r="I72" s="1466"/>
      <c r="J72" s="1466"/>
      <c r="K72" s="1466"/>
      <c r="L72" s="1467"/>
      <c r="M72" s="1467"/>
      <c r="O72" s="319"/>
    </row>
    <row r="73" spans="1:15" s="141" customFormat="1" ht="12.75" customHeight="1">
      <c r="A73" s="1466" t="s">
        <v>160</v>
      </c>
      <c r="B73" s="1466"/>
      <c r="C73" s="1466"/>
      <c r="D73" s="1466"/>
      <c r="E73" s="1466"/>
      <c r="F73" s="1466"/>
      <c r="G73" s="1466"/>
      <c r="H73" s="1466"/>
      <c r="I73" s="1466"/>
      <c r="J73" s="1466"/>
      <c r="K73" s="1466"/>
      <c r="L73" s="1467"/>
      <c r="M73" s="1467"/>
      <c r="O73" s="319"/>
    </row>
    <row r="74" spans="1:15" s="141" customFormat="1" ht="12.75" customHeight="1">
      <c r="A74" s="1466" t="s">
        <v>161</v>
      </c>
      <c r="B74" s="1466"/>
      <c r="C74" s="1466"/>
      <c r="D74" s="1466"/>
      <c r="E74" s="1466"/>
      <c r="F74" s="1466"/>
      <c r="G74" s="1466"/>
      <c r="H74" s="1466"/>
      <c r="I74" s="1466"/>
      <c r="J74" s="1466"/>
      <c r="K74" s="1466"/>
      <c r="L74" s="1467"/>
      <c r="M74" s="1467"/>
      <c r="O74" s="319"/>
    </row>
    <row r="75" spans="1:15" s="141" customFormat="1" ht="15" customHeight="1">
      <c r="A75" s="1464"/>
      <c r="B75" s="1464"/>
      <c r="C75" s="1464"/>
      <c r="D75" s="1464"/>
      <c r="E75" s="1464"/>
      <c r="F75" s="1464"/>
      <c r="G75" s="1464"/>
      <c r="H75" s="1464"/>
      <c r="I75" s="1464"/>
      <c r="J75" s="238"/>
      <c r="K75" s="238"/>
      <c r="L75" s="238"/>
      <c r="M75" s="238"/>
      <c r="O75" s="319"/>
    </row>
    <row r="76" spans="1:15" s="141" customFormat="1" ht="12.75" customHeight="1">
      <c r="A76" s="1465" t="s">
        <v>162</v>
      </c>
      <c r="B76" s="1465"/>
      <c r="C76" s="1465"/>
      <c r="D76" s="1465"/>
      <c r="E76" s="1465"/>
      <c r="F76" s="1465"/>
      <c r="G76" s="1465"/>
      <c r="H76" s="1465"/>
      <c r="I76" s="1465"/>
      <c r="J76" s="1465"/>
      <c r="K76" s="1465"/>
      <c r="L76" s="1465"/>
      <c r="M76" s="1465"/>
      <c r="O76" s="319"/>
    </row>
    <row r="77" spans="1:15" s="141" customFormat="1" ht="12.75" customHeight="1">
      <c r="A77" s="1468" t="s">
        <v>163</v>
      </c>
      <c r="B77" s="1468"/>
      <c r="C77" s="1468"/>
      <c r="D77" s="1468"/>
      <c r="E77" s="1468"/>
      <c r="F77" s="1468"/>
      <c r="G77" s="1468"/>
      <c r="H77" s="1468"/>
      <c r="I77" s="1468"/>
      <c r="J77" s="1468"/>
      <c r="K77" s="1468"/>
      <c r="L77" s="1469"/>
      <c r="M77" s="1469"/>
      <c r="O77" s="319"/>
    </row>
    <row r="78" spans="1:15" s="141" customFormat="1" ht="3.75" customHeight="1">
      <c r="A78" s="238"/>
      <c r="B78" s="238"/>
      <c r="C78" s="238"/>
      <c r="D78" s="238"/>
      <c r="E78" s="238"/>
      <c r="F78" s="238"/>
      <c r="G78" s="238"/>
      <c r="H78" s="238"/>
      <c r="I78" s="238"/>
      <c r="J78" s="238"/>
      <c r="K78" s="238"/>
      <c r="L78" s="238"/>
      <c r="M78" s="238"/>
      <c r="O78" s="319"/>
    </row>
    <row r="79" spans="1:15" s="141" customFormat="1" ht="12.75" customHeight="1">
      <c r="A79" s="1465" t="s">
        <v>164</v>
      </c>
      <c r="B79" s="1465"/>
      <c r="C79" s="1465"/>
      <c r="D79" s="1465"/>
      <c r="E79" s="1465"/>
      <c r="F79" s="1465"/>
      <c r="G79" s="1465"/>
      <c r="H79" s="1465"/>
      <c r="I79" s="1465"/>
      <c r="J79" s="238"/>
      <c r="K79" s="238"/>
      <c r="L79" s="238"/>
      <c r="M79" s="238"/>
      <c r="O79" s="319"/>
    </row>
    <row r="80" spans="1:15" s="141" customFormat="1" ht="12.75" customHeight="1">
      <c r="A80" s="1466" t="s">
        <v>165</v>
      </c>
      <c r="B80" s="1466"/>
      <c r="C80" s="1466"/>
      <c r="D80" s="1466"/>
      <c r="E80" s="1466"/>
      <c r="F80" s="1466"/>
      <c r="G80" s="1466"/>
      <c r="H80" s="1466"/>
      <c r="I80" s="1466"/>
      <c r="J80" s="1466"/>
      <c r="K80" s="1466"/>
      <c r="L80" s="1467"/>
      <c r="M80" s="238"/>
      <c r="O80" s="319"/>
    </row>
    <row r="81" spans="1:15" s="141" customFormat="1" ht="12.75" customHeight="1">
      <c r="A81" s="1468" t="s">
        <v>166</v>
      </c>
      <c r="B81" s="1469"/>
      <c r="C81" s="1469"/>
      <c r="D81" s="1469"/>
      <c r="E81" s="1469"/>
      <c r="F81" s="1469"/>
      <c r="G81" s="1469"/>
      <c r="H81" s="1469"/>
      <c r="I81" s="1469"/>
      <c r="J81" s="1469"/>
      <c r="K81" s="1469"/>
      <c r="L81" s="1469"/>
      <c r="M81" s="1469"/>
      <c r="O81" s="319"/>
    </row>
    <row r="82" spans="1:15" s="141" customFormat="1" ht="3" customHeight="1">
      <c r="A82" s="238"/>
      <c r="B82" s="238"/>
      <c r="C82" s="238"/>
      <c r="D82" s="238"/>
      <c r="E82" s="238"/>
      <c r="F82" s="238"/>
      <c r="G82" s="238"/>
      <c r="H82" s="238"/>
      <c r="I82" s="238"/>
      <c r="J82" s="238"/>
      <c r="K82" s="238"/>
      <c r="L82" s="238"/>
      <c r="M82" s="238"/>
      <c r="O82" s="319"/>
    </row>
    <row r="83" spans="1:15" s="141" customFormat="1" ht="12" customHeight="1">
      <c r="A83" s="1465" t="s">
        <v>167</v>
      </c>
      <c r="B83" s="1465"/>
      <c r="C83" s="1465"/>
      <c r="D83" s="1465"/>
      <c r="E83" s="1465"/>
      <c r="F83" s="1465"/>
      <c r="G83" s="1465"/>
      <c r="H83" s="1465"/>
      <c r="I83" s="1465"/>
      <c r="J83" s="1465"/>
      <c r="K83" s="1465"/>
      <c r="L83" s="1465"/>
      <c r="M83" s="238"/>
      <c r="O83" s="319"/>
    </row>
    <row r="84" spans="1:15" s="141" customFormat="1" ht="12" customHeight="1">
      <c r="A84" s="1468" t="s">
        <v>168</v>
      </c>
      <c r="B84" s="1468"/>
      <c r="C84" s="1468"/>
      <c r="D84" s="1468"/>
      <c r="E84" s="1468"/>
      <c r="F84" s="1468"/>
      <c r="G84" s="1468"/>
      <c r="H84" s="1468"/>
      <c r="I84" s="1468"/>
      <c r="J84" s="1468"/>
      <c r="K84" s="1468"/>
      <c r="L84" s="1468"/>
      <c r="M84" s="1468"/>
      <c r="O84" s="319"/>
    </row>
    <row r="85" spans="1:15" s="141" customFormat="1" ht="12" customHeight="1">
      <c r="A85" s="1466" t="s">
        <v>169</v>
      </c>
      <c r="B85" s="1466"/>
      <c r="C85" s="1466"/>
      <c r="D85" s="1466"/>
      <c r="E85" s="1466"/>
      <c r="F85" s="1466"/>
      <c r="G85" s="1466"/>
      <c r="H85" s="1466"/>
      <c r="I85" s="1466"/>
      <c r="J85" s="1466"/>
      <c r="K85" s="1466"/>
      <c r="L85" s="1466"/>
      <c r="M85" s="1466"/>
      <c r="O85" s="319"/>
    </row>
    <row r="86" spans="1:15" s="141" customFormat="1" ht="2.25" customHeight="1">
      <c r="A86" s="1464"/>
      <c r="B86" s="1464"/>
      <c r="C86" s="1464"/>
      <c r="D86" s="1464"/>
      <c r="E86" s="1464"/>
      <c r="F86" s="1464"/>
      <c r="G86" s="1464"/>
      <c r="H86" s="1464"/>
      <c r="I86" s="1464"/>
      <c r="J86" s="238"/>
      <c r="K86" s="238"/>
      <c r="L86" s="238"/>
      <c r="M86" s="238"/>
      <c r="O86" s="319"/>
    </row>
    <row r="87" spans="3:15" s="141" customFormat="1" ht="14.25">
      <c r="C87" s="239"/>
      <c r="H87" s="240"/>
      <c r="I87" s="240"/>
      <c r="J87" s="240"/>
      <c r="K87" s="240"/>
      <c r="L87" s="240"/>
      <c r="M87" s="240"/>
      <c r="O87" s="319"/>
    </row>
    <row r="88" spans="3:15" s="141" customFormat="1" ht="14.25">
      <c r="C88" s="239"/>
      <c r="H88" s="240"/>
      <c r="I88" s="240"/>
      <c r="J88" s="240"/>
      <c r="K88" s="240"/>
      <c r="L88" s="240"/>
      <c r="M88" s="240"/>
      <c r="O88" s="319"/>
    </row>
    <row r="89" spans="3:15" s="141" customFormat="1" ht="14.25">
      <c r="C89" s="239"/>
      <c r="H89" s="240"/>
      <c r="I89" s="240"/>
      <c r="J89" s="240"/>
      <c r="K89" s="240"/>
      <c r="L89" s="240"/>
      <c r="M89" s="240"/>
      <c r="O89" s="319"/>
    </row>
    <row r="90" spans="3:15" s="141" customFormat="1" ht="14.25">
      <c r="C90" s="239"/>
      <c r="H90" s="240"/>
      <c r="I90" s="240"/>
      <c r="J90" s="240"/>
      <c r="K90" s="240"/>
      <c r="L90" s="240"/>
      <c r="M90" s="240"/>
      <c r="O90" s="319"/>
    </row>
    <row r="91" spans="3:15" s="141" customFormat="1" ht="14.25">
      <c r="C91" s="239"/>
      <c r="H91" s="240"/>
      <c r="I91" s="240"/>
      <c r="J91" s="240"/>
      <c r="K91" s="240"/>
      <c r="L91" s="240"/>
      <c r="M91" s="240"/>
      <c r="O91" s="319"/>
    </row>
    <row r="92" spans="3:15" s="141" customFormat="1" ht="14.25">
      <c r="C92" s="239"/>
      <c r="H92" s="240"/>
      <c r="I92" s="240"/>
      <c r="J92" s="240"/>
      <c r="K92" s="240"/>
      <c r="L92" s="240"/>
      <c r="M92" s="240"/>
      <c r="O92" s="319"/>
    </row>
    <row r="93" spans="3:15" s="141" customFormat="1" ht="14.25">
      <c r="C93" s="239"/>
      <c r="H93" s="240"/>
      <c r="I93" s="240"/>
      <c r="J93" s="240"/>
      <c r="K93" s="240"/>
      <c r="L93" s="240"/>
      <c r="M93" s="240"/>
      <c r="O93" s="319"/>
    </row>
    <row r="94" spans="3:15" s="141" customFormat="1" ht="14.25">
      <c r="C94" s="239"/>
      <c r="H94" s="240"/>
      <c r="I94" s="240"/>
      <c r="J94" s="240"/>
      <c r="K94" s="240"/>
      <c r="L94" s="240"/>
      <c r="M94" s="240"/>
      <c r="O94" s="319"/>
    </row>
    <row r="95" spans="3:15" s="141" customFormat="1" ht="14.25">
      <c r="C95" s="239"/>
      <c r="H95" s="240"/>
      <c r="I95" s="240"/>
      <c r="J95" s="240"/>
      <c r="K95" s="240"/>
      <c r="L95" s="240"/>
      <c r="M95" s="240"/>
      <c r="O95" s="319"/>
    </row>
    <row r="96" spans="3:15" s="141" customFormat="1" ht="14.25">
      <c r="C96" s="239"/>
      <c r="H96" s="240"/>
      <c r="I96" s="240"/>
      <c r="J96" s="240"/>
      <c r="K96" s="240"/>
      <c r="L96" s="240"/>
      <c r="M96" s="240"/>
      <c r="O96" s="319"/>
    </row>
    <row r="97" spans="3:15" s="141" customFormat="1" ht="14.25">
      <c r="C97" s="239"/>
      <c r="H97" s="240"/>
      <c r="I97" s="240"/>
      <c r="J97" s="240"/>
      <c r="K97" s="240"/>
      <c r="L97" s="240"/>
      <c r="M97" s="240"/>
      <c r="O97" s="319"/>
    </row>
    <row r="98" spans="3:15" s="141" customFormat="1" ht="14.25">
      <c r="C98" s="239"/>
      <c r="H98" s="240"/>
      <c r="I98" s="240"/>
      <c r="J98" s="240"/>
      <c r="K98" s="240"/>
      <c r="L98" s="240"/>
      <c r="M98" s="240"/>
      <c r="O98" s="319"/>
    </row>
    <row r="99" spans="3:15" s="141" customFormat="1" ht="14.25">
      <c r="C99" s="239"/>
      <c r="H99" s="240"/>
      <c r="I99" s="240"/>
      <c r="J99" s="240"/>
      <c r="K99" s="240"/>
      <c r="L99" s="240"/>
      <c r="M99" s="240"/>
      <c r="O99" s="319"/>
    </row>
    <row r="100" spans="3:15" s="141" customFormat="1" ht="14.25">
      <c r="C100" s="239"/>
      <c r="H100" s="240"/>
      <c r="I100" s="240"/>
      <c r="J100" s="240"/>
      <c r="K100" s="240"/>
      <c r="L100" s="240"/>
      <c r="M100" s="240"/>
      <c r="O100" s="319"/>
    </row>
    <row r="101" spans="3:15" s="141" customFormat="1" ht="14.25">
      <c r="C101" s="239"/>
      <c r="H101" s="240"/>
      <c r="I101" s="240"/>
      <c r="J101" s="240"/>
      <c r="K101" s="240"/>
      <c r="L101" s="240"/>
      <c r="M101" s="240"/>
      <c r="O101" s="319"/>
    </row>
    <row r="102" spans="3:15" s="141" customFormat="1" ht="14.25">
      <c r="C102" s="239"/>
      <c r="H102" s="240"/>
      <c r="I102" s="240"/>
      <c r="J102" s="240"/>
      <c r="K102" s="240"/>
      <c r="L102" s="240"/>
      <c r="M102" s="240"/>
      <c r="O102" s="319"/>
    </row>
    <row r="103" spans="3:15" s="141" customFormat="1" ht="14.25">
      <c r="C103" s="239"/>
      <c r="H103" s="240"/>
      <c r="I103" s="240"/>
      <c r="J103" s="240"/>
      <c r="K103" s="240"/>
      <c r="L103" s="240"/>
      <c r="M103" s="240"/>
      <c r="O103" s="319"/>
    </row>
    <row r="104" spans="3:15" s="141" customFormat="1" ht="14.25">
      <c r="C104" s="239"/>
      <c r="H104" s="240"/>
      <c r="I104" s="240"/>
      <c r="J104" s="240"/>
      <c r="K104" s="240"/>
      <c r="L104" s="240"/>
      <c r="M104" s="240"/>
      <c r="O104" s="319"/>
    </row>
    <row r="105" spans="3:15" s="141" customFormat="1" ht="14.25">
      <c r="C105" s="239"/>
      <c r="H105" s="240"/>
      <c r="I105" s="240"/>
      <c r="J105" s="240"/>
      <c r="K105" s="240"/>
      <c r="L105" s="240"/>
      <c r="M105" s="240"/>
      <c r="O105" s="319"/>
    </row>
    <row r="106" spans="3:15" s="141" customFormat="1" ht="14.25">
      <c r="C106" s="239"/>
      <c r="H106" s="240"/>
      <c r="I106" s="240"/>
      <c r="J106" s="240"/>
      <c r="K106" s="240"/>
      <c r="L106" s="240"/>
      <c r="M106" s="240"/>
      <c r="O106" s="319"/>
    </row>
    <row r="107" spans="3:15" s="141" customFormat="1" ht="14.25">
      <c r="C107" s="239"/>
      <c r="H107" s="240"/>
      <c r="I107" s="240"/>
      <c r="J107" s="240"/>
      <c r="K107" s="240"/>
      <c r="L107" s="240"/>
      <c r="M107" s="240"/>
      <c r="O107" s="319"/>
    </row>
    <row r="108" spans="3:15" s="141" customFormat="1" ht="14.25">
      <c r="C108" s="239"/>
      <c r="H108" s="240"/>
      <c r="I108" s="240"/>
      <c r="J108" s="240"/>
      <c r="K108" s="240"/>
      <c r="L108" s="240"/>
      <c r="M108" s="240"/>
      <c r="O108" s="319"/>
    </row>
    <row r="109" spans="3:15" s="141" customFormat="1" ht="14.25">
      <c r="C109" s="239"/>
      <c r="H109" s="240"/>
      <c r="I109" s="240"/>
      <c r="J109" s="240"/>
      <c r="K109" s="240"/>
      <c r="L109" s="240"/>
      <c r="M109" s="240"/>
      <c r="O109" s="319"/>
    </row>
    <row r="110" spans="3:15" s="141" customFormat="1" ht="14.25">
      <c r="C110" s="239"/>
      <c r="H110" s="240"/>
      <c r="I110" s="240"/>
      <c r="J110" s="240"/>
      <c r="K110" s="240"/>
      <c r="L110" s="240"/>
      <c r="M110" s="240"/>
      <c r="O110" s="319"/>
    </row>
    <row r="111" spans="3:15" s="141" customFormat="1" ht="14.25">
      <c r="C111" s="239"/>
      <c r="H111" s="240"/>
      <c r="I111" s="240"/>
      <c r="J111" s="240"/>
      <c r="K111" s="240"/>
      <c r="L111" s="240"/>
      <c r="M111" s="240"/>
      <c r="O111" s="319"/>
    </row>
    <row r="112" spans="3:15" s="141" customFormat="1" ht="14.25">
      <c r="C112" s="239"/>
      <c r="H112" s="240"/>
      <c r="I112" s="240"/>
      <c r="J112" s="240"/>
      <c r="K112" s="240"/>
      <c r="L112" s="240"/>
      <c r="M112" s="240"/>
      <c r="O112" s="319"/>
    </row>
    <row r="113" spans="3:15" s="141" customFormat="1" ht="14.25">
      <c r="C113" s="239"/>
      <c r="H113" s="240"/>
      <c r="I113" s="240"/>
      <c r="J113" s="240"/>
      <c r="K113" s="240"/>
      <c r="L113" s="240"/>
      <c r="M113" s="240"/>
      <c r="O113" s="319"/>
    </row>
    <row r="114" spans="3:15" s="141" customFormat="1" ht="14.25">
      <c r="C114" s="239"/>
      <c r="H114" s="240"/>
      <c r="I114" s="240"/>
      <c r="J114" s="240"/>
      <c r="K114" s="240"/>
      <c r="L114" s="240"/>
      <c r="M114" s="240"/>
      <c r="O114" s="319"/>
    </row>
    <row r="115" spans="3:15" s="141" customFormat="1" ht="14.25">
      <c r="C115" s="239"/>
      <c r="H115" s="240"/>
      <c r="I115" s="240"/>
      <c r="J115" s="240"/>
      <c r="K115" s="240"/>
      <c r="L115" s="240"/>
      <c r="M115" s="240"/>
      <c r="O115" s="319"/>
    </row>
    <row r="116" spans="3:15" s="141" customFormat="1" ht="14.25">
      <c r="C116" s="239"/>
      <c r="H116" s="240"/>
      <c r="I116" s="240"/>
      <c r="J116" s="240"/>
      <c r="K116" s="240"/>
      <c r="L116" s="240"/>
      <c r="M116" s="240"/>
      <c r="O116" s="319"/>
    </row>
    <row r="117" spans="3:15" s="141" customFormat="1" ht="14.25">
      <c r="C117" s="239"/>
      <c r="H117" s="240"/>
      <c r="I117" s="240"/>
      <c r="J117" s="240"/>
      <c r="K117" s="240"/>
      <c r="L117" s="240"/>
      <c r="M117" s="240"/>
      <c r="O117" s="319"/>
    </row>
    <row r="118" spans="3:15" s="141" customFormat="1" ht="14.25">
      <c r="C118" s="239"/>
      <c r="H118" s="240"/>
      <c r="I118" s="240"/>
      <c r="J118" s="240"/>
      <c r="K118" s="240"/>
      <c r="L118" s="240"/>
      <c r="M118" s="240"/>
      <c r="O118" s="319"/>
    </row>
    <row r="119" spans="3:15" s="141" customFormat="1" ht="14.25">
      <c r="C119" s="239"/>
      <c r="H119" s="240"/>
      <c r="I119" s="240"/>
      <c r="J119" s="240"/>
      <c r="K119" s="240"/>
      <c r="L119" s="240"/>
      <c r="M119" s="240"/>
      <c r="O119" s="319"/>
    </row>
    <row r="120" spans="3:15" s="141" customFormat="1" ht="14.25">
      <c r="C120" s="239"/>
      <c r="H120" s="240"/>
      <c r="I120" s="240"/>
      <c r="J120" s="240"/>
      <c r="K120" s="240"/>
      <c r="L120" s="240"/>
      <c r="M120" s="240"/>
      <c r="O120" s="319"/>
    </row>
    <row r="121" spans="3:15" s="141" customFormat="1" ht="14.25">
      <c r="C121" s="239"/>
      <c r="H121" s="240"/>
      <c r="I121" s="240"/>
      <c r="J121" s="240"/>
      <c r="K121" s="240"/>
      <c r="L121" s="240"/>
      <c r="M121" s="240"/>
      <c r="O121" s="319"/>
    </row>
    <row r="122" spans="3:15" s="141" customFormat="1" ht="14.25">
      <c r="C122" s="239"/>
      <c r="H122" s="240"/>
      <c r="I122" s="240"/>
      <c r="J122" s="240"/>
      <c r="K122" s="240"/>
      <c r="L122" s="240"/>
      <c r="M122" s="240"/>
      <c r="O122" s="319"/>
    </row>
    <row r="123" spans="3:15" s="141" customFormat="1" ht="14.25">
      <c r="C123" s="239"/>
      <c r="H123" s="240"/>
      <c r="I123" s="240"/>
      <c r="J123" s="240"/>
      <c r="K123" s="240"/>
      <c r="L123" s="240"/>
      <c r="M123" s="240"/>
      <c r="O123" s="319"/>
    </row>
    <row r="124" spans="3:15" s="141" customFormat="1" ht="14.25">
      <c r="C124" s="239"/>
      <c r="H124" s="240"/>
      <c r="I124" s="240"/>
      <c r="J124" s="240"/>
      <c r="K124" s="240"/>
      <c r="L124" s="240"/>
      <c r="M124" s="240"/>
      <c r="O124" s="319"/>
    </row>
    <row r="125" spans="3:15" s="141" customFormat="1" ht="14.25">
      <c r="C125" s="239"/>
      <c r="H125" s="240"/>
      <c r="I125" s="240"/>
      <c r="J125" s="240"/>
      <c r="K125" s="240"/>
      <c r="L125" s="240"/>
      <c r="M125" s="240"/>
      <c r="O125" s="319"/>
    </row>
    <row r="126" spans="3:15" s="141" customFormat="1" ht="14.25">
      <c r="C126" s="239"/>
      <c r="H126" s="240"/>
      <c r="I126" s="240"/>
      <c r="J126" s="240"/>
      <c r="K126" s="240"/>
      <c r="L126" s="240"/>
      <c r="M126" s="240"/>
      <c r="O126" s="319"/>
    </row>
    <row r="127" spans="3:15" s="141" customFormat="1" ht="14.25">
      <c r="C127" s="239"/>
      <c r="H127" s="240"/>
      <c r="I127" s="240"/>
      <c r="J127" s="240"/>
      <c r="K127" s="240"/>
      <c r="L127" s="240"/>
      <c r="M127" s="240"/>
      <c r="O127" s="319"/>
    </row>
    <row r="128" spans="3:15" s="141" customFormat="1" ht="14.25">
      <c r="C128" s="239"/>
      <c r="H128" s="240"/>
      <c r="I128" s="240"/>
      <c r="J128" s="240"/>
      <c r="K128" s="240"/>
      <c r="L128" s="240"/>
      <c r="M128" s="240"/>
      <c r="O128" s="319"/>
    </row>
    <row r="129" spans="3:15" s="141" customFormat="1" ht="14.25">
      <c r="C129" s="239"/>
      <c r="H129" s="240"/>
      <c r="I129" s="240"/>
      <c r="J129" s="240"/>
      <c r="K129" s="240"/>
      <c r="L129" s="240"/>
      <c r="M129" s="240"/>
      <c r="O129" s="319"/>
    </row>
    <row r="130" spans="3:15" s="141" customFormat="1" ht="14.25">
      <c r="C130" s="239"/>
      <c r="H130" s="240"/>
      <c r="I130" s="240"/>
      <c r="J130" s="240"/>
      <c r="K130" s="240"/>
      <c r="L130" s="240"/>
      <c r="M130" s="240"/>
      <c r="O130" s="319"/>
    </row>
    <row r="131" spans="3:15" s="141" customFormat="1" ht="14.25">
      <c r="C131" s="239"/>
      <c r="H131" s="240"/>
      <c r="I131" s="240"/>
      <c r="J131" s="240"/>
      <c r="K131" s="240"/>
      <c r="L131" s="240"/>
      <c r="M131" s="240"/>
      <c r="O131" s="319"/>
    </row>
    <row r="132" spans="3:15" s="141" customFormat="1" ht="14.25">
      <c r="C132" s="239"/>
      <c r="H132" s="240"/>
      <c r="I132" s="240"/>
      <c r="J132" s="240"/>
      <c r="K132" s="240"/>
      <c r="L132" s="240"/>
      <c r="M132" s="240"/>
      <c r="O132" s="319"/>
    </row>
    <row r="133" spans="3:15" s="141" customFormat="1" ht="14.25">
      <c r="C133" s="239"/>
      <c r="H133" s="240"/>
      <c r="I133" s="240"/>
      <c r="J133" s="240"/>
      <c r="K133" s="240"/>
      <c r="L133" s="240"/>
      <c r="M133" s="240"/>
      <c r="O133" s="319"/>
    </row>
    <row r="134" spans="3:15" s="141" customFormat="1" ht="14.25">
      <c r="C134" s="239"/>
      <c r="H134" s="240"/>
      <c r="I134" s="240"/>
      <c r="J134" s="240"/>
      <c r="K134" s="240"/>
      <c r="L134" s="240"/>
      <c r="M134" s="240"/>
      <c r="O134" s="319"/>
    </row>
    <row r="135" spans="3:15" s="141" customFormat="1" ht="14.25">
      <c r="C135" s="239"/>
      <c r="H135" s="240"/>
      <c r="I135" s="240"/>
      <c r="J135" s="240"/>
      <c r="K135" s="240"/>
      <c r="L135" s="240"/>
      <c r="M135" s="240"/>
      <c r="O135" s="319"/>
    </row>
    <row r="136" spans="2:14" ht="14.25">
      <c r="B136" s="141"/>
      <c r="C136" s="239"/>
      <c r="D136" s="141"/>
      <c r="E136" s="141"/>
      <c r="F136" s="141"/>
      <c r="G136" s="141"/>
      <c r="H136" s="240"/>
      <c r="I136" s="240"/>
      <c r="J136" s="240"/>
      <c r="K136" s="240"/>
      <c r="L136" s="240"/>
      <c r="M136" s="240"/>
      <c r="N136" s="141"/>
    </row>
  </sheetData>
  <sheetProtection sheet="1"/>
  <mergeCells count="45">
    <mergeCell ref="B1:M2"/>
    <mergeCell ref="B3:M4"/>
    <mergeCell ref="B5:I5"/>
    <mergeCell ref="B6:C11"/>
    <mergeCell ref="D6:E13"/>
    <mergeCell ref="F6:I6"/>
    <mergeCell ref="J6:M6"/>
    <mergeCell ref="F7:G9"/>
    <mergeCell ref="H7:I9"/>
    <mergeCell ref="J7:K9"/>
    <mergeCell ref="L7:M9"/>
    <mergeCell ref="F10:G11"/>
    <mergeCell ref="H10:I11"/>
    <mergeCell ref="J10:K11"/>
    <mergeCell ref="L10:M11"/>
    <mergeCell ref="B12:B13"/>
    <mergeCell ref="C12:C13"/>
    <mergeCell ref="F12:F13"/>
    <mergeCell ref="G12:G13"/>
    <mergeCell ref="H12:H13"/>
    <mergeCell ref="I12:I13"/>
    <mergeCell ref="J12:J13"/>
    <mergeCell ref="K12:K13"/>
    <mergeCell ref="L12:L13"/>
    <mergeCell ref="M12:M13"/>
    <mergeCell ref="J49:M61"/>
    <mergeCell ref="A63:N63"/>
    <mergeCell ref="A65:M65"/>
    <mergeCell ref="A66:M66"/>
    <mergeCell ref="A67:M67"/>
    <mergeCell ref="A69:M69"/>
    <mergeCell ref="A71:I71"/>
    <mergeCell ref="A72:M72"/>
    <mergeCell ref="A73:M73"/>
    <mergeCell ref="A74:M74"/>
    <mergeCell ref="A75:I75"/>
    <mergeCell ref="A76:M76"/>
    <mergeCell ref="A77:M77"/>
    <mergeCell ref="A86:I86"/>
    <mergeCell ref="A79:I79"/>
    <mergeCell ref="A80:L80"/>
    <mergeCell ref="A81:M81"/>
    <mergeCell ref="A83:L83"/>
    <mergeCell ref="A84:M84"/>
    <mergeCell ref="A85:M85"/>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3.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34" customWidth="1"/>
    <col min="2" max="2" width="5.140625" style="134" customWidth="1"/>
    <col min="3" max="3" width="7.8515625" style="241" customWidth="1"/>
    <col min="4" max="4" width="0.42578125" style="241" customWidth="1"/>
    <col min="5" max="5" width="6.8515625" style="134" customWidth="1"/>
    <col min="6" max="6" width="1.28515625" style="134" customWidth="1"/>
    <col min="7" max="7" width="8.140625" style="134" customWidth="1"/>
    <col min="8" max="8" width="2.421875" style="134" customWidth="1"/>
    <col min="9" max="9" width="8.140625" style="134" customWidth="1"/>
    <col min="10" max="10" width="8.7109375" style="134" customWidth="1"/>
    <col min="11" max="11" width="0.42578125" style="134" customWidth="1"/>
    <col min="12" max="12" width="8.7109375" style="134" customWidth="1"/>
    <col min="13" max="13" width="0.42578125" style="134" customWidth="1"/>
    <col min="14" max="14" width="8.7109375" style="242" customWidth="1"/>
    <col min="15" max="15" width="0.42578125" style="242" customWidth="1"/>
    <col min="16" max="16" width="8.7109375" style="242" customWidth="1"/>
    <col min="17" max="17" width="0.42578125" style="242" customWidth="1"/>
    <col min="18" max="18" width="8.7109375" style="242" customWidth="1"/>
    <col min="19" max="19" width="0.42578125" style="242" customWidth="1"/>
    <col min="20" max="20" width="8.7109375" style="242" customWidth="1"/>
    <col min="21" max="21" width="0.42578125" style="242" customWidth="1"/>
    <col min="22" max="22" width="8.7109375" style="242" customWidth="1"/>
    <col min="23" max="23" width="0.42578125" style="242" customWidth="1"/>
    <col min="24" max="24" width="8.7109375" style="242" customWidth="1"/>
    <col min="25" max="25" width="0.42578125" style="242" customWidth="1"/>
    <col min="26" max="26" width="0.71875" style="134" customWidth="1"/>
    <col min="27" max="16384" width="9.00390625" style="134" customWidth="1"/>
  </cols>
  <sheetData>
    <row r="1" spans="2:26" ht="16.5" customHeight="1">
      <c r="B1" s="1511" t="s">
        <v>170</v>
      </c>
      <c r="C1" s="1512"/>
      <c r="D1" s="1512"/>
      <c r="E1" s="1512"/>
      <c r="F1" s="1512"/>
      <c r="G1" s="1512"/>
      <c r="H1" s="1512"/>
      <c r="I1" s="1512"/>
      <c r="J1" s="1512"/>
      <c r="K1" s="1512"/>
      <c r="L1" s="1512"/>
      <c r="M1" s="1512"/>
      <c r="N1" s="1512"/>
      <c r="O1" s="1512"/>
      <c r="P1" s="1512"/>
      <c r="Q1" s="1512"/>
      <c r="R1" s="1512"/>
      <c r="S1" s="1512"/>
      <c r="T1" s="1512"/>
      <c r="U1" s="1512"/>
      <c r="V1" s="1512"/>
      <c r="W1" s="1512"/>
      <c r="X1" s="1512"/>
      <c r="Y1" s="1512"/>
      <c r="Z1" s="135"/>
    </row>
    <row r="2" spans="2:26" ht="16.5" customHeight="1">
      <c r="B2" s="1512"/>
      <c r="C2" s="1512"/>
      <c r="D2" s="1512"/>
      <c r="E2" s="1512"/>
      <c r="F2" s="1512"/>
      <c r="G2" s="1512"/>
      <c r="H2" s="1512"/>
      <c r="I2" s="1512"/>
      <c r="J2" s="1512"/>
      <c r="K2" s="1512"/>
      <c r="L2" s="1512"/>
      <c r="M2" s="1512"/>
      <c r="N2" s="1512"/>
      <c r="O2" s="1512"/>
      <c r="P2" s="1512"/>
      <c r="Q2" s="1512"/>
      <c r="R2" s="1512"/>
      <c r="S2" s="1512"/>
      <c r="T2" s="1512"/>
      <c r="U2" s="1512"/>
      <c r="V2" s="1512"/>
      <c r="W2" s="1512"/>
      <c r="X2" s="1512"/>
      <c r="Y2" s="1512"/>
      <c r="Z2" s="135"/>
    </row>
    <row r="3" spans="2:26" ht="17.25" customHeight="1">
      <c r="B3" s="1513" t="s">
        <v>171</v>
      </c>
      <c r="C3" s="1513"/>
      <c r="D3" s="1513"/>
      <c r="E3" s="1513"/>
      <c r="F3" s="1513"/>
      <c r="G3" s="1513"/>
      <c r="H3" s="1513"/>
      <c r="I3" s="1513"/>
      <c r="J3" s="1513"/>
      <c r="K3" s="1513"/>
      <c r="L3" s="1513"/>
      <c r="M3" s="1513"/>
      <c r="N3" s="1513"/>
      <c r="O3" s="1513"/>
      <c r="P3" s="1513"/>
      <c r="Q3" s="1513"/>
      <c r="R3" s="1513"/>
      <c r="S3" s="1513"/>
      <c r="T3" s="1513"/>
      <c r="U3" s="1513"/>
      <c r="V3" s="1513"/>
      <c r="W3" s="1513"/>
      <c r="X3" s="1513"/>
      <c r="Y3" s="136"/>
      <c r="Z3" s="135"/>
    </row>
    <row r="4" spans="1:26" ht="24" customHeight="1">
      <c r="A4" s="137"/>
      <c r="B4" s="1513"/>
      <c r="C4" s="1513"/>
      <c r="D4" s="1513"/>
      <c r="E4" s="1513"/>
      <c r="F4" s="1513"/>
      <c r="G4" s="1513"/>
      <c r="H4" s="1513"/>
      <c r="I4" s="1513"/>
      <c r="J4" s="1513"/>
      <c r="K4" s="1513"/>
      <c r="L4" s="1513"/>
      <c r="M4" s="1513"/>
      <c r="N4" s="1513"/>
      <c r="O4" s="1513"/>
      <c r="P4" s="1513"/>
      <c r="Q4" s="1513"/>
      <c r="R4" s="1513"/>
      <c r="S4" s="1513"/>
      <c r="T4" s="1513"/>
      <c r="U4" s="1513"/>
      <c r="V4" s="1513"/>
      <c r="W4" s="1513"/>
      <c r="X4" s="1513"/>
      <c r="Y4" s="138"/>
      <c r="Z4" s="135"/>
    </row>
    <row r="5" spans="2:26" ht="15.75" customHeight="1" thickBot="1">
      <c r="B5" s="1514" t="s">
        <v>105</v>
      </c>
      <c r="C5" s="1514"/>
      <c r="D5" s="1514"/>
      <c r="E5" s="1514"/>
      <c r="F5" s="1514"/>
      <c r="G5" s="1514"/>
      <c r="H5" s="1514"/>
      <c r="I5" s="1514"/>
      <c r="J5" s="1514"/>
      <c r="K5" s="1514"/>
      <c r="L5" s="1514"/>
      <c r="M5" s="1514"/>
      <c r="N5" s="1514"/>
      <c r="O5" s="1514"/>
      <c r="P5" s="1514"/>
      <c r="Q5" s="1514"/>
      <c r="R5" s="139"/>
      <c r="S5" s="139"/>
      <c r="T5" s="139"/>
      <c r="U5" s="139"/>
      <c r="V5" s="139"/>
      <c r="W5" s="139"/>
      <c r="X5" s="140" t="s">
        <v>0</v>
      </c>
      <c r="Y5" s="139"/>
      <c r="Z5" s="135"/>
    </row>
    <row r="6" spans="2:25" s="141" customFormat="1" ht="18.75" customHeight="1" thickTop="1">
      <c r="B6" s="1515" t="s">
        <v>106</v>
      </c>
      <c r="C6" s="1516"/>
      <c r="D6" s="1516"/>
      <c r="E6" s="1516"/>
      <c r="F6" s="1520"/>
      <c r="G6" s="1516" t="s">
        <v>107</v>
      </c>
      <c r="H6" s="1516"/>
      <c r="I6" s="1516"/>
      <c r="J6" s="1560" t="s">
        <v>108</v>
      </c>
      <c r="K6" s="1561"/>
      <c r="L6" s="1561"/>
      <c r="M6" s="1561"/>
      <c r="N6" s="1561"/>
      <c r="O6" s="1561"/>
      <c r="P6" s="1561"/>
      <c r="Q6" s="1562"/>
      <c r="R6" s="1561" t="s">
        <v>109</v>
      </c>
      <c r="S6" s="1563"/>
      <c r="T6" s="1563"/>
      <c r="U6" s="1563"/>
      <c r="V6" s="1563"/>
      <c r="W6" s="1563"/>
      <c r="X6" s="1563"/>
      <c r="Y6" s="1564"/>
    </row>
    <row r="7" spans="2:25" s="141" customFormat="1" ht="13.5" customHeight="1">
      <c r="B7" s="1517"/>
      <c r="C7" s="1518"/>
      <c r="D7" s="1518"/>
      <c r="E7" s="1518"/>
      <c r="F7" s="1522"/>
      <c r="G7" s="1518"/>
      <c r="H7" s="1518"/>
      <c r="I7" s="1518"/>
      <c r="J7" s="1565" t="s">
        <v>110</v>
      </c>
      <c r="K7" s="1566"/>
      <c r="L7" s="1566"/>
      <c r="M7" s="1567"/>
      <c r="N7" s="1574" t="s">
        <v>111</v>
      </c>
      <c r="O7" s="1548"/>
      <c r="P7" s="1548"/>
      <c r="Q7" s="1549"/>
      <c r="R7" s="1579" t="s">
        <v>112</v>
      </c>
      <c r="S7" s="1548"/>
      <c r="T7" s="1548"/>
      <c r="U7" s="1580"/>
      <c r="V7" s="1547" t="s">
        <v>113</v>
      </c>
      <c r="W7" s="1548"/>
      <c r="X7" s="1548"/>
      <c r="Y7" s="1549"/>
    </row>
    <row r="8" spans="2:25" s="141" customFormat="1" ht="11.25">
      <c r="B8" s="1517"/>
      <c r="C8" s="1518"/>
      <c r="D8" s="1518"/>
      <c r="E8" s="1518"/>
      <c r="F8" s="1522"/>
      <c r="G8" s="1518"/>
      <c r="H8" s="1518"/>
      <c r="I8" s="1518"/>
      <c r="J8" s="1568"/>
      <c r="K8" s="1569"/>
      <c r="L8" s="1569"/>
      <c r="M8" s="1570"/>
      <c r="N8" s="1575"/>
      <c r="O8" s="1551"/>
      <c r="P8" s="1551"/>
      <c r="Q8" s="1552"/>
      <c r="R8" s="1581"/>
      <c r="S8" s="1551"/>
      <c r="T8" s="1551"/>
      <c r="U8" s="1582"/>
      <c r="V8" s="1550"/>
      <c r="W8" s="1551"/>
      <c r="X8" s="1551"/>
      <c r="Y8" s="1552"/>
    </row>
    <row r="9" spans="2:25" s="141" customFormat="1" ht="2.25" customHeight="1">
      <c r="B9" s="1517"/>
      <c r="C9" s="1518"/>
      <c r="D9" s="1518"/>
      <c r="E9" s="1518"/>
      <c r="F9" s="1522"/>
      <c r="G9" s="1518"/>
      <c r="H9" s="1518"/>
      <c r="I9" s="1518"/>
      <c r="J9" s="1571"/>
      <c r="K9" s="1572"/>
      <c r="L9" s="1572"/>
      <c r="M9" s="1573"/>
      <c r="N9" s="1576"/>
      <c r="O9" s="1577"/>
      <c r="P9" s="1577"/>
      <c r="Q9" s="1578"/>
      <c r="R9" s="1583"/>
      <c r="S9" s="1554"/>
      <c r="T9" s="1554"/>
      <c r="U9" s="1584"/>
      <c r="V9" s="1553"/>
      <c r="W9" s="1554"/>
      <c r="X9" s="1554"/>
      <c r="Y9" s="1555"/>
    </row>
    <row r="10" spans="2:25" s="141" customFormat="1" ht="13.5" customHeight="1">
      <c r="B10" s="1517"/>
      <c r="C10" s="1518"/>
      <c r="D10" s="1518"/>
      <c r="E10" s="1518"/>
      <c r="F10" s="1522"/>
      <c r="G10" s="1518"/>
      <c r="H10" s="1518"/>
      <c r="I10" s="1518"/>
      <c r="J10" s="1406">
        <v>0.0997</v>
      </c>
      <c r="K10" s="1407"/>
      <c r="L10" s="1407"/>
      <c r="M10" s="1408"/>
      <c r="N10" s="1494">
        <f>J10+0.0155</f>
        <v>0.1152</v>
      </c>
      <c r="O10" s="1556"/>
      <c r="P10" s="1556"/>
      <c r="Q10" s="1495"/>
      <c r="R10" s="1417">
        <v>0.1712</v>
      </c>
      <c r="S10" s="1417"/>
      <c r="T10" s="1417"/>
      <c r="U10" s="1418"/>
      <c r="V10" s="1417">
        <v>0.1744</v>
      </c>
      <c r="W10" s="1417"/>
      <c r="X10" s="1417"/>
      <c r="Y10" s="1419"/>
    </row>
    <row r="11" spans="2:25" s="141" customFormat="1" ht="5.25" customHeight="1">
      <c r="B11" s="1517"/>
      <c r="C11" s="1518"/>
      <c r="D11" s="1518"/>
      <c r="E11" s="1518"/>
      <c r="F11" s="1522"/>
      <c r="G11" s="1518"/>
      <c r="H11" s="1518"/>
      <c r="I11" s="1518"/>
      <c r="J11" s="1409"/>
      <c r="K11" s="1410"/>
      <c r="L11" s="1410"/>
      <c r="M11" s="1411"/>
      <c r="N11" s="1496"/>
      <c r="O11" s="1557"/>
      <c r="P11" s="1557"/>
      <c r="Q11" s="1497"/>
      <c r="R11" s="1417"/>
      <c r="S11" s="1417"/>
      <c r="T11" s="1417"/>
      <c r="U11" s="1418"/>
      <c r="V11" s="1417"/>
      <c r="W11" s="1417"/>
      <c r="X11" s="1417"/>
      <c r="Y11" s="1419"/>
    </row>
    <row r="12" spans="2:25" s="141" customFormat="1" ht="8.25" customHeight="1">
      <c r="B12" s="1501" t="s">
        <v>114</v>
      </c>
      <c r="C12" s="1503" t="s">
        <v>115</v>
      </c>
      <c r="D12" s="1558"/>
      <c r="E12" s="1509" t="s">
        <v>116</v>
      </c>
      <c r="F12" s="1479"/>
      <c r="G12" s="1518"/>
      <c r="H12" s="1518"/>
      <c r="I12" s="1518"/>
      <c r="J12" s="1509" t="s">
        <v>117</v>
      </c>
      <c r="K12" s="1538"/>
      <c r="L12" s="1540" t="s">
        <v>118</v>
      </c>
      <c r="M12" s="1546"/>
      <c r="N12" s="1509" t="s">
        <v>117</v>
      </c>
      <c r="O12" s="1538"/>
      <c r="P12" s="1540" t="s">
        <v>118</v>
      </c>
      <c r="Q12" s="1541"/>
      <c r="R12" s="1505" t="s">
        <v>119</v>
      </c>
      <c r="S12" s="1543"/>
      <c r="T12" s="1505" t="s">
        <v>120</v>
      </c>
      <c r="U12" s="1546"/>
      <c r="V12" s="1505" t="s">
        <v>119</v>
      </c>
      <c r="W12" s="1543"/>
      <c r="X12" s="1505" t="s">
        <v>120</v>
      </c>
      <c r="Y12" s="1541"/>
    </row>
    <row r="13" spans="2:25" s="141" customFormat="1" ht="8.25" customHeight="1">
      <c r="B13" s="1502"/>
      <c r="C13" s="1504"/>
      <c r="D13" s="1559"/>
      <c r="E13" s="1523"/>
      <c r="F13" s="1524"/>
      <c r="G13" s="1559"/>
      <c r="H13" s="1559"/>
      <c r="I13" s="1559"/>
      <c r="J13" s="1510"/>
      <c r="K13" s="1539"/>
      <c r="L13" s="1542"/>
      <c r="M13" s="1480"/>
      <c r="N13" s="1510"/>
      <c r="O13" s="1539"/>
      <c r="P13" s="1542"/>
      <c r="Q13" s="1484"/>
      <c r="R13" s="1544"/>
      <c r="S13" s="1545"/>
      <c r="T13" s="1506"/>
      <c r="U13" s="1480"/>
      <c r="V13" s="1544"/>
      <c r="W13" s="1545"/>
      <c r="X13" s="1506"/>
      <c r="Y13" s="1484"/>
    </row>
    <row r="14" spans="2:30" s="141" customFormat="1" ht="15" customHeight="1">
      <c r="B14" s="143"/>
      <c r="C14" s="144"/>
      <c r="D14" s="145"/>
      <c r="E14" s="144"/>
      <c r="F14" s="146"/>
      <c r="G14" s="147" t="s">
        <v>121</v>
      </c>
      <c r="H14" s="148"/>
      <c r="I14" s="147" t="s">
        <v>122</v>
      </c>
      <c r="J14" s="149"/>
      <c r="K14" s="150"/>
      <c r="L14" s="151"/>
      <c r="M14" s="152"/>
      <c r="N14" s="153"/>
      <c r="O14" s="154"/>
      <c r="P14" s="155"/>
      <c r="Q14" s="156"/>
      <c r="R14" s="150"/>
      <c r="S14" s="157"/>
      <c r="T14" s="150"/>
      <c r="U14" s="158"/>
      <c r="V14" s="150"/>
      <c r="W14" s="157"/>
      <c r="X14" s="150"/>
      <c r="Y14" s="159"/>
      <c r="AB14" s="548">
        <v>9.97</v>
      </c>
      <c r="AC14" s="548">
        <v>16.766</v>
      </c>
      <c r="AD14" s="548">
        <v>17.12</v>
      </c>
    </row>
    <row r="15" spans="2:26" s="141" customFormat="1" ht="12.75" customHeight="1">
      <c r="B15" s="160">
        <v>1</v>
      </c>
      <c r="C15" s="161">
        <v>58000</v>
      </c>
      <c r="D15" s="162"/>
      <c r="E15" s="161">
        <v>1930</v>
      </c>
      <c r="F15" s="163"/>
      <c r="G15" s="164"/>
      <c r="H15" s="165" t="s">
        <v>57</v>
      </c>
      <c r="I15" s="164">
        <v>63000</v>
      </c>
      <c r="J15" s="245">
        <f aca="true" t="shared" si="0" ref="J15:J61">C15*$J$10</f>
        <v>5782.599999999999</v>
      </c>
      <c r="K15" s="166"/>
      <c r="L15" s="254">
        <f aca="true" t="shared" si="1" ref="L15:L61">J15/2</f>
        <v>2891.2999999999997</v>
      </c>
      <c r="M15" s="163"/>
      <c r="N15" s="245">
        <f aca="true" t="shared" si="2" ref="N15:N61">C15*$N$10</f>
        <v>6681.599999999999</v>
      </c>
      <c r="O15" s="166"/>
      <c r="P15" s="254">
        <f aca="true" t="shared" si="3" ref="P15:P61">N15/2</f>
        <v>3340.7999999999997</v>
      </c>
      <c r="Q15" s="167"/>
      <c r="R15" s="165"/>
      <c r="S15" s="168"/>
      <c r="T15" s="165"/>
      <c r="U15" s="169"/>
      <c r="V15" s="165"/>
      <c r="W15" s="168"/>
      <c r="X15" s="165"/>
      <c r="Y15" s="167"/>
      <c r="Z15" s="170"/>
    </row>
    <row r="16" spans="2:30" s="141" customFormat="1" ht="12.75" customHeight="1">
      <c r="B16" s="264">
        <v>2</v>
      </c>
      <c r="C16" s="265">
        <v>68000</v>
      </c>
      <c r="D16" s="266"/>
      <c r="E16" s="265">
        <v>2270</v>
      </c>
      <c r="F16" s="267"/>
      <c r="G16" s="268">
        <v>63000</v>
      </c>
      <c r="H16" s="269" t="s">
        <v>57</v>
      </c>
      <c r="I16" s="268">
        <v>73000</v>
      </c>
      <c r="J16" s="302">
        <f t="shared" si="0"/>
        <v>6779.599999999999</v>
      </c>
      <c r="K16" s="270"/>
      <c r="L16" s="305">
        <f t="shared" si="1"/>
        <v>3389.7999999999997</v>
      </c>
      <c r="M16" s="271"/>
      <c r="N16" s="302">
        <f t="shared" si="2"/>
        <v>7833.599999999999</v>
      </c>
      <c r="O16" s="270"/>
      <c r="P16" s="310">
        <f t="shared" si="3"/>
        <v>3916.7999999999997</v>
      </c>
      <c r="Q16" s="272"/>
      <c r="R16" s="165"/>
      <c r="S16" s="168"/>
      <c r="T16" s="165"/>
      <c r="U16" s="169"/>
      <c r="V16" s="165"/>
      <c r="W16" s="168"/>
      <c r="X16" s="165"/>
      <c r="Y16" s="167"/>
      <c r="Z16" s="170"/>
      <c r="AB16" s="141">
        <v>2</v>
      </c>
      <c r="AC16" s="141">
        <v>2</v>
      </c>
      <c r="AD16" s="141">
        <v>2</v>
      </c>
    </row>
    <row r="17" spans="2:26" s="141" customFormat="1" ht="12.75" customHeight="1">
      <c r="B17" s="175">
        <v>3</v>
      </c>
      <c r="C17" s="176">
        <v>78000</v>
      </c>
      <c r="D17" s="177"/>
      <c r="E17" s="176">
        <v>2600</v>
      </c>
      <c r="F17" s="178"/>
      <c r="G17" s="179">
        <v>73000</v>
      </c>
      <c r="H17" s="180" t="s">
        <v>57</v>
      </c>
      <c r="I17" s="179">
        <v>83000</v>
      </c>
      <c r="J17" s="247">
        <f t="shared" si="0"/>
        <v>7776.599999999999</v>
      </c>
      <c r="K17" s="181"/>
      <c r="L17" s="255">
        <f t="shared" si="1"/>
        <v>3888.2999999999997</v>
      </c>
      <c r="M17" s="182"/>
      <c r="N17" s="247">
        <f t="shared" si="2"/>
        <v>8985.6</v>
      </c>
      <c r="O17" s="181"/>
      <c r="P17" s="262">
        <f t="shared" si="3"/>
        <v>4492.8</v>
      </c>
      <c r="Q17" s="183"/>
      <c r="R17" s="165"/>
      <c r="S17" s="168"/>
      <c r="T17" s="165"/>
      <c r="U17" s="169"/>
      <c r="V17" s="165"/>
      <c r="W17" s="168"/>
      <c r="X17" s="165"/>
      <c r="Y17" s="167"/>
      <c r="Z17" s="170"/>
    </row>
    <row r="18" spans="2:26" s="141" customFormat="1" ht="12.75" customHeight="1">
      <c r="B18" s="264">
        <v>4</v>
      </c>
      <c r="C18" s="265">
        <v>88000</v>
      </c>
      <c r="D18" s="266"/>
      <c r="E18" s="265">
        <v>2930</v>
      </c>
      <c r="F18" s="267"/>
      <c r="G18" s="268">
        <v>83000</v>
      </c>
      <c r="H18" s="269" t="s">
        <v>57</v>
      </c>
      <c r="I18" s="268">
        <v>93000</v>
      </c>
      <c r="J18" s="302">
        <f t="shared" si="0"/>
        <v>8773.6</v>
      </c>
      <c r="K18" s="270"/>
      <c r="L18" s="305">
        <f t="shared" si="1"/>
        <v>4386.8</v>
      </c>
      <c r="M18" s="271"/>
      <c r="N18" s="302">
        <f t="shared" si="2"/>
        <v>10137.6</v>
      </c>
      <c r="O18" s="270"/>
      <c r="P18" s="310">
        <f t="shared" si="3"/>
        <v>5068.8</v>
      </c>
      <c r="Q18" s="272"/>
      <c r="R18" s="165"/>
      <c r="S18" s="168"/>
      <c r="T18" s="165"/>
      <c r="U18" s="169"/>
      <c r="V18" s="165"/>
      <c r="W18" s="168"/>
      <c r="X18" s="165"/>
      <c r="Y18" s="167"/>
      <c r="Z18" s="170"/>
    </row>
    <row r="19" spans="2:26" s="141" customFormat="1" ht="12.75" customHeight="1">
      <c r="B19" s="175" t="s">
        <v>123</v>
      </c>
      <c r="C19" s="176">
        <v>98000</v>
      </c>
      <c r="D19" s="177"/>
      <c r="E19" s="176">
        <v>3270</v>
      </c>
      <c r="F19" s="180"/>
      <c r="G19" s="184">
        <v>93000</v>
      </c>
      <c r="H19" s="180" t="s">
        <v>57</v>
      </c>
      <c r="I19" s="185">
        <v>101000</v>
      </c>
      <c r="J19" s="248">
        <f t="shared" si="0"/>
        <v>9770.6</v>
      </c>
      <c r="K19" s="186"/>
      <c r="L19" s="256">
        <f t="shared" si="1"/>
        <v>4885.3</v>
      </c>
      <c r="M19" s="187"/>
      <c r="N19" s="247">
        <f t="shared" si="2"/>
        <v>11289.6</v>
      </c>
      <c r="O19" s="186"/>
      <c r="P19" s="262">
        <f t="shared" si="3"/>
        <v>5644.8</v>
      </c>
      <c r="Q19" s="188"/>
      <c r="R19" s="243">
        <f aca="true" t="shared" si="4" ref="R19:R48">C19*$R$10</f>
        <v>16777.6</v>
      </c>
      <c r="S19" s="189"/>
      <c r="T19" s="243">
        <f aca="true" t="shared" si="5" ref="T19:T48">R19/2</f>
        <v>8388.8</v>
      </c>
      <c r="U19" s="190"/>
      <c r="V19" s="243">
        <f aca="true" t="shared" si="6" ref="V19:V48">C19*$V$10</f>
        <v>17091.2</v>
      </c>
      <c r="W19" s="189"/>
      <c r="X19" s="243">
        <f aca="true" t="shared" si="7" ref="X19:X48">V19/2</f>
        <v>8545.6</v>
      </c>
      <c r="Y19" s="191"/>
      <c r="Z19" s="142"/>
    </row>
    <row r="20" spans="2:30" s="141" customFormat="1" ht="12.75" customHeight="1">
      <c r="B20" s="264" t="s">
        <v>124</v>
      </c>
      <c r="C20" s="265">
        <v>104000</v>
      </c>
      <c r="D20" s="266"/>
      <c r="E20" s="265">
        <v>3470</v>
      </c>
      <c r="F20" s="269"/>
      <c r="G20" s="273">
        <v>101000</v>
      </c>
      <c r="H20" s="269" t="s">
        <v>57</v>
      </c>
      <c r="I20" s="274">
        <v>107000</v>
      </c>
      <c r="J20" s="303">
        <f t="shared" si="0"/>
        <v>10368.8</v>
      </c>
      <c r="K20" s="275"/>
      <c r="L20" s="306">
        <f t="shared" si="1"/>
        <v>5184.4</v>
      </c>
      <c r="M20" s="276"/>
      <c r="N20" s="302">
        <f t="shared" si="2"/>
        <v>11980.8</v>
      </c>
      <c r="O20" s="275"/>
      <c r="P20" s="310">
        <f t="shared" si="3"/>
        <v>5990.4</v>
      </c>
      <c r="Q20" s="277"/>
      <c r="R20" s="300">
        <f t="shared" si="4"/>
        <v>17804.8</v>
      </c>
      <c r="S20" s="278"/>
      <c r="T20" s="300">
        <f t="shared" si="5"/>
        <v>8902.4</v>
      </c>
      <c r="U20" s="279"/>
      <c r="V20" s="300">
        <f t="shared" si="6"/>
        <v>18137.6</v>
      </c>
      <c r="W20" s="278"/>
      <c r="X20" s="300">
        <f t="shared" si="7"/>
        <v>9068.8</v>
      </c>
      <c r="Y20" s="277"/>
      <c r="Z20" s="148"/>
      <c r="AA20" s="170"/>
      <c r="AB20" s="549">
        <f>AB14/AB16</f>
        <v>4.985</v>
      </c>
      <c r="AC20" s="549">
        <f>AC14/AC16</f>
        <v>8.383</v>
      </c>
      <c r="AD20" s="549">
        <f>AD14/AD16</f>
        <v>8.56</v>
      </c>
    </row>
    <row r="21" spans="2:27" s="141" customFormat="1" ht="12.75" customHeight="1">
      <c r="B21" s="175" t="s">
        <v>125</v>
      </c>
      <c r="C21" s="176">
        <v>110000</v>
      </c>
      <c r="D21" s="177"/>
      <c r="E21" s="176">
        <v>3670</v>
      </c>
      <c r="F21" s="180"/>
      <c r="G21" s="184">
        <v>107000</v>
      </c>
      <c r="H21" s="180" t="s">
        <v>57</v>
      </c>
      <c r="I21" s="185">
        <v>114000</v>
      </c>
      <c r="J21" s="248">
        <f t="shared" si="0"/>
        <v>10967</v>
      </c>
      <c r="K21" s="186"/>
      <c r="L21" s="256">
        <f t="shared" si="1"/>
        <v>5483.5</v>
      </c>
      <c r="M21" s="187"/>
      <c r="N21" s="247">
        <f t="shared" si="2"/>
        <v>12672</v>
      </c>
      <c r="O21" s="186"/>
      <c r="P21" s="262">
        <f t="shared" si="3"/>
        <v>6336</v>
      </c>
      <c r="Q21" s="188"/>
      <c r="R21" s="244">
        <f t="shared" si="4"/>
        <v>18832</v>
      </c>
      <c r="S21" s="194"/>
      <c r="T21" s="244">
        <f t="shared" si="5"/>
        <v>9416</v>
      </c>
      <c r="U21" s="195"/>
      <c r="V21" s="244">
        <f t="shared" si="6"/>
        <v>19184</v>
      </c>
      <c r="W21" s="194"/>
      <c r="X21" s="244">
        <f t="shared" si="7"/>
        <v>9592</v>
      </c>
      <c r="Y21" s="188"/>
      <c r="Z21" s="148"/>
      <c r="AA21" s="170"/>
    </row>
    <row r="22" spans="2:27" s="141" customFormat="1" ht="12.75" customHeight="1">
      <c r="B22" s="264" t="s">
        <v>126</v>
      </c>
      <c r="C22" s="265">
        <v>118000</v>
      </c>
      <c r="D22" s="266"/>
      <c r="E22" s="265">
        <v>3930</v>
      </c>
      <c r="F22" s="269"/>
      <c r="G22" s="273">
        <v>114000</v>
      </c>
      <c r="H22" s="269" t="s">
        <v>57</v>
      </c>
      <c r="I22" s="274">
        <v>122000</v>
      </c>
      <c r="J22" s="303">
        <f t="shared" si="0"/>
        <v>11764.6</v>
      </c>
      <c r="K22" s="275"/>
      <c r="L22" s="306">
        <f t="shared" si="1"/>
        <v>5882.3</v>
      </c>
      <c r="M22" s="276"/>
      <c r="N22" s="302">
        <f t="shared" si="2"/>
        <v>13593.6</v>
      </c>
      <c r="O22" s="275"/>
      <c r="P22" s="310">
        <f t="shared" si="3"/>
        <v>6796.8</v>
      </c>
      <c r="Q22" s="277"/>
      <c r="R22" s="300">
        <f t="shared" si="4"/>
        <v>20201.6</v>
      </c>
      <c r="S22" s="278"/>
      <c r="T22" s="300">
        <f t="shared" si="5"/>
        <v>10100.8</v>
      </c>
      <c r="U22" s="279"/>
      <c r="V22" s="300">
        <f t="shared" si="6"/>
        <v>20579.2</v>
      </c>
      <c r="W22" s="278"/>
      <c r="X22" s="300">
        <f t="shared" si="7"/>
        <v>10289.6</v>
      </c>
      <c r="Y22" s="277"/>
      <c r="Z22" s="148"/>
      <c r="AA22" s="170"/>
    </row>
    <row r="23" spans="2:27" s="141" customFormat="1" ht="12.75" customHeight="1">
      <c r="B23" s="175" t="s">
        <v>127</v>
      </c>
      <c r="C23" s="176">
        <v>126000</v>
      </c>
      <c r="D23" s="177"/>
      <c r="E23" s="176">
        <v>4200</v>
      </c>
      <c r="F23" s="180"/>
      <c r="G23" s="184">
        <v>122000</v>
      </c>
      <c r="H23" s="180" t="s">
        <v>57</v>
      </c>
      <c r="I23" s="185">
        <v>130000</v>
      </c>
      <c r="J23" s="248">
        <f t="shared" si="0"/>
        <v>12562.199999999999</v>
      </c>
      <c r="K23" s="186"/>
      <c r="L23" s="256">
        <f t="shared" si="1"/>
        <v>6281.099999999999</v>
      </c>
      <c r="M23" s="187"/>
      <c r="N23" s="247">
        <f t="shared" si="2"/>
        <v>14515.199999999999</v>
      </c>
      <c r="O23" s="186"/>
      <c r="P23" s="262">
        <f t="shared" si="3"/>
        <v>7257.599999999999</v>
      </c>
      <c r="Q23" s="188"/>
      <c r="R23" s="244">
        <f t="shared" si="4"/>
        <v>21571.199999999997</v>
      </c>
      <c r="S23" s="194"/>
      <c r="T23" s="244">
        <f t="shared" si="5"/>
        <v>10785.599999999999</v>
      </c>
      <c r="U23" s="195"/>
      <c r="V23" s="244">
        <f t="shared" si="6"/>
        <v>21974.4</v>
      </c>
      <c r="W23" s="194"/>
      <c r="X23" s="244">
        <f t="shared" si="7"/>
        <v>10987.2</v>
      </c>
      <c r="Y23" s="188"/>
      <c r="Z23" s="148"/>
      <c r="AA23" s="170"/>
    </row>
    <row r="24" spans="2:27" s="141" customFormat="1" ht="12.75" customHeight="1">
      <c r="B24" s="264" t="s">
        <v>128</v>
      </c>
      <c r="C24" s="280">
        <v>134000</v>
      </c>
      <c r="D24" s="281"/>
      <c r="E24" s="280">
        <v>4470</v>
      </c>
      <c r="F24" s="282"/>
      <c r="G24" s="283">
        <v>130000</v>
      </c>
      <c r="H24" s="282" t="s">
        <v>57</v>
      </c>
      <c r="I24" s="284">
        <v>138000</v>
      </c>
      <c r="J24" s="304">
        <f t="shared" si="0"/>
        <v>13359.8</v>
      </c>
      <c r="K24" s="285"/>
      <c r="L24" s="307">
        <f t="shared" si="1"/>
        <v>6679.9</v>
      </c>
      <c r="M24" s="286"/>
      <c r="N24" s="302">
        <f t="shared" si="2"/>
        <v>15436.8</v>
      </c>
      <c r="O24" s="285"/>
      <c r="P24" s="310">
        <f t="shared" si="3"/>
        <v>7718.4</v>
      </c>
      <c r="Q24" s="287"/>
      <c r="R24" s="300">
        <f t="shared" si="4"/>
        <v>22940.8</v>
      </c>
      <c r="S24" s="278"/>
      <c r="T24" s="300">
        <f t="shared" si="5"/>
        <v>11470.4</v>
      </c>
      <c r="U24" s="279"/>
      <c r="V24" s="300">
        <f t="shared" si="6"/>
        <v>23369.6</v>
      </c>
      <c r="W24" s="278"/>
      <c r="X24" s="300">
        <f t="shared" si="7"/>
        <v>11684.8</v>
      </c>
      <c r="Y24" s="277"/>
      <c r="Z24" s="148"/>
      <c r="AA24" s="170"/>
    </row>
    <row r="25" spans="2:27" s="141" customFormat="1" ht="12.75" customHeight="1">
      <c r="B25" s="175" t="s">
        <v>129</v>
      </c>
      <c r="C25" s="199">
        <v>142000</v>
      </c>
      <c r="D25" s="200"/>
      <c r="E25" s="199">
        <v>4730</v>
      </c>
      <c r="F25" s="201"/>
      <c r="G25" s="202">
        <v>138000</v>
      </c>
      <c r="H25" s="201" t="s">
        <v>57</v>
      </c>
      <c r="I25" s="203">
        <v>146000</v>
      </c>
      <c r="J25" s="251">
        <f t="shared" si="0"/>
        <v>14157.4</v>
      </c>
      <c r="K25" s="204"/>
      <c r="L25" s="257">
        <f t="shared" si="1"/>
        <v>7078.7</v>
      </c>
      <c r="M25" s="205"/>
      <c r="N25" s="247">
        <f t="shared" si="2"/>
        <v>16358.4</v>
      </c>
      <c r="O25" s="204"/>
      <c r="P25" s="262">
        <f t="shared" si="3"/>
        <v>8179.2</v>
      </c>
      <c r="Q25" s="206"/>
      <c r="R25" s="244">
        <f t="shared" si="4"/>
        <v>24310.399999999998</v>
      </c>
      <c r="S25" s="194"/>
      <c r="T25" s="244">
        <f t="shared" si="5"/>
        <v>12155.199999999999</v>
      </c>
      <c r="U25" s="195"/>
      <c r="V25" s="244">
        <f t="shared" si="6"/>
        <v>24764.8</v>
      </c>
      <c r="W25" s="194"/>
      <c r="X25" s="244">
        <f t="shared" si="7"/>
        <v>12382.4</v>
      </c>
      <c r="Y25" s="188"/>
      <c r="Z25" s="148"/>
      <c r="AA25" s="170"/>
    </row>
    <row r="26" spans="2:27" s="141" customFormat="1" ht="12.75" customHeight="1">
      <c r="B26" s="264" t="s">
        <v>130</v>
      </c>
      <c r="C26" s="280">
        <v>150000</v>
      </c>
      <c r="D26" s="288"/>
      <c r="E26" s="280">
        <v>5000</v>
      </c>
      <c r="F26" s="289"/>
      <c r="G26" s="290">
        <v>146000</v>
      </c>
      <c r="H26" s="289" t="s">
        <v>57</v>
      </c>
      <c r="I26" s="284">
        <v>155000</v>
      </c>
      <c r="J26" s="304">
        <f t="shared" si="0"/>
        <v>14955</v>
      </c>
      <c r="K26" s="285"/>
      <c r="L26" s="307">
        <f t="shared" si="1"/>
        <v>7477.5</v>
      </c>
      <c r="M26" s="286"/>
      <c r="N26" s="302">
        <f t="shared" si="2"/>
        <v>17280</v>
      </c>
      <c r="O26" s="285"/>
      <c r="P26" s="310">
        <f t="shared" si="3"/>
        <v>8640</v>
      </c>
      <c r="Q26" s="287"/>
      <c r="R26" s="300">
        <f t="shared" si="4"/>
        <v>25680</v>
      </c>
      <c r="S26" s="278"/>
      <c r="T26" s="300">
        <f t="shared" si="5"/>
        <v>12840</v>
      </c>
      <c r="U26" s="279"/>
      <c r="V26" s="300">
        <f t="shared" si="6"/>
        <v>26160</v>
      </c>
      <c r="W26" s="278"/>
      <c r="X26" s="300">
        <f t="shared" si="7"/>
        <v>13080</v>
      </c>
      <c r="Y26" s="277"/>
      <c r="Z26" s="148"/>
      <c r="AA26" s="170"/>
    </row>
    <row r="27" spans="2:27" s="141" customFormat="1" ht="12.75" customHeight="1">
      <c r="B27" s="175" t="s">
        <v>131</v>
      </c>
      <c r="C27" s="199">
        <v>160000</v>
      </c>
      <c r="D27" s="200"/>
      <c r="E27" s="199">
        <v>5330</v>
      </c>
      <c r="F27" s="201"/>
      <c r="G27" s="202">
        <v>155000</v>
      </c>
      <c r="H27" s="201" t="s">
        <v>57</v>
      </c>
      <c r="I27" s="203">
        <v>165000</v>
      </c>
      <c r="J27" s="251">
        <f t="shared" si="0"/>
        <v>15952</v>
      </c>
      <c r="K27" s="204"/>
      <c r="L27" s="257">
        <f t="shared" si="1"/>
        <v>7976</v>
      </c>
      <c r="M27" s="205"/>
      <c r="N27" s="247">
        <f t="shared" si="2"/>
        <v>18432</v>
      </c>
      <c r="O27" s="204"/>
      <c r="P27" s="262">
        <f t="shared" si="3"/>
        <v>9216</v>
      </c>
      <c r="Q27" s="206"/>
      <c r="R27" s="244">
        <f t="shared" si="4"/>
        <v>27392</v>
      </c>
      <c r="S27" s="194"/>
      <c r="T27" s="244">
        <f t="shared" si="5"/>
        <v>13696</v>
      </c>
      <c r="U27" s="195"/>
      <c r="V27" s="244">
        <f t="shared" si="6"/>
        <v>27904</v>
      </c>
      <c r="W27" s="194"/>
      <c r="X27" s="244">
        <f t="shared" si="7"/>
        <v>13952</v>
      </c>
      <c r="Y27" s="188"/>
      <c r="Z27" s="148"/>
      <c r="AA27" s="170"/>
    </row>
    <row r="28" spans="2:27" s="141" customFormat="1" ht="12.75" customHeight="1">
      <c r="B28" s="264" t="s">
        <v>132</v>
      </c>
      <c r="C28" s="280">
        <v>170000</v>
      </c>
      <c r="D28" s="288"/>
      <c r="E28" s="280">
        <v>5670</v>
      </c>
      <c r="F28" s="289"/>
      <c r="G28" s="290">
        <v>165000</v>
      </c>
      <c r="H28" s="289" t="s">
        <v>57</v>
      </c>
      <c r="I28" s="284">
        <v>175000</v>
      </c>
      <c r="J28" s="304">
        <f t="shared" si="0"/>
        <v>16949</v>
      </c>
      <c r="K28" s="285"/>
      <c r="L28" s="307">
        <f t="shared" si="1"/>
        <v>8474.5</v>
      </c>
      <c r="M28" s="286"/>
      <c r="N28" s="302">
        <f t="shared" si="2"/>
        <v>19584</v>
      </c>
      <c r="O28" s="285"/>
      <c r="P28" s="310">
        <f t="shared" si="3"/>
        <v>9792</v>
      </c>
      <c r="Q28" s="287"/>
      <c r="R28" s="300">
        <f t="shared" si="4"/>
        <v>29104</v>
      </c>
      <c r="S28" s="278"/>
      <c r="T28" s="300">
        <f t="shared" si="5"/>
        <v>14552</v>
      </c>
      <c r="U28" s="279"/>
      <c r="V28" s="300">
        <f t="shared" si="6"/>
        <v>29648</v>
      </c>
      <c r="W28" s="278"/>
      <c r="X28" s="300">
        <f t="shared" si="7"/>
        <v>14824</v>
      </c>
      <c r="Y28" s="277"/>
      <c r="Z28" s="148"/>
      <c r="AA28" s="170"/>
    </row>
    <row r="29" spans="2:27" s="141" customFormat="1" ht="12.75" customHeight="1">
      <c r="B29" s="175" t="s">
        <v>133</v>
      </c>
      <c r="C29" s="199">
        <v>180000</v>
      </c>
      <c r="D29" s="200"/>
      <c r="E29" s="199">
        <v>6000</v>
      </c>
      <c r="F29" s="201"/>
      <c r="G29" s="202">
        <v>175000</v>
      </c>
      <c r="H29" s="201" t="s">
        <v>57</v>
      </c>
      <c r="I29" s="203">
        <v>185000</v>
      </c>
      <c r="J29" s="251">
        <f t="shared" si="0"/>
        <v>17946</v>
      </c>
      <c r="K29" s="204"/>
      <c r="L29" s="257">
        <f t="shared" si="1"/>
        <v>8973</v>
      </c>
      <c r="M29" s="205"/>
      <c r="N29" s="247">
        <f t="shared" si="2"/>
        <v>20736</v>
      </c>
      <c r="O29" s="204"/>
      <c r="P29" s="262">
        <f t="shared" si="3"/>
        <v>10368</v>
      </c>
      <c r="Q29" s="206"/>
      <c r="R29" s="244">
        <f t="shared" si="4"/>
        <v>30816</v>
      </c>
      <c r="S29" s="194"/>
      <c r="T29" s="244">
        <f t="shared" si="5"/>
        <v>15408</v>
      </c>
      <c r="U29" s="195"/>
      <c r="V29" s="244">
        <f t="shared" si="6"/>
        <v>31392</v>
      </c>
      <c r="W29" s="194"/>
      <c r="X29" s="244">
        <f t="shared" si="7"/>
        <v>15696</v>
      </c>
      <c r="Y29" s="188"/>
      <c r="Z29" s="148"/>
      <c r="AA29" s="170"/>
    </row>
    <row r="30" spans="2:27" s="141" customFormat="1" ht="12.75" customHeight="1">
      <c r="B30" s="264" t="s">
        <v>134</v>
      </c>
      <c r="C30" s="280">
        <v>190000</v>
      </c>
      <c r="D30" s="288"/>
      <c r="E30" s="280">
        <v>6330</v>
      </c>
      <c r="F30" s="289"/>
      <c r="G30" s="290">
        <v>185000</v>
      </c>
      <c r="H30" s="289" t="s">
        <v>57</v>
      </c>
      <c r="I30" s="284">
        <v>195000</v>
      </c>
      <c r="J30" s="304">
        <f t="shared" si="0"/>
        <v>18943</v>
      </c>
      <c r="K30" s="285"/>
      <c r="L30" s="307">
        <f t="shared" si="1"/>
        <v>9471.5</v>
      </c>
      <c r="M30" s="286"/>
      <c r="N30" s="302">
        <f t="shared" si="2"/>
        <v>21888</v>
      </c>
      <c r="O30" s="285"/>
      <c r="P30" s="310">
        <f t="shared" si="3"/>
        <v>10944</v>
      </c>
      <c r="Q30" s="287"/>
      <c r="R30" s="300">
        <f t="shared" si="4"/>
        <v>32528</v>
      </c>
      <c r="S30" s="278"/>
      <c r="T30" s="300">
        <f t="shared" si="5"/>
        <v>16264</v>
      </c>
      <c r="U30" s="279"/>
      <c r="V30" s="300">
        <f t="shared" si="6"/>
        <v>33136</v>
      </c>
      <c r="W30" s="278"/>
      <c r="X30" s="300">
        <f t="shared" si="7"/>
        <v>16568</v>
      </c>
      <c r="Y30" s="277"/>
      <c r="Z30" s="148"/>
      <c r="AA30" s="170"/>
    </row>
    <row r="31" spans="2:27" s="141" customFormat="1" ht="12.75" customHeight="1">
      <c r="B31" s="175" t="s">
        <v>135</v>
      </c>
      <c r="C31" s="199">
        <v>200000</v>
      </c>
      <c r="D31" s="200"/>
      <c r="E31" s="199">
        <v>6670</v>
      </c>
      <c r="F31" s="201"/>
      <c r="G31" s="202">
        <v>195000</v>
      </c>
      <c r="H31" s="201" t="s">
        <v>57</v>
      </c>
      <c r="I31" s="203">
        <v>210000</v>
      </c>
      <c r="J31" s="251">
        <f t="shared" si="0"/>
        <v>19940</v>
      </c>
      <c r="K31" s="208"/>
      <c r="L31" s="258">
        <f t="shared" si="1"/>
        <v>9970</v>
      </c>
      <c r="M31" s="205"/>
      <c r="N31" s="247">
        <f t="shared" si="2"/>
        <v>23040</v>
      </c>
      <c r="O31" s="204"/>
      <c r="P31" s="262">
        <f t="shared" si="3"/>
        <v>11520</v>
      </c>
      <c r="Q31" s="206"/>
      <c r="R31" s="244">
        <f t="shared" si="4"/>
        <v>34240</v>
      </c>
      <c r="S31" s="194"/>
      <c r="T31" s="244">
        <f t="shared" si="5"/>
        <v>17120</v>
      </c>
      <c r="U31" s="195"/>
      <c r="V31" s="244">
        <f t="shared" si="6"/>
        <v>34880</v>
      </c>
      <c r="W31" s="194"/>
      <c r="X31" s="244">
        <f t="shared" si="7"/>
        <v>17440</v>
      </c>
      <c r="Y31" s="188"/>
      <c r="Z31" s="148"/>
      <c r="AA31" s="170"/>
    </row>
    <row r="32" spans="2:27" s="141" customFormat="1" ht="12.75" customHeight="1">
      <c r="B32" s="264" t="s">
        <v>136</v>
      </c>
      <c r="C32" s="280">
        <v>220000</v>
      </c>
      <c r="D32" s="288"/>
      <c r="E32" s="280">
        <v>7330</v>
      </c>
      <c r="F32" s="289"/>
      <c r="G32" s="290">
        <v>210000</v>
      </c>
      <c r="H32" s="289" t="s">
        <v>57</v>
      </c>
      <c r="I32" s="284">
        <v>230000</v>
      </c>
      <c r="J32" s="304">
        <f t="shared" si="0"/>
        <v>21934</v>
      </c>
      <c r="K32" s="291"/>
      <c r="L32" s="308">
        <f t="shared" si="1"/>
        <v>10967</v>
      </c>
      <c r="M32" s="286"/>
      <c r="N32" s="302">
        <f t="shared" si="2"/>
        <v>25344</v>
      </c>
      <c r="O32" s="285"/>
      <c r="P32" s="310">
        <f t="shared" si="3"/>
        <v>12672</v>
      </c>
      <c r="Q32" s="287"/>
      <c r="R32" s="300">
        <f t="shared" si="4"/>
        <v>37664</v>
      </c>
      <c r="S32" s="278"/>
      <c r="T32" s="300">
        <f t="shared" si="5"/>
        <v>18832</v>
      </c>
      <c r="U32" s="279"/>
      <c r="V32" s="300">
        <f t="shared" si="6"/>
        <v>38368</v>
      </c>
      <c r="W32" s="278"/>
      <c r="X32" s="300">
        <f t="shared" si="7"/>
        <v>19184</v>
      </c>
      <c r="Y32" s="277"/>
      <c r="Z32" s="148"/>
      <c r="AA32" s="170"/>
    </row>
    <row r="33" spans="2:27" s="141" customFormat="1" ht="12.75" customHeight="1">
      <c r="B33" s="175" t="s">
        <v>137</v>
      </c>
      <c r="C33" s="199">
        <v>240000</v>
      </c>
      <c r="D33" s="200"/>
      <c r="E33" s="199">
        <v>8000</v>
      </c>
      <c r="F33" s="201"/>
      <c r="G33" s="202">
        <v>230000</v>
      </c>
      <c r="H33" s="201" t="s">
        <v>57</v>
      </c>
      <c r="I33" s="203">
        <v>250000</v>
      </c>
      <c r="J33" s="251">
        <f t="shared" si="0"/>
        <v>23928</v>
      </c>
      <c r="K33" s="208"/>
      <c r="L33" s="258">
        <f t="shared" si="1"/>
        <v>11964</v>
      </c>
      <c r="M33" s="205"/>
      <c r="N33" s="247">
        <f t="shared" si="2"/>
        <v>27648</v>
      </c>
      <c r="O33" s="204"/>
      <c r="P33" s="262">
        <f t="shared" si="3"/>
        <v>13824</v>
      </c>
      <c r="Q33" s="206"/>
      <c r="R33" s="244">
        <f t="shared" si="4"/>
        <v>41088</v>
      </c>
      <c r="S33" s="194"/>
      <c r="T33" s="244">
        <f t="shared" si="5"/>
        <v>20544</v>
      </c>
      <c r="U33" s="195"/>
      <c r="V33" s="244">
        <f t="shared" si="6"/>
        <v>41856</v>
      </c>
      <c r="W33" s="194"/>
      <c r="X33" s="244">
        <f t="shared" si="7"/>
        <v>20928</v>
      </c>
      <c r="Y33" s="188"/>
      <c r="Z33" s="148"/>
      <c r="AA33" s="170"/>
    </row>
    <row r="34" spans="2:27" s="141" customFormat="1" ht="12.75" customHeight="1">
      <c r="B34" s="264" t="s">
        <v>138</v>
      </c>
      <c r="C34" s="280">
        <v>260000</v>
      </c>
      <c r="D34" s="288"/>
      <c r="E34" s="280">
        <v>8670</v>
      </c>
      <c r="F34" s="289"/>
      <c r="G34" s="290">
        <v>250000</v>
      </c>
      <c r="H34" s="289" t="s">
        <v>57</v>
      </c>
      <c r="I34" s="284">
        <v>270000</v>
      </c>
      <c r="J34" s="304">
        <f t="shared" si="0"/>
        <v>25922</v>
      </c>
      <c r="K34" s="291"/>
      <c r="L34" s="308">
        <f t="shared" si="1"/>
        <v>12961</v>
      </c>
      <c r="M34" s="286"/>
      <c r="N34" s="302">
        <f t="shared" si="2"/>
        <v>29952</v>
      </c>
      <c r="O34" s="285"/>
      <c r="P34" s="310">
        <f t="shared" si="3"/>
        <v>14976</v>
      </c>
      <c r="Q34" s="287"/>
      <c r="R34" s="300">
        <f t="shared" si="4"/>
        <v>44512</v>
      </c>
      <c r="S34" s="278"/>
      <c r="T34" s="300">
        <f t="shared" si="5"/>
        <v>22256</v>
      </c>
      <c r="U34" s="279"/>
      <c r="V34" s="300">
        <f t="shared" si="6"/>
        <v>45344</v>
      </c>
      <c r="W34" s="278"/>
      <c r="X34" s="300">
        <f t="shared" si="7"/>
        <v>22672</v>
      </c>
      <c r="Y34" s="277"/>
      <c r="Z34" s="148"/>
      <c r="AA34" s="170"/>
    </row>
    <row r="35" spans="2:27" s="141" customFormat="1" ht="12.75" customHeight="1">
      <c r="B35" s="175" t="s">
        <v>139</v>
      </c>
      <c r="C35" s="199">
        <v>280000</v>
      </c>
      <c r="D35" s="209"/>
      <c r="E35" s="199">
        <v>9330</v>
      </c>
      <c r="F35" s="210"/>
      <c r="G35" s="202">
        <v>270000</v>
      </c>
      <c r="H35" s="210" t="s">
        <v>57</v>
      </c>
      <c r="I35" s="203">
        <v>290000</v>
      </c>
      <c r="J35" s="251">
        <f t="shared" si="0"/>
        <v>27916</v>
      </c>
      <c r="K35" s="208"/>
      <c r="L35" s="258">
        <f t="shared" si="1"/>
        <v>13958</v>
      </c>
      <c r="M35" s="205"/>
      <c r="N35" s="247">
        <f t="shared" si="2"/>
        <v>32256</v>
      </c>
      <c r="O35" s="204"/>
      <c r="P35" s="262">
        <f t="shared" si="3"/>
        <v>16128</v>
      </c>
      <c r="Q35" s="206"/>
      <c r="R35" s="244">
        <f t="shared" si="4"/>
        <v>47936</v>
      </c>
      <c r="S35" s="194"/>
      <c r="T35" s="244">
        <f t="shared" si="5"/>
        <v>23968</v>
      </c>
      <c r="U35" s="195"/>
      <c r="V35" s="244">
        <f t="shared" si="6"/>
        <v>48832</v>
      </c>
      <c r="W35" s="194"/>
      <c r="X35" s="244">
        <f t="shared" si="7"/>
        <v>24416</v>
      </c>
      <c r="Y35" s="188"/>
      <c r="Z35" s="148"/>
      <c r="AA35" s="170"/>
    </row>
    <row r="36" spans="2:27" s="141" customFormat="1" ht="12.75" customHeight="1">
      <c r="B36" s="264" t="s">
        <v>140</v>
      </c>
      <c r="C36" s="280">
        <v>300000</v>
      </c>
      <c r="D36" s="288"/>
      <c r="E36" s="280">
        <v>10000</v>
      </c>
      <c r="F36" s="289"/>
      <c r="G36" s="290">
        <v>290000</v>
      </c>
      <c r="H36" s="289" t="s">
        <v>57</v>
      </c>
      <c r="I36" s="284">
        <v>310000</v>
      </c>
      <c r="J36" s="304">
        <f t="shared" si="0"/>
        <v>29910</v>
      </c>
      <c r="K36" s="291"/>
      <c r="L36" s="308">
        <f t="shared" si="1"/>
        <v>14955</v>
      </c>
      <c r="M36" s="286"/>
      <c r="N36" s="302">
        <f t="shared" si="2"/>
        <v>34560</v>
      </c>
      <c r="O36" s="285"/>
      <c r="P36" s="310">
        <f t="shared" si="3"/>
        <v>17280</v>
      </c>
      <c r="Q36" s="287"/>
      <c r="R36" s="300">
        <f t="shared" si="4"/>
        <v>51360</v>
      </c>
      <c r="S36" s="278"/>
      <c r="T36" s="300">
        <f t="shared" si="5"/>
        <v>25680</v>
      </c>
      <c r="U36" s="279"/>
      <c r="V36" s="300">
        <f t="shared" si="6"/>
        <v>52320</v>
      </c>
      <c r="W36" s="278"/>
      <c r="X36" s="300">
        <f t="shared" si="7"/>
        <v>26160</v>
      </c>
      <c r="Y36" s="277"/>
      <c r="Z36" s="148"/>
      <c r="AA36" s="170"/>
    </row>
    <row r="37" spans="2:27" s="141" customFormat="1" ht="12.75" customHeight="1">
      <c r="B37" s="175" t="s">
        <v>141</v>
      </c>
      <c r="C37" s="199">
        <v>320000</v>
      </c>
      <c r="D37" s="200"/>
      <c r="E37" s="199">
        <v>10670</v>
      </c>
      <c r="F37" s="201"/>
      <c r="G37" s="202">
        <v>310000</v>
      </c>
      <c r="H37" s="201" t="s">
        <v>57</v>
      </c>
      <c r="I37" s="203">
        <v>330000</v>
      </c>
      <c r="J37" s="251">
        <f t="shared" si="0"/>
        <v>31904</v>
      </c>
      <c r="K37" s="208"/>
      <c r="L37" s="258">
        <f t="shared" si="1"/>
        <v>15952</v>
      </c>
      <c r="M37" s="205"/>
      <c r="N37" s="247">
        <f t="shared" si="2"/>
        <v>36864</v>
      </c>
      <c r="O37" s="204"/>
      <c r="P37" s="262">
        <f t="shared" si="3"/>
        <v>18432</v>
      </c>
      <c r="Q37" s="206"/>
      <c r="R37" s="244">
        <f t="shared" si="4"/>
        <v>54784</v>
      </c>
      <c r="S37" s="194"/>
      <c r="T37" s="244">
        <f t="shared" si="5"/>
        <v>27392</v>
      </c>
      <c r="U37" s="195"/>
      <c r="V37" s="244">
        <f t="shared" si="6"/>
        <v>55808</v>
      </c>
      <c r="W37" s="194"/>
      <c r="X37" s="244">
        <f t="shared" si="7"/>
        <v>27904</v>
      </c>
      <c r="Y37" s="188"/>
      <c r="Z37" s="148"/>
      <c r="AA37" s="170"/>
    </row>
    <row r="38" spans="2:27" s="141" customFormat="1" ht="12.75" customHeight="1">
      <c r="B38" s="264" t="s">
        <v>142</v>
      </c>
      <c r="C38" s="280">
        <v>340000</v>
      </c>
      <c r="D38" s="288"/>
      <c r="E38" s="280">
        <v>11330</v>
      </c>
      <c r="F38" s="289"/>
      <c r="G38" s="290">
        <v>330000</v>
      </c>
      <c r="H38" s="289" t="s">
        <v>57</v>
      </c>
      <c r="I38" s="284">
        <v>350000</v>
      </c>
      <c r="J38" s="304">
        <f t="shared" si="0"/>
        <v>33898</v>
      </c>
      <c r="K38" s="291"/>
      <c r="L38" s="308">
        <f t="shared" si="1"/>
        <v>16949</v>
      </c>
      <c r="M38" s="286"/>
      <c r="N38" s="302">
        <f t="shared" si="2"/>
        <v>39168</v>
      </c>
      <c r="O38" s="285"/>
      <c r="P38" s="310">
        <f t="shared" si="3"/>
        <v>19584</v>
      </c>
      <c r="Q38" s="287"/>
      <c r="R38" s="300">
        <f t="shared" si="4"/>
        <v>58208</v>
      </c>
      <c r="S38" s="278"/>
      <c r="T38" s="300">
        <f t="shared" si="5"/>
        <v>29104</v>
      </c>
      <c r="U38" s="279"/>
      <c r="V38" s="300">
        <f t="shared" si="6"/>
        <v>59296</v>
      </c>
      <c r="W38" s="278"/>
      <c r="X38" s="300">
        <f t="shared" si="7"/>
        <v>29648</v>
      </c>
      <c r="Y38" s="277"/>
      <c r="Z38" s="148"/>
      <c r="AA38" s="170"/>
    </row>
    <row r="39" spans="2:27" s="141" customFormat="1" ht="12.75" customHeight="1">
      <c r="B39" s="175" t="s">
        <v>143</v>
      </c>
      <c r="C39" s="199">
        <v>360000</v>
      </c>
      <c r="D39" s="200"/>
      <c r="E39" s="199">
        <v>12000</v>
      </c>
      <c r="F39" s="201"/>
      <c r="G39" s="202">
        <v>350000</v>
      </c>
      <c r="H39" s="201" t="s">
        <v>57</v>
      </c>
      <c r="I39" s="203">
        <v>370000</v>
      </c>
      <c r="J39" s="251">
        <f t="shared" si="0"/>
        <v>35892</v>
      </c>
      <c r="K39" s="208"/>
      <c r="L39" s="258">
        <f t="shared" si="1"/>
        <v>17946</v>
      </c>
      <c r="M39" s="205"/>
      <c r="N39" s="247">
        <f t="shared" si="2"/>
        <v>41472</v>
      </c>
      <c r="O39" s="204"/>
      <c r="P39" s="262">
        <f t="shared" si="3"/>
        <v>20736</v>
      </c>
      <c r="Q39" s="206"/>
      <c r="R39" s="244">
        <f t="shared" si="4"/>
        <v>61632</v>
      </c>
      <c r="S39" s="194"/>
      <c r="T39" s="244">
        <f t="shared" si="5"/>
        <v>30816</v>
      </c>
      <c r="U39" s="195"/>
      <c r="V39" s="244">
        <f t="shared" si="6"/>
        <v>62784</v>
      </c>
      <c r="W39" s="194"/>
      <c r="X39" s="244">
        <f t="shared" si="7"/>
        <v>31392</v>
      </c>
      <c r="Y39" s="188"/>
      <c r="Z39" s="148"/>
      <c r="AA39" s="170"/>
    </row>
    <row r="40" spans="2:27" s="141" customFormat="1" ht="12.75" customHeight="1">
      <c r="B40" s="264" t="s">
        <v>144</v>
      </c>
      <c r="C40" s="280">
        <v>380000</v>
      </c>
      <c r="D40" s="288"/>
      <c r="E40" s="280">
        <v>12670</v>
      </c>
      <c r="F40" s="289"/>
      <c r="G40" s="290">
        <v>370000</v>
      </c>
      <c r="H40" s="289" t="s">
        <v>57</v>
      </c>
      <c r="I40" s="284">
        <v>395000</v>
      </c>
      <c r="J40" s="304">
        <f t="shared" si="0"/>
        <v>37886</v>
      </c>
      <c r="K40" s="291"/>
      <c r="L40" s="308">
        <f t="shared" si="1"/>
        <v>18943</v>
      </c>
      <c r="M40" s="286"/>
      <c r="N40" s="302">
        <f t="shared" si="2"/>
        <v>43776</v>
      </c>
      <c r="O40" s="285"/>
      <c r="P40" s="310">
        <f t="shared" si="3"/>
        <v>21888</v>
      </c>
      <c r="Q40" s="287"/>
      <c r="R40" s="300">
        <f t="shared" si="4"/>
        <v>65056</v>
      </c>
      <c r="S40" s="278"/>
      <c r="T40" s="300">
        <f t="shared" si="5"/>
        <v>32528</v>
      </c>
      <c r="U40" s="279"/>
      <c r="V40" s="300">
        <f t="shared" si="6"/>
        <v>66272</v>
      </c>
      <c r="W40" s="278"/>
      <c r="X40" s="300">
        <f t="shared" si="7"/>
        <v>33136</v>
      </c>
      <c r="Y40" s="277"/>
      <c r="Z40" s="148"/>
      <c r="AA40" s="170"/>
    </row>
    <row r="41" spans="2:27" s="141" customFormat="1" ht="12.75" customHeight="1">
      <c r="B41" s="175" t="s">
        <v>145</v>
      </c>
      <c r="C41" s="199">
        <v>410000</v>
      </c>
      <c r="D41" s="200"/>
      <c r="E41" s="199">
        <v>13670</v>
      </c>
      <c r="F41" s="201"/>
      <c r="G41" s="202">
        <v>395000</v>
      </c>
      <c r="H41" s="201" t="s">
        <v>57</v>
      </c>
      <c r="I41" s="203">
        <v>425000</v>
      </c>
      <c r="J41" s="251">
        <f t="shared" si="0"/>
        <v>40877</v>
      </c>
      <c r="K41" s="208"/>
      <c r="L41" s="258">
        <f t="shared" si="1"/>
        <v>20438.5</v>
      </c>
      <c r="M41" s="205"/>
      <c r="N41" s="247">
        <f t="shared" si="2"/>
        <v>47232</v>
      </c>
      <c r="O41" s="204"/>
      <c r="P41" s="262">
        <f t="shared" si="3"/>
        <v>23616</v>
      </c>
      <c r="Q41" s="206"/>
      <c r="R41" s="244">
        <f t="shared" si="4"/>
        <v>70192</v>
      </c>
      <c r="S41" s="194"/>
      <c r="T41" s="244">
        <f t="shared" si="5"/>
        <v>35096</v>
      </c>
      <c r="U41" s="195"/>
      <c r="V41" s="244">
        <f t="shared" si="6"/>
        <v>71504</v>
      </c>
      <c r="W41" s="194"/>
      <c r="X41" s="244">
        <f t="shared" si="7"/>
        <v>35752</v>
      </c>
      <c r="Y41" s="188"/>
      <c r="Z41" s="148"/>
      <c r="AA41" s="170"/>
    </row>
    <row r="42" spans="2:27" s="141" customFormat="1" ht="12.75" customHeight="1">
      <c r="B42" s="264" t="s">
        <v>146</v>
      </c>
      <c r="C42" s="280">
        <v>440000</v>
      </c>
      <c r="D42" s="288"/>
      <c r="E42" s="280">
        <v>14670</v>
      </c>
      <c r="F42" s="289"/>
      <c r="G42" s="290">
        <v>425000</v>
      </c>
      <c r="H42" s="289" t="s">
        <v>57</v>
      </c>
      <c r="I42" s="284">
        <v>455000</v>
      </c>
      <c r="J42" s="304">
        <f t="shared" si="0"/>
        <v>43868</v>
      </c>
      <c r="K42" s="291"/>
      <c r="L42" s="308">
        <f t="shared" si="1"/>
        <v>21934</v>
      </c>
      <c r="M42" s="286"/>
      <c r="N42" s="302">
        <f t="shared" si="2"/>
        <v>50688</v>
      </c>
      <c r="O42" s="285"/>
      <c r="P42" s="310">
        <f t="shared" si="3"/>
        <v>25344</v>
      </c>
      <c r="Q42" s="287"/>
      <c r="R42" s="300">
        <f t="shared" si="4"/>
        <v>75328</v>
      </c>
      <c r="S42" s="278"/>
      <c r="T42" s="300">
        <f t="shared" si="5"/>
        <v>37664</v>
      </c>
      <c r="U42" s="279"/>
      <c r="V42" s="300">
        <f t="shared" si="6"/>
        <v>76736</v>
      </c>
      <c r="W42" s="278"/>
      <c r="X42" s="300">
        <f t="shared" si="7"/>
        <v>38368</v>
      </c>
      <c r="Y42" s="277"/>
      <c r="Z42" s="148"/>
      <c r="AA42" s="170"/>
    </row>
    <row r="43" spans="2:27" s="141" customFormat="1" ht="12.75" customHeight="1">
      <c r="B43" s="175" t="s">
        <v>147</v>
      </c>
      <c r="C43" s="199">
        <v>470000</v>
      </c>
      <c r="D43" s="200"/>
      <c r="E43" s="199">
        <v>15670</v>
      </c>
      <c r="F43" s="201"/>
      <c r="G43" s="202">
        <v>455000</v>
      </c>
      <c r="H43" s="201" t="s">
        <v>57</v>
      </c>
      <c r="I43" s="203">
        <v>485000</v>
      </c>
      <c r="J43" s="251">
        <f t="shared" si="0"/>
        <v>46859</v>
      </c>
      <c r="K43" s="208"/>
      <c r="L43" s="258">
        <f t="shared" si="1"/>
        <v>23429.5</v>
      </c>
      <c r="M43" s="205"/>
      <c r="N43" s="247">
        <f t="shared" si="2"/>
        <v>54144</v>
      </c>
      <c r="O43" s="204"/>
      <c r="P43" s="262">
        <f t="shared" si="3"/>
        <v>27072</v>
      </c>
      <c r="Q43" s="206"/>
      <c r="R43" s="244">
        <f t="shared" si="4"/>
        <v>80464</v>
      </c>
      <c r="S43" s="194"/>
      <c r="T43" s="244">
        <f t="shared" si="5"/>
        <v>40232</v>
      </c>
      <c r="U43" s="195"/>
      <c r="V43" s="244">
        <f t="shared" si="6"/>
        <v>81968</v>
      </c>
      <c r="W43" s="194"/>
      <c r="X43" s="244">
        <f t="shared" si="7"/>
        <v>40984</v>
      </c>
      <c r="Y43" s="188"/>
      <c r="Z43" s="148"/>
      <c r="AA43" s="170"/>
    </row>
    <row r="44" spans="2:27" s="141" customFormat="1" ht="12.75" customHeight="1">
      <c r="B44" s="264" t="s">
        <v>148</v>
      </c>
      <c r="C44" s="280">
        <v>500000</v>
      </c>
      <c r="D44" s="288"/>
      <c r="E44" s="280">
        <v>16670</v>
      </c>
      <c r="F44" s="289"/>
      <c r="G44" s="290">
        <v>485000</v>
      </c>
      <c r="H44" s="289" t="s">
        <v>57</v>
      </c>
      <c r="I44" s="284">
        <v>515000</v>
      </c>
      <c r="J44" s="304">
        <f t="shared" si="0"/>
        <v>49850</v>
      </c>
      <c r="K44" s="291"/>
      <c r="L44" s="308">
        <f t="shared" si="1"/>
        <v>24925</v>
      </c>
      <c r="M44" s="286"/>
      <c r="N44" s="302">
        <f t="shared" si="2"/>
        <v>57600</v>
      </c>
      <c r="O44" s="285"/>
      <c r="P44" s="310">
        <f t="shared" si="3"/>
        <v>28800</v>
      </c>
      <c r="Q44" s="292"/>
      <c r="R44" s="300">
        <f t="shared" si="4"/>
        <v>85600</v>
      </c>
      <c r="S44" s="278"/>
      <c r="T44" s="300">
        <f t="shared" si="5"/>
        <v>42800</v>
      </c>
      <c r="U44" s="279"/>
      <c r="V44" s="300">
        <f t="shared" si="6"/>
        <v>87200</v>
      </c>
      <c r="W44" s="278"/>
      <c r="X44" s="300">
        <f t="shared" si="7"/>
        <v>43600</v>
      </c>
      <c r="Y44" s="277"/>
      <c r="Z44" s="148"/>
      <c r="AA44" s="170"/>
    </row>
    <row r="45" spans="2:27" s="141" customFormat="1" ht="12.75" customHeight="1">
      <c r="B45" s="175" t="s">
        <v>149</v>
      </c>
      <c r="C45" s="199">
        <v>530000</v>
      </c>
      <c r="D45" s="200"/>
      <c r="E45" s="199">
        <v>17670</v>
      </c>
      <c r="F45" s="201"/>
      <c r="G45" s="202">
        <v>515000</v>
      </c>
      <c r="H45" s="201" t="s">
        <v>57</v>
      </c>
      <c r="I45" s="203">
        <v>545000</v>
      </c>
      <c r="J45" s="251">
        <f t="shared" si="0"/>
        <v>52841</v>
      </c>
      <c r="K45" s="208"/>
      <c r="L45" s="258">
        <f t="shared" si="1"/>
        <v>26420.5</v>
      </c>
      <c r="M45" s="205"/>
      <c r="N45" s="247">
        <f t="shared" si="2"/>
        <v>61056</v>
      </c>
      <c r="O45" s="204"/>
      <c r="P45" s="262">
        <f t="shared" si="3"/>
        <v>30528</v>
      </c>
      <c r="Q45" s="211"/>
      <c r="R45" s="244">
        <f t="shared" si="4"/>
        <v>90736</v>
      </c>
      <c r="S45" s="194"/>
      <c r="T45" s="244">
        <f t="shared" si="5"/>
        <v>45368</v>
      </c>
      <c r="U45" s="195"/>
      <c r="V45" s="244">
        <f t="shared" si="6"/>
        <v>92432</v>
      </c>
      <c r="W45" s="194"/>
      <c r="X45" s="244">
        <f t="shared" si="7"/>
        <v>46216</v>
      </c>
      <c r="Y45" s="188"/>
      <c r="Z45" s="148"/>
      <c r="AA45" s="170"/>
    </row>
    <row r="46" spans="2:27" s="141" customFormat="1" ht="12.75" customHeight="1">
      <c r="B46" s="264" t="s">
        <v>150</v>
      </c>
      <c r="C46" s="280">
        <v>560000</v>
      </c>
      <c r="D46" s="288"/>
      <c r="E46" s="280">
        <v>18670</v>
      </c>
      <c r="F46" s="289"/>
      <c r="G46" s="290">
        <v>545000</v>
      </c>
      <c r="H46" s="289" t="s">
        <v>57</v>
      </c>
      <c r="I46" s="284">
        <v>575000</v>
      </c>
      <c r="J46" s="304">
        <f t="shared" si="0"/>
        <v>55832</v>
      </c>
      <c r="K46" s="291"/>
      <c r="L46" s="308">
        <f t="shared" si="1"/>
        <v>27916</v>
      </c>
      <c r="M46" s="286"/>
      <c r="N46" s="302">
        <f t="shared" si="2"/>
        <v>64512</v>
      </c>
      <c r="O46" s="285"/>
      <c r="P46" s="310">
        <f t="shared" si="3"/>
        <v>32256</v>
      </c>
      <c r="Q46" s="293"/>
      <c r="R46" s="300">
        <f t="shared" si="4"/>
        <v>95872</v>
      </c>
      <c r="S46" s="278"/>
      <c r="T46" s="300">
        <f t="shared" si="5"/>
        <v>47936</v>
      </c>
      <c r="U46" s="279"/>
      <c r="V46" s="300">
        <f t="shared" si="6"/>
        <v>97664</v>
      </c>
      <c r="W46" s="278"/>
      <c r="X46" s="300">
        <f t="shared" si="7"/>
        <v>48832</v>
      </c>
      <c r="Y46" s="277"/>
      <c r="Z46" s="148"/>
      <c r="AA46" s="170"/>
    </row>
    <row r="47" spans="2:27" s="141" customFormat="1" ht="12.75" customHeight="1">
      <c r="B47" s="175" t="s">
        <v>151</v>
      </c>
      <c r="C47" s="199">
        <v>590000</v>
      </c>
      <c r="D47" s="200"/>
      <c r="E47" s="199">
        <v>19670</v>
      </c>
      <c r="F47" s="201"/>
      <c r="G47" s="202">
        <v>575000</v>
      </c>
      <c r="H47" s="201" t="s">
        <v>57</v>
      </c>
      <c r="I47" s="203">
        <v>605000</v>
      </c>
      <c r="J47" s="251">
        <f t="shared" si="0"/>
        <v>58823</v>
      </c>
      <c r="K47" s="208"/>
      <c r="L47" s="258">
        <f t="shared" si="1"/>
        <v>29411.5</v>
      </c>
      <c r="M47" s="205"/>
      <c r="N47" s="247">
        <f t="shared" si="2"/>
        <v>67968</v>
      </c>
      <c r="O47" s="204"/>
      <c r="P47" s="262">
        <f t="shared" si="3"/>
        <v>33984</v>
      </c>
      <c r="Q47" s="211"/>
      <c r="R47" s="244">
        <f t="shared" si="4"/>
        <v>101008</v>
      </c>
      <c r="S47" s="194"/>
      <c r="T47" s="244">
        <f t="shared" si="5"/>
        <v>50504</v>
      </c>
      <c r="U47" s="195"/>
      <c r="V47" s="244">
        <f t="shared" si="6"/>
        <v>102896</v>
      </c>
      <c r="W47" s="194"/>
      <c r="X47" s="244">
        <f t="shared" si="7"/>
        <v>51448</v>
      </c>
      <c r="Y47" s="188"/>
      <c r="Z47" s="148"/>
      <c r="AA47" s="170"/>
    </row>
    <row r="48" spans="2:27" s="141" customFormat="1" ht="12.75" customHeight="1" thickBot="1">
      <c r="B48" s="264" t="s">
        <v>152</v>
      </c>
      <c r="C48" s="280">
        <v>620000</v>
      </c>
      <c r="D48" s="288"/>
      <c r="E48" s="280">
        <v>20670</v>
      </c>
      <c r="F48" s="289"/>
      <c r="G48" s="290">
        <v>605000</v>
      </c>
      <c r="H48" s="289" t="s">
        <v>57</v>
      </c>
      <c r="I48" s="284">
        <v>635000</v>
      </c>
      <c r="J48" s="304">
        <f t="shared" si="0"/>
        <v>61814</v>
      </c>
      <c r="K48" s="291"/>
      <c r="L48" s="308">
        <f t="shared" si="1"/>
        <v>30907</v>
      </c>
      <c r="M48" s="286"/>
      <c r="N48" s="302">
        <f t="shared" si="2"/>
        <v>71424</v>
      </c>
      <c r="O48" s="285"/>
      <c r="P48" s="310">
        <f t="shared" si="3"/>
        <v>35712</v>
      </c>
      <c r="Q48" s="292"/>
      <c r="R48" s="301">
        <f t="shared" si="4"/>
        <v>106144</v>
      </c>
      <c r="S48" s="294"/>
      <c r="T48" s="301">
        <f t="shared" si="5"/>
        <v>53072</v>
      </c>
      <c r="U48" s="295"/>
      <c r="V48" s="301">
        <f t="shared" si="6"/>
        <v>108128</v>
      </c>
      <c r="W48" s="294"/>
      <c r="X48" s="301">
        <f t="shared" si="7"/>
        <v>54064</v>
      </c>
      <c r="Y48" s="296"/>
      <c r="Z48" s="148"/>
      <c r="AA48" s="170"/>
    </row>
    <row r="49" spans="2:27" s="141" customFormat="1" ht="12.75" customHeight="1" thickTop="1">
      <c r="B49" s="212">
        <v>35</v>
      </c>
      <c r="C49" s="199">
        <v>650000</v>
      </c>
      <c r="D49" s="200"/>
      <c r="E49" s="199">
        <v>21670</v>
      </c>
      <c r="F49" s="201"/>
      <c r="G49" s="202">
        <v>635000</v>
      </c>
      <c r="H49" s="201" t="s">
        <v>57</v>
      </c>
      <c r="I49" s="203">
        <v>665000</v>
      </c>
      <c r="J49" s="251">
        <f t="shared" si="0"/>
        <v>64805</v>
      </c>
      <c r="K49" s="208"/>
      <c r="L49" s="258">
        <f t="shared" si="1"/>
        <v>32402.5</v>
      </c>
      <c r="M49" s="205"/>
      <c r="N49" s="247">
        <f t="shared" si="2"/>
        <v>74880</v>
      </c>
      <c r="O49" s="204"/>
      <c r="P49" s="262">
        <f t="shared" si="3"/>
        <v>37440</v>
      </c>
      <c r="Q49" s="213"/>
      <c r="R49" s="1485" t="s">
        <v>172</v>
      </c>
      <c r="S49" s="1486"/>
      <c r="T49" s="1486"/>
      <c r="U49" s="1486"/>
      <c r="V49" s="1486"/>
      <c r="W49" s="1486"/>
      <c r="X49" s="1486"/>
      <c r="Y49" s="1486"/>
      <c r="Z49" s="170"/>
      <c r="AA49" s="170"/>
    </row>
    <row r="50" spans="2:27" s="141" customFormat="1" ht="12.75" customHeight="1">
      <c r="B50" s="297">
        <v>36</v>
      </c>
      <c r="C50" s="280">
        <v>680000</v>
      </c>
      <c r="D50" s="288"/>
      <c r="E50" s="280">
        <v>22670</v>
      </c>
      <c r="F50" s="289"/>
      <c r="G50" s="290">
        <v>665000</v>
      </c>
      <c r="H50" s="289" t="s">
        <v>57</v>
      </c>
      <c r="I50" s="284">
        <v>695000</v>
      </c>
      <c r="J50" s="304">
        <f t="shared" si="0"/>
        <v>67796</v>
      </c>
      <c r="K50" s="291"/>
      <c r="L50" s="308">
        <f t="shared" si="1"/>
        <v>33898</v>
      </c>
      <c r="M50" s="286"/>
      <c r="N50" s="302">
        <f t="shared" si="2"/>
        <v>78336</v>
      </c>
      <c r="O50" s="285"/>
      <c r="P50" s="310">
        <f t="shared" si="3"/>
        <v>39168</v>
      </c>
      <c r="Q50" s="293"/>
      <c r="R50" s="1487"/>
      <c r="S50" s="1487"/>
      <c r="T50" s="1487"/>
      <c r="U50" s="1487"/>
      <c r="V50" s="1487"/>
      <c r="W50" s="1487"/>
      <c r="X50" s="1487"/>
      <c r="Y50" s="1487"/>
      <c r="Z50" s="170"/>
      <c r="AA50" s="170"/>
    </row>
    <row r="51" spans="2:26" s="141" customFormat="1" ht="12.75" customHeight="1">
      <c r="B51" s="212">
        <v>37</v>
      </c>
      <c r="C51" s="199">
        <v>710000</v>
      </c>
      <c r="D51" s="200"/>
      <c r="E51" s="199">
        <v>23670</v>
      </c>
      <c r="F51" s="201"/>
      <c r="G51" s="202">
        <v>695000</v>
      </c>
      <c r="H51" s="201" t="s">
        <v>57</v>
      </c>
      <c r="I51" s="203">
        <v>730000</v>
      </c>
      <c r="J51" s="251">
        <f t="shared" si="0"/>
        <v>70787</v>
      </c>
      <c r="K51" s="208"/>
      <c r="L51" s="258">
        <f t="shared" si="1"/>
        <v>35393.5</v>
      </c>
      <c r="M51" s="205"/>
      <c r="N51" s="247">
        <f t="shared" si="2"/>
        <v>81792</v>
      </c>
      <c r="O51" s="204"/>
      <c r="P51" s="262">
        <f t="shared" si="3"/>
        <v>40896</v>
      </c>
      <c r="Q51" s="211"/>
      <c r="R51" s="1487"/>
      <c r="S51" s="1487"/>
      <c r="T51" s="1487"/>
      <c r="U51" s="1487"/>
      <c r="V51" s="1487"/>
      <c r="W51" s="1487"/>
      <c r="X51" s="1487"/>
      <c r="Y51" s="1487"/>
      <c r="Z51" s="170"/>
    </row>
    <row r="52" spans="2:26" s="141" customFormat="1" ht="12.75" customHeight="1">
      <c r="B52" s="297">
        <v>38</v>
      </c>
      <c r="C52" s="280">
        <v>750000</v>
      </c>
      <c r="D52" s="288"/>
      <c r="E52" s="280">
        <v>25000</v>
      </c>
      <c r="F52" s="289"/>
      <c r="G52" s="290">
        <v>730000</v>
      </c>
      <c r="H52" s="289" t="s">
        <v>57</v>
      </c>
      <c r="I52" s="284">
        <v>770000</v>
      </c>
      <c r="J52" s="304">
        <f t="shared" si="0"/>
        <v>74775</v>
      </c>
      <c r="K52" s="291"/>
      <c r="L52" s="308">
        <f t="shared" si="1"/>
        <v>37387.5</v>
      </c>
      <c r="M52" s="286"/>
      <c r="N52" s="302">
        <f t="shared" si="2"/>
        <v>86400</v>
      </c>
      <c r="O52" s="285"/>
      <c r="P52" s="310">
        <f t="shared" si="3"/>
        <v>43200</v>
      </c>
      <c r="Q52" s="293"/>
      <c r="R52" s="1487"/>
      <c r="S52" s="1487"/>
      <c r="T52" s="1487"/>
      <c r="U52" s="1487"/>
      <c r="V52" s="1487"/>
      <c r="W52" s="1487"/>
      <c r="X52" s="1487"/>
      <c r="Y52" s="1487"/>
      <c r="Z52" s="170"/>
    </row>
    <row r="53" spans="2:26" s="141" customFormat="1" ht="12.75" customHeight="1">
      <c r="B53" s="212">
        <v>39</v>
      </c>
      <c r="C53" s="199">
        <v>790000</v>
      </c>
      <c r="D53" s="200"/>
      <c r="E53" s="199">
        <v>26330</v>
      </c>
      <c r="F53" s="201"/>
      <c r="G53" s="202">
        <v>770000</v>
      </c>
      <c r="H53" s="201" t="s">
        <v>57</v>
      </c>
      <c r="I53" s="203">
        <v>810000</v>
      </c>
      <c r="J53" s="251">
        <f t="shared" si="0"/>
        <v>78763</v>
      </c>
      <c r="K53" s="208"/>
      <c r="L53" s="258">
        <f t="shared" si="1"/>
        <v>39381.5</v>
      </c>
      <c r="M53" s="205"/>
      <c r="N53" s="247">
        <f t="shared" si="2"/>
        <v>91008</v>
      </c>
      <c r="O53" s="204"/>
      <c r="P53" s="262">
        <f t="shared" si="3"/>
        <v>45504</v>
      </c>
      <c r="Q53" s="211"/>
      <c r="R53" s="1487"/>
      <c r="S53" s="1487"/>
      <c r="T53" s="1487"/>
      <c r="U53" s="1487"/>
      <c r="V53" s="1487"/>
      <c r="W53" s="1487"/>
      <c r="X53" s="1487"/>
      <c r="Y53" s="1487"/>
      <c r="Z53" s="170"/>
    </row>
    <row r="54" spans="2:26" s="141" customFormat="1" ht="12.75" customHeight="1">
      <c r="B54" s="297">
        <v>40</v>
      </c>
      <c r="C54" s="280">
        <v>830000</v>
      </c>
      <c r="D54" s="288"/>
      <c r="E54" s="280">
        <v>27670</v>
      </c>
      <c r="F54" s="289"/>
      <c r="G54" s="290">
        <v>810000</v>
      </c>
      <c r="H54" s="289" t="s">
        <v>57</v>
      </c>
      <c r="I54" s="284">
        <v>855000</v>
      </c>
      <c r="J54" s="304">
        <f t="shared" si="0"/>
        <v>82751</v>
      </c>
      <c r="K54" s="291"/>
      <c r="L54" s="308">
        <f t="shared" si="1"/>
        <v>41375.5</v>
      </c>
      <c r="M54" s="286"/>
      <c r="N54" s="302">
        <f t="shared" si="2"/>
        <v>95616</v>
      </c>
      <c r="O54" s="285"/>
      <c r="P54" s="310">
        <f t="shared" si="3"/>
        <v>47808</v>
      </c>
      <c r="Q54" s="293"/>
      <c r="R54" s="1487"/>
      <c r="S54" s="1487"/>
      <c r="T54" s="1487"/>
      <c r="U54" s="1487"/>
      <c r="V54" s="1487"/>
      <c r="W54" s="1487"/>
      <c r="X54" s="1487"/>
      <c r="Y54" s="1487"/>
      <c r="Z54" s="170"/>
    </row>
    <row r="55" spans="2:26" s="141" customFormat="1" ht="12.75" customHeight="1">
      <c r="B55" s="212">
        <v>41</v>
      </c>
      <c r="C55" s="161">
        <v>880000</v>
      </c>
      <c r="D55" s="215"/>
      <c r="E55" s="161">
        <v>29330</v>
      </c>
      <c r="F55" s="216"/>
      <c r="G55" s="217">
        <v>855000</v>
      </c>
      <c r="H55" s="216" t="s">
        <v>57</v>
      </c>
      <c r="I55" s="218">
        <v>905000</v>
      </c>
      <c r="J55" s="252">
        <f t="shared" si="0"/>
        <v>87736</v>
      </c>
      <c r="K55" s="164"/>
      <c r="L55" s="259">
        <f t="shared" si="1"/>
        <v>43868</v>
      </c>
      <c r="M55" s="219"/>
      <c r="N55" s="247">
        <f t="shared" si="2"/>
        <v>101376</v>
      </c>
      <c r="O55" s="220"/>
      <c r="P55" s="262">
        <f t="shared" si="3"/>
        <v>50688</v>
      </c>
      <c r="Q55" s="221"/>
      <c r="R55" s="1487"/>
      <c r="S55" s="1487"/>
      <c r="T55" s="1487"/>
      <c r="U55" s="1487"/>
      <c r="V55" s="1487"/>
      <c r="W55" s="1487"/>
      <c r="X55" s="1487"/>
      <c r="Y55" s="1487"/>
      <c r="Z55" s="170"/>
    </row>
    <row r="56" spans="2:26" s="141" customFormat="1" ht="12.75" customHeight="1">
      <c r="B56" s="297">
        <v>42</v>
      </c>
      <c r="C56" s="265">
        <v>930000</v>
      </c>
      <c r="D56" s="266"/>
      <c r="E56" s="265">
        <v>31000</v>
      </c>
      <c r="F56" s="269"/>
      <c r="G56" s="273">
        <v>905000</v>
      </c>
      <c r="H56" s="269" t="s">
        <v>57</v>
      </c>
      <c r="I56" s="274">
        <v>955000</v>
      </c>
      <c r="J56" s="303">
        <f t="shared" si="0"/>
        <v>92721</v>
      </c>
      <c r="K56" s="268"/>
      <c r="L56" s="309">
        <f t="shared" si="1"/>
        <v>46360.5</v>
      </c>
      <c r="M56" s="276"/>
      <c r="N56" s="302">
        <f t="shared" si="2"/>
        <v>107136</v>
      </c>
      <c r="O56" s="275"/>
      <c r="P56" s="310">
        <f t="shared" si="3"/>
        <v>53568</v>
      </c>
      <c r="Q56" s="298"/>
      <c r="R56" s="1487"/>
      <c r="S56" s="1487"/>
      <c r="T56" s="1487"/>
      <c r="U56" s="1487"/>
      <c r="V56" s="1487"/>
      <c r="W56" s="1487"/>
      <c r="X56" s="1487"/>
      <c r="Y56" s="1487"/>
      <c r="Z56" s="170"/>
    </row>
    <row r="57" spans="2:49" s="141" customFormat="1" ht="12.75" customHeight="1">
      <c r="B57" s="222">
        <v>43</v>
      </c>
      <c r="C57" s="176">
        <v>980000</v>
      </c>
      <c r="D57" s="177"/>
      <c r="E57" s="176">
        <v>32670</v>
      </c>
      <c r="F57" s="180"/>
      <c r="G57" s="184">
        <v>955000</v>
      </c>
      <c r="H57" s="180" t="s">
        <v>57</v>
      </c>
      <c r="I57" s="185">
        <v>1005000</v>
      </c>
      <c r="J57" s="248">
        <f t="shared" si="0"/>
        <v>97706</v>
      </c>
      <c r="K57" s="186"/>
      <c r="L57" s="256">
        <f t="shared" si="1"/>
        <v>48853</v>
      </c>
      <c r="M57" s="187"/>
      <c r="N57" s="247">
        <f t="shared" si="2"/>
        <v>112896</v>
      </c>
      <c r="O57" s="186"/>
      <c r="P57" s="262">
        <f t="shared" si="3"/>
        <v>56448</v>
      </c>
      <c r="Q57" s="223"/>
      <c r="R57" s="1487"/>
      <c r="S57" s="1487"/>
      <c r="T57" s="1487"/>
      <c r="U57" s="1487"/>
      <c r="V57" s="1487"/>
      <c r="W57" s="1487"/>
      <c r="X57" s="1487"/>
      <c r="Y57" s="1487"/>
      <c r="Z57" s="148"/>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row>
    <row r="58" spans="2:49" s="141" customFormat="1" ht="12.75" customHeight="1">
      <c r="B58" s="299">
        <v>44</v>
      </c>
      <c r="C58" s="268">
        <v>1030000</v>
      </c>
      <c r="D58" s="276"/>
      <c r="E58" s="268">
        <v>34330</v>
      </c>
      <c r="F58" s="271"/>
      <c r="G58" s="268">
        <v>1005000</v>
      </c>
      <c r="H58" s="269" t="s">
        <v>57</v>
      </c>
      <c r="I58" s="267">
        <v>1055000</v>
      </c>
      <c r="J58" s="303">
        <f t="shared" si="0"/>
        <v>102691</v>
      </c>
      <c r="K58" s="275"/>
      <c r="L58" s="306">
        <f t="shared" si="1"/>
        <v>51345.5</v>
      </c>
      <c r="M58" s="276"/>
      <c r="N58" s="302">
        <f t="shared" si="2"/>
        <v>118656</v>
      </c>
      <c r="O58" s="275"/>
      <c r="P58" s="310">
        <f t="shared" si="3"/>
        <v>59328</v>
      </c>
      <c r="Q58" s="298"/>
      <c r="R58" s="1487"/>
      <c r="S58" s="1487"/>
      <c r="T58" s="1487"/>
      <c r="U58" s="1487"/>
      <c r="V58" s="1487"/>
      <c r="W58" s="1487"/>
      <c r="X58" s="1487"/>
      <c r="Y58" s="1487"/>
      <c r="Z58" s="148"/>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row>
    <row r="59" spans="2:49" s="141" customFormat="1" ht="12.75" customHeight="1">
      <c r="B59" s="225">
        <v>45</v>
      </c>
      <c r="C59" s="179">
        <v>1090000</v>
      </c>
      <c r="D59" s="187"/>
      <c r="E59" s="179">
        <v>36330</v>
      </c>
      <c r="F59" s="182"/>
      <c r="G59" s="179">
        <v>1055000</v>
      </c>
      <c r="H59" s="180" t="s">
        <v>57</v>
      </c>
      <c r="I59" s="178">
        <v>1115000</v>
      </c>
      <c r="J59" s="248">
        <f t="shared" si="0"/>
        <v>108673</v>
      </c>
      <c r="K59" s="186"/>
      <c r="L59" s="256">
        <f t="shared" si="1"/>
        <v>54336.5</v>
      </c>
      <c r="M59" s="187"/>
      <c r="N59" s="247">
        <f t="shared" si="2"/>
        <v>125568</v>
      </c>
      <c r="O59" s="186"/>
      <c r="P59" s="262">
        <f t="shared" si="3"/>
        <v>62784</v>
      </c>
      <c r="Q59" s="223"/>
      <c r="R59" s="1487"/>
      <c r="S59" s="1487"/>
      <c r="T59" s="1487"/>
      <c r="U59" s="1487"/>
      <c r="V59" s="1487"/>
      <c r="W59" s="1487"/>
      <c r="X59" s="1487"/>
      <c r="Y59" s="1487"/>
      <c r="Z59" s="148"/>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row>
    <row r="60" spans="2:49" s="141" customFormat="1" ht="12.75" customHeight="1">
      <c r="B60" s="299">
        <v>46</v>
      </c>
      <c r="C60" s="268">
        <v>1150000</v>
      </c>
      <c r="D60" s="276"/>
      <c r="E60" s="268">
        <v>38330</v>
      </c>
      <c r="F60" s="271"/>
      <c r="G60" s="268">
        <v>1115000</v>
      </c>
      <c r="H60" s="269" t="s">
        <v>57</v>
      </c>
      <c r="I60" s="267">
        <v>1175000</v>
      </c>
      <c r="J60" s="303">
        <f t="shared" si="0"/>
        <v>114655</v>
      </c>
      <c r="K60" s="275"/>
      <c r="L60" s="306">
        <f t="shared" si="1"/>
        <v>57327.5</v>
      </c>
      <c r="M60" s="276"/>
      <c r="N60" s="302">
        <f t="shared" si="2"/>
        <v>132480</v>
      </c>
      <c r="O60" s="275"/>
      <c r="P60" s="310">
        <f t="shared" si="3"/>
        <v>66240</v>
      </c>
      <c r="Q60" s="277"/>
      <c r="R60" s="1487"/>
      <c r="S60" s="1487"/>
      <c r="T60" s="1487"/>
      <c r="U60" s="1487"/>
      <c r="V60" s="1487"/>
      <c r="W60" s="1487"/>
      <c r="X60" s="1487"/>
      <c r="Y60" s="1487"/>
      <c r="Z60" s="148"/>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row>
    <row r="61" spans="2:49" s="141" customFormat="1" ht="12.75" customHeight="1" thickBot="1">
      <c r="B61" s="226">
        <v>47</v>
      </c>
      <c r="C61" s="227">
        <v>1210000</v>
      </c>
      <c r="D61" s="228"/>
      <c r="E61" s="227">
        <v>40330</v>
      </c>
      <c r="F61" s="229"/>
      <c r="G61" s="227">
        <v>1175000</v>
      </c>
      <c r="H61" s="230" t="s">
        <v>57</v>
      </c>
      <c r="I61" s="231"/>
      <c r="J61" s="253">
        <f t="shared" si="0"/>
        <v>120637</v>
      </c>
      <c r="K61" s="232"/>
      <c r="L61" s="260">
        <f t="shared" si="1"/>
        <v>60318.5</v>
      </c>
      <c r="M61" s="228"/>
      <c r="N61" s="261">
        <f t="shared" si="2"/>
        <v>139392</v>
      </c>
      <c r="O61" s="232"/>
      <c r="P61" s="263">
        <f t="shared" si="3"/>
        <v>69696</v>
      </c>
      <c r="Q61" s="233"/>
      <c r="R61" s="1487"/>
      <c r="S61" s="1487"/>
      <c r="T61" s="1487"/>
      <c r="U61" s="1487"/>
      <c r="V61" s="1487"/>
      <c r="W61" s="1487"/>
      <c r="X61" s="1487"/>
      <c r="Y61" s="1487"/>
      <c r="Z61" s="148"/>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row>
    <row r="62" spans="2:26" s="141" customFormat="1" ht="5.25" customHeight="1" thickTop="1">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row>
    <row r="63" spans="1:26" s="141" customFormat="1" ht="12.75" customHeight="1">
      <c r="A63" s="1470">
        <f>J10</f>
        <v>0.0997</v>
      </c>
      <c r="B63" s="1470"/>
      <c r="C63" s="1470"/>
      <c r="D63" s="1470"/>
      <c r="E63" s="1470"/>
      <c r="F63" s="1470"/>
      <c r="G63" s="1470"/>
      <c r="H63" s="1470"/>
      <c r="I63" s="1470"/>
      <c r="J63" s="1470"/>
      <c r="K63" s="1470"/>
      <c r="L63" s="1470"/>
      <c r="M63" s="1470"/>
      <c r="N63" s="1470"/>
      <c r="O63" s="1470"/>
      <c r="P63" s="1470"/>
      <c r="Q63" s="1470"/>
      <c r="R63" s="1470"/>
      <c r="S63" s="1470"/>
      <c r="T63" s="1470"/>
      <c r="U63" s="1470"/>
      <c r="V63" s="1470"/>
      <c r="W63" s="1470"/>
      <c r="X63" s="1470"/>
      <c r="Y63" s="1470"/>
      <c r="Z63" s="1470"/>
    </row>
    <row r="64" spans="1:26" s="141" customFormat="1" ht="3" customHeight="1">
      <c r="A64" s="235"/>
      <c r="B64" s="236" t="s">
        <v>46</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row>
    <row r="65" spans="1:26" s="141" customFormat="1" ht="12.75" customHeight="1">
      <c r="A65" s="1465" t="s">
        <v>154</v>
      </c>
      <c r="B65" s="1465"/>
      <c r="C65" s="1465"/>
      <c r="D65" s="1465"/>
      <c r="E65" s="1465"/>
      <c r="F65" s="1465"/>
      <c r="G65" s="1465"/>
      <c r="H65" s="1465"/>
      <c r="I65" s="1465"/>
      <c r="J65" s="1465"/>
      <c r="K65" s="1465"/>
      <c r="L65" s="1465"/>
      <c r="M65" s="1465"/>
      <c r="N65" s="1465"/>
      <c r="O65" s="1465"/>
      <c r="P65" s="1465"/>
      <c r="Q65" s="1465"/>
      <c r="R65" s="1465"/>
      <c r="S65" s="1465"/>
      <c r="T65" s="1465"/>
      <c r="U65" s="1465"/>
      <c r="V65" s="1465"/>
      <c r="W65" s="1465"/>
      <c r="X65" s="1465"/>
      <c r="Y65" s="1465"/>
      <c r="Z65" s="236"/>
    </row>
    <row r="66" spans="1:26" s="141" customFormat="1" ht="12.75" customHeight="1">
      <c r="A66" s="1471" t="s">
        <v>155</v>
      </c>
      <c r="B66" s="1471"/>
      <c r="C66" s="1471"/>
      <c r="D66" s="1471"/>
      <c r="E66" s="1471"/>
      <c r="F66" s="1471"/>
      <c r="G66" s="1471"/>
      <c r="H66" s="1471"/>
      <c r="I66" s="1471"/>
      <c r="J66" s="1471"/>
      <c r="K66" s="1471"/>
      <c r="L66" s="1471"/>
      <c r="M66" s="1471"/>
      <c r="N66" s="1471"/>
      <c r="O66" s="1471"/>
      <c r="P66" s="1471"/>
      <c r="Q66" s="1471"/>
      <c r="R66" s="1471"/>
      <c r="S66" s="1471"/>
      <c r="T66" s="1471"/>
      <c r="U66" s="1471"/>
      <c r="V66" s="1471"/>
      <c r="W66" s="1471"/>
      <c r="X66" s="1471"/>
      <c r="Y66" s="1471"/>
      <c r="Z66" s="236"/>
    </row>
    <row r="67" spans="1:26" s="141" customFormat="1" ht="12.75" customHeight="1">
      <c r="A67" s="1472" t="s">
        <v>156</v>
      </c>
      <c r="B67" s="1473"/>
      <c r="C67" s="1473"/>
      <c r="D67" s="1473"/>
      <c r="E67" s="1473"/>
      <c r="F67" s="1473"/>
      <c r="G67" s="1473"/>
      <c r="H67" s="1473"/>
      <c r="I67" s="1473"/>
      <c r="J67" s="1473"/>
      <c r="K67" s="1473"/>
      <c r="L67" s="1473"/>
      <c r="M67" s="1473"/>
      <c r="N67" s="1473"/>
      <c r="O67" s="1473"/>
      <c r="P67" s="1473"/>
      <c r="Q67" s="1473"/>
      <c r="R67" s="1473"/>
      <c r="S67" s="1473"/>
      <c r="T67" s="1473"/>
      <c r="U67" s="1473"/>
      <c r="V67" s="1473"/>
      <c r="W67" s="1473"/>
      <c r="X67" s="1473"/>
      <c r="Y67" s="1473"/>
      <c r="Z67" s="236"/>
    </row>
    <row r="68" spans="1:26" s="141" customFormat="1" ht="3" customHeight="1">
      <c r="A68" s="235"/>
      <c r="B68" s="236" t="s">
        <v>46</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row>
    <row r="69" spans="1:26" s="141" customFormat="1" ht="12.75" customHeight="1">
      <c r="A69" s="1465" t="s">
        <v>173</v>
      </c>
      <c r="B69" s="1465"/>
      <c r="C69" s="1465"/>
      <c r="D69" s="1465"/>
      <c r="E69" s="1465"/>
      <c r="F69" s="1465"/>
      <c r="G69" s="1465"/>
      <c r="H69" s="1465"/>
      <c r="I69" s="1465"/>
      <c r="J69" s="1465"/>
      <c r="K69" s="1465"/>
      <c r="L69" s="1465"/>
      <c r="M69" s="1465"/>
      <c r="N69" s="1465"/>
      <c r="O69" s="1465"/>
      <c r="P69" s="1465"/>
      <c r="Q69" s="1465"/>
      <c r="R69" s="1465"/>
      <c r="S69" s="1465"/>
      <c r="T69" s="1465"/>
      <c r="U69" s="1465"/>
      <c r="V69" s="1465"/>
      <c r="W69" s="1465"/>
      <c r="X69" s="1465"/>
      <c r="Y69" s="1465"/>
      <c r="Z69" s="236"/>
    </row>
    <row r="70" spans="1:26" s="141" customFormat="1" ht="3" customHeight="1">
      <c r="A70" s="235"/>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spans="1:26" s="141" customFormat="1" ht="12.75" customHeight="1">
      <c r="A71" s="1465" t="s">
        <v>158</v>
      </c>
      <c r="B71" s="1474"/>
      <c r="C71" s="1474"/>
      <c r="D71" s="1474"/>
      <c r="E71" s="1474"/>
      <c r="F71" s="1474"/>
      <c r="G71" s="1474"/>
      <c r="H71" s="1474"/>
      <c r="I71" s="1474"/>
      <c r="J71" s="1474"/>
      <c r="K71" s="1474"/>
      <c r="L71" s="1474"/>
      <c r="M71" s="1474"/>
      <c r="N71" s="1474"/>
      <c r="O71" s="1474"/>
      <c r="P71" s="1474"/>
      <c r="Q71" s="1474"/>
      <c r="R71" s="237"/>
      <c r="S71" s="237"/>
      <c r="T71" s="237"/>
      <c r="U71" s="237"/>
      <c r="V71" s="237"/>
      <c r="W71" s="237"/>
      <c r="X71" s="237"/>
      <c r="Y71" s="237"/>
      <c r="Z71" s="235"/>
    </row>
    <row r="72" spans="1:25" s="141" customFormat="1" ht="12.75" customHeight="1">
      <c r="A72" s="1466" t="s">
        <v>159</v>
      </c>
      <c r="B72" s="1466"/>
      <c r="C72" s="1466"/>
      <c r="D72" s="1466"/>
      <c r="E72" s="1466"/>
      <c r="F72" s="1466"/>
      <c r="G72" s="1466"/>
      <c r="H72" s="1466"/>
      <c r="I72" s="1466"/>
      <c r="J72" s="1466"/>
      <c r="K72" s="1466"/>
      <c r="L72" s="1466"/>
      <c r="M72" s="1466"/>
      <c r="N72" s="1466"/>
      <c r="O72" s="1466"/>
      <c r="P72" s="1466"/>
      <c r="Q72" s="1466"/>
      <c r="R72" s="1466"/>
      <c r="S72" s="1466"/>
      <c r="T72" s="1466"/>
      <c r="U72" s="1466"/>
      <c r="V72" s="1467"/>
      <c r="W72" s="1467"/>
      <c r="X72" s="1467"/>
      <c r="Y72" s="1467"/>
    </row>
    <row r="73" spans="1:25" s="141" customFormat="1" ht="12.75" customHeight="1">
      <c r="A73" s="1466" t="s">
        <v>160</v>
      </c>
      <c r="B73" s="1466"/>
      <c r="C73" s="1466"/>
      <c r="D73" s="1466"/>
      <c r="E73" s="1466"/>
      <c r="F73" s="1466"/>
      <c r="G73" s="1466"/>
      <c r="H73" s="1466"/>
      <c r="I73" s="1466"/>
      <c r="J73" s="1466"/>
      <c r="K73" s="1466"/>
      <c r="L73" s="1466"/>
      <c r="M73" s="1466"/>
      <c r="N73" s="1466"/>
      <c r="O73" s="1466"/>
      <c r="P73" s="1466"/>
      <c r="Q73" s="1466"/>
      <c r="R73" s="1466"/>
      <c r="S73" s="1466"/>
      <c r="T73" s="1466"/>
      <c r="U73" s="1466"/>
      <c r="V73" s="1467"/>
      <c r="W73" s="1467"/>
      <c r="X73" s="1467"/>
      <c r="Y73" s="1467"/>
    </row>
    <row r="74" spans="1:25" s="141" customFormat="1" ht="12.75" customHeight="1">
      <c r="A74" s="1466" t="s">
        <v>161</v>
      </c>
      <c r="B74" s="1466"/>
      <c r="C74" s="1466"/>
      <c r="D74" s="1466"/>
      <c r="E74" s="1466"/>
      <c r="F74" s="1466"/>
      <c r="G74" s="1466"/>
      <c r="H74" s="1466"/>
      <c r="I74" s="1466"/>
      <c r="J74" s="1466"/>
      <c r="K74" s="1466"/>
      <c r="L74" s="1466"/>
      <c r="M74" s="1466"/>
      <c r="N74" s="1466"/>
      <c r="O74" s="1466"/>
      <c r="P74" s="1466"/>
      <c r="Q74" s="1466"/>
      <c r="R74" s="1466"/>
      <c r="S74" s="1466"/>
      <c r="T74" s="1466"/>
      <c r="U74" s="1466"/>
      <c r="V74" s="1467"/>
      <c r="W74" s="1467"/>
      <c r="X74" s="1467"/>
      <c r="Y74" s="1467"/>
    </row>
    <row r="75" spans="1:25" s="141" customFormat="1" ht="3.75" customHeight="1">
      <c r="A75" s="1464"/>
      <c r="B75" s="1464"/>
      <c r="C75" s="1464"/>
      <c r="D75" s="1464"/>
      <c r="E75" s="1464"/>
      <c r="F75" s="1464"/>
      <c r="G75" s="1464"/>
      <c r="H75" s="1464"/>
      <c r="I75" s="1464"/>
      <c r="J75" s="1464"/>
      <c r="K75" s="1464"/>
      <c r="L75" s="1464"/>
      <c r="M75" s="1464"/>
      <c r="N75" s="1464"/>
      <c r="O75" s="1464"/>
      <c r="P75" s="1464"/>
      <c r="Q75" s="1464"/>
      <c r="R75" s="238"/>
      <c r="S75" s="238"/>
      <c r="T75" s="238"/>
      <c r="U75" s="238"/>
      <c r="V75" s="238"/>
      <c r="W75" s="238"/>
      <c r="X75" s="238"/>
      <c r="Y75" s="238"/>
    </row>
    <row r="76" spans="1:25" s="141" customFormat="1" ht="12.75" customHeight="1">
      <c r="A76" s="1465" t="s">
        <v>162</v>
      </c>
      <c r="B76" s="1465"/>
      <c r="C76" s="1465"/>
      <c r="D76" s="1465"/>
      <c r="E76" s="1465"/>
      <c r="F76" s="1465"/>
      <c r="G76" s="1465"/>
      <c r="H76" s="1465"/>
      <c r="I76" s="1465"/>
      <c r="J76" s="1465"/>
      <c r="K76" s="1465"/>
      <c r="L76" s="1465"/>
      <c r="M76" s="1465"/>
      <c r="N76" s="1465"/>
      <c r="O76" s="1465"/>
      <c r="P76" s="1465"/>
      <c r="Q76" s="1465"/>
      <c r="R76" s="1465"/>
      <c r="S76" s="1465"/>
      <c r="T76" s="1465"/>
      <c r="U76" s="1465"/>
      <c r="V76" s="1465"/>
      <c r="W76" s="1465"/>
      <c r="X76" s="1465"/>
      <c r="Y76" s="238"/>
    </row>
    <row r="77" spans="1:25" s="141" customFormat="1" ht="12.75" customHeight="1">
      <c r="A77" s="1468" t="s">
        <v>163</v>
      </c>
      <c r="B77" s="1468"/>
      <c r="C77" s="1468"/>
      <c r="D77" s="1468"/>
      <c r="E77" s="1468"/>
      <c r="F77" s="1468"/>
      <c r="G77" s="1468"/>
      <c r="H77" s="1468"/>
      <c r="I77" s="1468"/>
      <c r="J77" s="1468"/>
      <c r="K77" s="1468"/>
      <c r="L77" s="1468"/>
      <c r="M77" s="1468"/>
      <c r="N77" s="1468"/>
      <c r="O77" s="1468"/>
      <c r="P77" s="1468"/>
      <c r="Q77" s="1468"/>
      <c r="R77" s="1468"/>
      <c r="S77" s="1468"/>
      <c r="T77" s="1468"/>
      <c r="U77" s="1468"/>
      <c r="V77" s="1469"/>
      <c r="W77" s="1469"/>
      <c r="X77" s="1469"/>
      <c r="Y77" s="238"/>
    </row>
    <row r="78" spans="1:25" s="141" customFormat="1" ht="3.75" customHeight="1">
      <c r="A78" s="238"/>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row>
    <row r="79" spans="1:25" s="141" customFormat="1" ht="12.75" customHeight="1">
      <c r="A79" s="1465" t="s">
        <v>164</v>
      </c>
      <c r="B79" s="1465"/>
      <c r="C79" s="1465"/>
      <c r="D79" s="1465"/>
      <c r="E79" s="1465"/>
      <c r="F79" s="1465"/>
      <c r="G79" s="1465"/>
      <c r="H79" s="1465"/>
      <c r="I79" s="1465"/>
      <c r="J79" s="1465"/>
      <c r="K79" s="1465"/>
      <c r="L79" s="1465"/>
      <c r="M79" s="1465"/>
      <c r="N79" s="1465"/>
      <c r="O79" s="1465"/>
      <c r="P79" s="1465"/>
      <c r="Q79" s="1465"/>
      <c r="R79" s="238"/>
      <c r="S79" s="238"/>
      <c r="T79" s="238"/>
      <c r="U79" s="238"/>
      <c r="V79" s="238"/>
      <c r="W79" s="238"/>
      <c r="X79" s="238"/>
      <c r="Y79" s="238"/>
    </row>
    <row r="80" spans="1:25" s="141" customFormat="1" ht="12.75" customHeight="1">
      <c r="A80" s="1466" t="s">
        <v>165</v>
      </c>
      <c r="B80" s="1466"/>
      <c r="C80" s="1466"/>
      <c r="D80" s="1466"/>
      <c r="E80" s="1466"/>
      <c r="F80" s="1466"/>
      <c r="G80" s="1466"/>
      <c r="H80" s="1466"/>
      <c r="I80" s="1466"/>
      <c r="J80" s="1466"/>
      <c r="K80" s="1466"/>
      <c r="L80" s="1466"/>
      <c r="M80" s="1466"/>
      <c r="N80" s="1466"/>
      <c r="O80" s="1466"/>
      <c r="P80" s="1466"/>
      <c r="Q80" s="1466"/>
      <c r="R80" s="1466"/>
      <c r="S80" s="1466"/>
      <c r="T80" s="1466"/>
      <c r="U80" s="1466"/>
      <c r="V80" s="1467"/>
      <c r="W80" s="238"/>
      <c r="X80" s="238"/>
      <c r="Y80" s="238"/>
    </row>
    <row r="81" spans="1:25" s="141" customFormat="1" ht="12.75" customHeight="1">
      <c r="A81" s="1468" t="s">
        <v>166</v>
      </c>
      <c r="B81" s="1469"/>
      <c r="C81" s="1469"/>
      <c r="D81" s="1469"/>
      <c r="E81" s="1469"/>
      <c r="F81" s="1469"/>
      <c r="G81" s="1469"/>
      <c r="H81" s="1469"/>
      <c r="I81" s="1469"/>
      <c r="J81" s="1469"/>
      <c r="K81" s="1469"/>
      <c r="L81" s="1469"/>
      <c r="M81" s="1469"/>
      <c r="N81" s="1469"/>
      <c r="O81" s="1469"/>
      <c r="P81" s="1469"/>
      <c r="Q81" s="1469"/>
      <c r="R81" s="1469"/>
      <c r="S81" s="1469"/>
      <c r="T81" s="1469"/>
      <c r="U81" s="1469"/>
      <c r="V81" s="1469"/>
      <c r="W81" s="1469"/>
      <c r="X81" s="1469"/>
      <c r="Y81" s="1469"/>
    </row>
    <row r="82" spans="1:25" s="141" customFormat="1" ht="3" customHeight="1">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row>
    <row r="83" spans="1:25" s="141" customFormat="1" ht="12" customHeight="1">
      <c r="A83" s="1465" t="s">
        <v>167</v>
      </c>
      <c r="B83" s="1465"/>
      <c r="C83" s="1465"/>
      <c r="D83" s="1465"/>
      <c r="E83" s="1465"/>
      <c r="F83" s="1465"/>
      <c r="G83" s="1465"/>
      <c r="H83" s="1465"/>
      <c r="I83" s="1465"/>
      <c r="J83" s="1465"/>
      <c r="K83" s="1465"/>
      <c r="L83" s="1465"/>
      <c r="M83" s="1465"/>
      <c r="N83" s="1465"/>
      <c r="O83" s="1465"/>
      <c r="P83" s="1465"/>
      <c r="Q83" s="1465"/>
      <c r="R83" s="1465"/>
      <c r="S83" s="1465"/>
      <c r="T83" s="1465"/>
      <c r="U83" s="1465"/>
      <c r="V83" s="1465"/>
      <c r="W83" s="238"/>
      <c r="X83" s="238"/>
      <c r="Y83" s="238"/>
    </row>
    <row r="84" spans="1:25" s="141" customFormat="1" ht="12" customHeight="1">
      <c r="A84" s="1468" t="s">
        <v>168</v>
      </c>
      <c r="B84" s="1468"/>
      <c r="C84" s="1468"/>
      <c r="D84" s="1468"/>
      <c r="E84" s="1468"/>
      <c r="F84" s="1468"/>
      <c r="G84" s="1468"/>
      <c r="H84" s="1468"/>
      <c r="I84" s="1468"/>
      <c r="J84" s="1468"/>
      <c r="K84" s="1468"/>
      <c r="L84" s="1468"/>
      <c r="M84" s="1468"/>
      <c r="N84" s="1468"/>
      <c r="O84" s="1468"/>
      <c r="P84" s="1468"/>
      <c r="Q84" s="1468"/>
      <c r="R84" s="1468"/>
      <c r="S84" s="1468"/>
      <c r="T84" s="1468"/>
      <c r="U84" s="1468"/>
      <c r="V84" s="1468"/>
      <c r="W84" s="1468"/>
      <c r="X84" s="1468"/>
      <c r="Y84" s="1468"/>
    </row>
    <row r="85" spans="1:25" s="141" customFormat="1" ht="12" customHeight="1">
      <c r="A85" s="1466" t="s">
        <v>169</v>
      </c>
      <c r="B85" s="1466"/>
      <c r="C85" s="1466"/>
      <c r="D85" s="1466"/>
      <c r="E85" s="1466"/>
      <c r="F85" s="1466"/>
      <c r="G85" s="1466"/>
      <c r="H85" s="1466"/>
      <c r="I85" s="1466"/>
      <c r="J85" s="1466"/>
      <c r="K85" s="1466"/>
      <c r="L85" s="1466"/>
      <c r="M85" s="1466"/>
      <c r="N85" s="1466"/>
      <c r="O85" s="1466"/>
      <c r="P85" s="1466"/>
      <c r="Q85" s="1466"/>
      <c r="R85" s="1466"/>
      <c r="S85" s="1466"/>
      <c r="T85" s="1466"/>
      <c r="U85" s="1466"/>
      <c r="V85" s="1466"/>
      <c r="W85" s="1466"/>
      <c r="X85" s="1466"/>
      <c r="Y85" s="1466"/>
    </row>
    <row r="86" spans="1:25" s="141" customFormat="1" ht="2.25" customHeight="1">
      <c r="A86" s="1464"/>
      <c r="B86" s="1464"/>
      <c r="C86" s="1464"/>
      <c r="D86" s="1464"/>
      <c r="E86" s="1464"/>
      <c r="F86" s="1464"/>
      <c r="G86" s="1464"/>
      <c r="H86" s="1464"/>
      <c r="I86" s="1464"/>
      <c r="J86" s="1464"/>
      <c r="K86" s="1464"/>
      <c r="L86" s="1464"/>
      <c r="M86" s="1464"/>
      <c r="N86" s="1464"/>
      <c r="O86" s="1464"/>
      <c r="P86" s="1464"/>
      <c r="Q86" s="1464"/>
      <c r="R86" s="238"/>
      <c r="S86" s="238"/>
      <c r="T86" s="238"/>
      <c r="U86" s="238"/>
      <c r="V86" s="238"/>
      <c r="W86" s="238"/>
      <c r="X86" s="238"/>
      <c r="Y86" s="238"/>
    </row>
    <row r="87" spans="3:25" s="141" customFormat="1" ht="11.25">
      <c r="C87" s="239"/>
      <c r="D87" s="239"/>
      <c r="N87" s="240"/>
      <c r="O87" s="240"/>
      <c r="P87" s="240"/>
      <c r="Q87" s="240"/>
      <c r="R87" s="240"/>
      <c r="S87" s="240"/>
      <c r="T87" s="240"/>
      <c r="U87" s="240"/>
      <c r="V87" s="240"/>
      <c r="W87" s="240"/>
      <c r="X87" s="240"/>
      <c r="Y87" s="240"/>
    </row>
    <row r="88" spans="3:25" s="141" customFormat="1" ht="11.25">
      <c r="C88" s="239"/>
      <c r="D88" s="239"/>
      <c r="N88" s="240"/>
      <c r="O88" s="240"/>
      <c r="P88" s="240"/>
      <c r="Q88" s="240"/>
      <c r="R88" s="240"/>
      <c r="S88" s="240"/>
      <c r="T88" s="240"/>
      <c r="U88" s="240"/>
      <c r="V88" s="240"/>
      <c r="W88" s="240"/>
      <c r="X88" s="240"/>
      <c r="Y88" s="240"/>
    </row>
    <row r="89" spans="3:25" s="141" customFormat="1" ht="11.25">
      <c r="C89" s="239"/>
      <c r="D89" s="239"/>
      <c r="N89" s="240"/>
      <c r="O89" s="240"/>
      <c r="P89" s="240"/>
      <c r="Q89" s="240"/>
      <c r="R89" s="240"/>
      <c r="S89" s="240"/>
      <c r="T89" s="240"/>
      <c r="U89" s="240"/>
      <c r="V89" s="240"/>
      <c r="W89" s="240"/>
      <c r="X89" s="240"/>
      <c r="Y89" s="240"/>
    </row>
    <row r="90" spans="3:25" s="141" customFormat="1" ht="11.25">
      <c r="C90" s="239"/>
      <c r="D90" s="239"/>
      <c r="N90" s="240"/>
      <c r="O90" s="240"/>
      <c r="P90" s="240"/>
      <c r="Q90" s="240"/>
      <c r="R90" s="240"/>
      <c r="S90" s="240"/>
      <c r="T90" s="240"/>
      <c r="U90" s="240"/>
      <c r="V90" s="240"/>
      <c r="W90" s="240"/>
      <c r="X90" s="240"/>
      <c r="Y90" s="240"/>
    </row>
    <row r="91" spans="3:25" s="141" customFormat="1" ht="11.25">
      <c r="C91" s="239"/>
      <c r="D91" s="239"/>
      <c r="N91" s="240"/>
      <c r="O91" s="240"/>
      <c r="P91" s="240"/>
      <c r="Q91" s="240"/>
      <c r="R91" s="240"/>
      <c r="S91" s="240"/>
      <c r="T91" s="240"/>
      <c r="U91" s="240"/>
      <c r="V91" s="240"/>
      <c r="W91" s="240"/>
      <c r="X91" s="240"/>
      <c r="Y91" s="240"/>
    </row>
    <row r="92" spans="3:25" s="141" customFormat="1" ht="11.25">
      <c r="C92" s="239"/>
      <c r="D92" s="239"/>
      <c r="N92" s="240"/>
      <c r="O92" s="240"/>
      <c r="P92" s="240"/>
      <c r="Q92" s="240"/>
      <c r="R92" s="240"/>
      <c r="S92" s="240"/>
      <c r="T92" s="240"/>
      <c r="U92" s="240"/>
      <c r="V92" s="240"/>
      <c r="W92" s="240"/>
      <c r="X92" s="240"/>
      <c r="Y92" s="240"/>
    </row>
    <row r="93" spans="3:25" s="141" customFormat="1" ht="11.25">
      <c r="C93" s="239"/>
      <c r="D93" s="239"/>
      <c r="N93" s="240"/>
      <c r="O93" s="240"/>
      <c r="P93" s="240"/>
      <c r="Q93" s="240"/>
      <c r="R93" s="240"/>
      <c r="S93" s="240"/>
      <c r="T93" s="240"/>
      <c r="U93" s="240"/>
      <c r="V93" s="240"/>
      <c r="W93" s="240"/>
      <c r="X93" s="240"/>
      <c r="Y93" s="240"/>
    </row>
    <row r="94" spans="3:25" s="141" customFormat="1" ht="11.25">
      <c r="C94" s="239"/>
      <c r="D94" s="239"/>
      <c r="N94" s="240"/>
      <c r="O94" s="240"/>
      <c r="P94" s="240"/>
      <c r="Q94" s="240"/>
      <c r="R94" s="240"/>
      <c r="S94" s="240"/>
      <c r="T94" s="240"/>
      <c r="U94" s="240"/>
      <c r="V94" s="240"/>
      <c r="W94" s="240"/>
      <c r="X94" s="240"/>
      <c r="Y94" s="240"/>
    </row>
    <row r="95" spans="3:25" s="141" customFormat="1" ht="11.25">
      <c r="C95" s="239"/>
      <c r="D95" s="239"/>
      <c r="N95" s="240"/>
      <c r="O95" s="240"/>
      <c r="P95" s="240"/>
      <c r="Q95" s="240"/>
      <c r="R95" s="240"/>
      <c r="S95" s="240"/>
      <c r="T95" s="240"/>
      <c r="U95" s="240"/>
      <c r="V95" s="240"/>
      <c r="W95" s="240"/>
      <c r="X95" s="240"/>
      <c r="Y95" s="240"/>
    </row>
    <row r="96" spans="3:25" s="141" customFormat="1" ht="11.25">
      <c r="C96" s="239"/>
      <c r="D96" s="239"/>
      <c r="N96" s="240"/>
      <c r="O96" s="240"/>
      <c r="P96" s="240"/>
      <c r="Q96" s="240"/>
      <c r="R96" s="240"/>
      <c r="S96" s="240"/>
      <c r="T96" s="240"/>
      <c r="U96" s="240"/>
      <c r="V96" s="240"/>
      <c r="W96" s="240"/>
      <c r="X96" s="240"/>
      <c r="Y96" s="240"/>
    </row>
    <row r="97" spans="3:25" s="141" customFormat="1" ht="11.25">
      <c r="C97" s="239"/>
      <c r="D97" s="239"/>
      <c r="N97" s="240"/>
      <c r="O97" s="240"/>
      <c r="P97" s="240"/>
      <c r="Q97" s="240"/>
      <c r="R97" s="240"/>
      <c r="S97" s="240"/>
      <c r="T97" s="240"/>
      <c r="U97" s="240"/>
      <c r="V97" s="240"/>
      <c r="W97" s="240"/>
      <c r="X97" s="240"/>
      <c r="Y97" s="240"/>
    </row>
    <row r="98" spans="3:25" s="141" customFormat="1" ht="11.25">
      <c r="C98" s="239"/>
      <c r="D98" s="239"/>
      <c r="N98" s="240"/>
      <c r="O98" s="240"/>
      <c r="P98" s="240"/>
      <c r="Q98" s="240"/>
      <c r="R98" s="240"/>
      <c r="S98" s="240"/>
      <c r="T98" s="240"/>
      <c r="U98" s="240"/>
      <c r="V98" s="240"/>
      <c r="W98" s="240"/>
      <c r="X98" s="240"/>
      <c r="Y98" s="240"/>
    </row>
    <row r="99" spans="3:25" s="141" customFormat="1" ht="11.25">
      <c r="C99" s="239"/>
      <c r="D99" s="239"/>
      <c r="N99" s="240"/>
      <c r="O99" s="240"/>
      <c r="P99" s="240"/>
      <c r="Q99" s="240"/>
      <c r="R99" s="240"/>
      <c r="S99" s="240"/>
      <c r="T99" s="240"/>
      <c r="U99" s="240"/>
      <c r="V99" s="240"/>
      <c r="W99" s="240"/>
      <c r="X99" s="240"/>
      <c r="Y99" s="240"/>
    </row>
    <row r="100" spans="3:25" s="141" customFormat="1" ht="11.25">
      <c r="C100" s="239"/>
      <c r="D100" s="239"/>
      <c r="N100" s="240"/>
      <c r="O100" s="240"/>
      <c r="P100" s="240"/>
      <c r="Q100" s="240"/>
      <c r="R100" s="240"/>
      <c r="S100" s="240"/>
      <c r="T100" s="240"/>
      <c r="U100" s="240"/>
      <c r="V100" s="240"/>
      <c r="W100" s="240"/>
      <c r="X100" s="240"/>
      <c r="Y100" s="240"/>
    </row>
    <row r="101" spans="3:25" s="141" customFormat="1" ht="11.25">
      <c r="C101" s="239"/>
      <c r="D101" s="239"/>
      <c r="N101" s="240"/>
      <c r="O101" s="240"/>
      <c r="P101" s="240"/>
      <c r="Q101" s="240"/>
      <c r="R101" s="240"/>
      <c r="S101" s="240"/>
      <c r="T101" s="240"/>
      <c r="U101" s="240"/>
      <c r="V101" s="240"/>
      <c r="W101" s="240"/>
      <c r="X101" s="240"/>
      <c r="Y101" s="240"/>
    </row>
    <row r="102" spans="3:25" s="141" customFormat="1" ht="11.25">
      <c r="C102" s="239"/>
      <c r="D102" s="239"/>
      <c r="N102" s="240"/>
      <c r="O102" s="240"/>
      <c r="P102" s="240"/>
      <c r="Q102" s="240"/>
      <c r="R102" s="240"/>
      <c r="S102" s="240"/>
      <c r="T102" s="240"/>
      <c r="U102" s="240"/>
      <c r="V102" s="240"/>
      <c r="W102" s="240"/>
      <c r="X102" s="240"/>
      <c r="Y102" s="240"/>
    </row>
    <row r="103" spans="3:25" s="141" customFormat="1" ht="11.25">
      <c r="C103" s="239"/>
      <c r="D103" s="239"/>
      <c r="N103" s="240"/>
      <c r="O103" s="240"/>
      <c r="P103" s="240"/>
      <c r="Q103" s="240"/>
      <c r="R103" s="240"/>
      <c r="S103" s="240"/>
      <c r="T103" s="240"/>
      <c r="U103" s="240"/>
      <c r="V103" s="240"/>
      <c r="W103" s="240"/>
      <c r="X103" s="240"/>
      <c r="Y103" s="240"/>
    </row>
    <row r="104" spans="3:25" s="141" customFormat="1" ht="11.25">
      <c r="C104" s="239"/>
      <c r="D104" s="239"/>
      <c r="N104" s="240"/>
      <c r="O104" s="240"/>
      <c r="P104" s="240"/>
      <c r="Q104" s="240"/>
      <c r="R104" s="240"/>
      <c r="S104" s="240"/>
      <c r="T104" s="240"/>
      <c r="U104" s="240"/>
      <c r="V104" s="240"/>
      <c r="W104" s="240"/>
      <c r="X104" s="240"/>
      <c r="Y104" s="240"/>
    </row>
    <row r="105" spans="3:25" s="141" customFormat="1" ht="11.25">
      <c r="C105" s="239"/>
      <c r="D105" s="239"/>
      <c r="N105" s="240"/>
      <c r="O105" s="240"/>
      <c r="P105" s="240"/>
      <c r="Q105" s="240"/>
      <c r="R105" s="240"/>
      <c r="S105" s="240"/>
      <c r="T105" s="240"/>
      <c r="U105" s="240"/>
      <c r="V105" s="240"/>
      <c r="W105" s="240"/>
      <c r="X105" s="240"/>
      <c r="Y105" s="240"/>
    </row>
    <row r="106" spans="3:25" s="141" customFormat="1" ht="11.25">
      <c r="C106" s="239"/>
      <c r="D106" s="239"/>
      <c r="N106" s="240"/>
      <c r="O106" s="240"/>
      <c r="P106" s="240"/>
      <c r="Q106" s="240"/>
      <c r="R106" s="240"/>
      <c r="S106" s="240"/>
      <c r="T106" s="240"/>
      <c r="U106" s="240"/>
      <c r="V106" s="240"/>
      <c r="W106" s="240"/>
      <c r="X106" s="240"/>
      <c r="Y106" s="240"/>
    </row>
    <row r="107" spans="3:25" s="141" customFormat="1" ht="11.25">
      <c r="C107" s="239"/>
      <c r="D107" s="239"/>
      <c r="N107" s="240"/>
      <c r="O107" s="240"/>
      <c r="P107" s="240"/>
      <c r="Q107" s="240"/>
      <c r="R107" s="240"/>
      <c r="S107" s="240"/>
      <c r="T107" s="240"/>
      <c r="U107" s="240"/>
      <c r="V107" s="240"/>
      <c r="W107" s="240"/>
      <c r="X107" s="240"/>
      <c r="Y107" s="240"/>
    </row>
    <row r="108" spans="3:25" s="141" customFormat="1" ht="11.25">
      <c r="C108" s="239"/>
      <c r="D108" s="239"/>
      <c r="N108" s="240"/>
      <c r="O108" s="240"/>
      <c r="P108" s="240"/>
      <c r="Q108" s="240"/>
      <c r="R108" s="240"/>
      <c r="S108" s="240"/>
      <c r="T108" s="240"/>
      <c r="U108" s="240"/>
      <c r="V108" s="240"/>
      <c r="W108" s="240"/>
      <c r="X108" s="240"/>
      <c r="Y108" s="240"/>
    </row>
    <row r="109" spans="3:25" s="141" customFormat="1" ht="11.25">
      <c r="C109" s="239"/>
      <c r="D109" s="239"/>
      <c r="N109" s="240"/>
      <c r="O109" s="240"/>
      <c r="P109" s="240"/>
      <c r="Q109" s="240"/>
      <c r="R109" s="240"/>
      <c r="S109" s="240"/>
      <c r="T109" s="240"/>
      <c r="U109" s="240"/>
      <c r="V109" s="240"/>
      <c r="W109" s="240"/>
      <c r="X109" s="240"/>
      <c r="Y109" s="240"/>
    </row>
    <row r="110" spans="3:25" s="141" customFormat="1" ht="11.25">
      <c r="C110" s="239"/>
      <c r="D110" s="239"/>
      <c r="N110" s="240"/>
      <c r="O110" s="240"/>
      <c r="P110" s="240"/>
      <c r="Q110" s="240"/>
      <c r="R110" s="240"/>
      <c r="S110" s="240"/>
      <c r="T110" s="240"/>
      <c r="U110" s="240"/>
      <c r="V110" s="240"/>
      <c r="W110" s="240"/>
      <c r="X110" s="240"/>
      <c r="Y110" s="240"/>
    </row>
    <row r="111" spans="3:25" s="141" customFormat="1" ht="11.25">
      <c r="C111" s="239"/>
      <c r="D111" s="239"/>
      <c r="N111" s="240"/>
      <c r="O111" s="240"/>
      <c r="P111" s="240"/>
      <c r="Q111" s="240"/>
      <c r="R111" s="240"/>
      <c r="S111" s="240"/>
      <c r="T111" s="240"/>
      <c r="U111" s="240"/>
      <c r="V111" s="240"/>
      <c r="W111" s="240"/>
      <c r="X111" s="240"/>
      <c r="Y111" s="240"/>
    </row>
    <row r="112" spans="3:25" s="141" customFormat="1" ht="11.25">
      <c r="C112" s="239"/>
      <c r="D112" s="239"/>
      <c r="N112" s="240"/>
      <c r="O112" s="240"/>
      <c r="P112" s="240"/>
      <c r="Q112" s="240"/>
      <c r="R112" s="240"/>
      <c r="S112" s="240"/>
      <c r="T112" s="240"/>
      <c r="U112" s="240"/>
      <c r="V112" s="240"/>
      <c r="W112" s="240"/>
      <c r="X112" s="240"/>
      <c r="Y112" s="240"/>
    </row>
    <row r="113" spans="3:25" s="141" customFormat="1" ht="11.25">
      <c r="C113" s="239"/>
      <c r="D113" s="239"/>
      <c r="N113" s="240"/>
      <c r="O113" s="240"/>
      <c r="P113" s="240"/>
      <c r="Q113" s="240"/>
      <c r="R113" s="240"/>
      <c r="S113" s="240"/>
      <c r="T113" s="240"/>
      <c r="U113" s="240"/>
      <c r="V113" s="240"/>
      <c r="W113" s="240"/>
      <c r="X113" s="240"/>
      <c r="Y113" s="240"/>
    </row>
    <row r="114" spans="3:25" s="141" customFormat="1" ht="11.25">
      <c r="C114" s="239"/>
      <c r="D114" s="239"/>
      <c r="N114" s="240"/>
      <c r="O114" s="240"/>
      <c r="P114" s="240"/>
      <c r="Q114" s="240"/>
      <c r="R114" s="240"/>
      <c r="S114" s="240"/>
      <c r="T114" s="240"/>
      <c r="U114" s="240"/>
      <c r="V114" s="240"/>
      <c r="W114" s="240"/>
      <c r="X114" s="240"/>
      <c r="Y114" s="240"/>
    </row>
    <row r="115" spans="3:25" s="141" customFormat="1" ht="11.25">
      <c r="C115" s="239"/>
      <c r="D115" s="239"/>
      <c r="N115" s="240"/>
      <c r="O115" s="240"/>
      <c r="P115" s="240"/>
      <c r="Q115" s="240"/>
      <c r="R115" s="240"/>
      <c r="S115" s="240"/>
      <c r="T115" s="240"/>
      <c r="U115" s="240"/>
      <c r="V115" s="240"/>
      <c r="W115" s="240"/>
      <c r="X115" s="240"/>
      <c r="Y115" s="240"/>
    </row>
    <row r="116" spans="3:25" s="141" customFormat="1" ht="11.25">
      <c r="C116" s="239"/>
      <c r="D116" s="239"/>
      <c r="N116" s="240"/>
      <c r="O116" s="240"/>
      <c r="P116" s="240"/>
      <c r="Q116" s="240"/>
      <c r="R116" s="240"/>
      <c r="S116" s="240"/>
      <c r="T116" s="240"/>
      <c r="U116" s="240"/>
      <c r="V116" s="240"/>
      <c r="W116" s="240"/>
      <c r="X116" s="240"/>
      <c r="Y116" s="240"/>
    </row>
    <row r="117" spans="3:25" s="141" customFormat="1" ht="11.25">
      <c r="C117" s="239"/>
      <c r="D117" s="239"/>
      <c r="N117" s="240"/>
      <c r="O117" s="240"/>
      <c r="P117" s="240"/>
      <c r="Q117" s="240"/>
      <c r="R117" s="240"/>
      <c r="S117" s="240"/>
      <c r="T117" s="240"/>
      <c r="U117" s="240"/>
      <c r="V117" s="240"/>
      <c r="W117" s="240"/>
      <c r="X117" s="240"/>
      <c r="Y117" s="240"/>
    </row>
    <row r="118" spans="3:25" s="141" customFormat="1" ht="11.25">
      <c r="C118" s="239"/>
      <c r="D118" s="239"/>
      <c r="N118" s="240"/>
      <c r="O118" s="240"/>
      <c r="P118" s="240"/>
      <c r="Q118" s="240"/>
      <c r="R118" s="240"/>
      <c r="S118" s="240"/>
      <c r="T118" s="240"/>
      <c r="U118" s="240"/>
      <c r="V118" s="240"/>
      <c r="W118" s="240"/>
      <c r="X118" s="240"/>
      <c r="Y118" s="240"/>
    </row>
    <row r="119" spans="3:25" s="141" customFormat="1" ht="11.25">
      <c r="C119" s="239"/>
      <c r="D119" s="239"/>
      <c r="N119" s="240"/>
      <c r="O119" s="240"/>
      <c r="P119" s="240"/>
      <c r="Q119" s="240"/>
      <c r="R119" s="240"/>
      <c r="S119" s="240"/>
      <c r="T119" s="240"/>
      <c r="U119" s="240"/>
      <c r="V119" s="240"/>
      <c r="W119" s="240"/>
      <c r="X119" s="240"/>
      <c r="Y119" s="240"/>
    </row>
    <row r="120" spans="3:25" s="141" customFormat="1" ht="11.25">
      <c r="C120" s="239"/>
      <c r="D120" s="239"/>
      <c r="N120" s="240"/>
      <c r="O120" s="240"/>
      <c r="P120" s="240"/>
      <c r="Q120" s="240"/>
      <c r="R120" s="240"/>
      <c r="S120" s="240"/>
      <c r="T120" s="240"/>
      <c r="U120" s="240"/>
      <c r="V120" s="240"/>
      <c r="W120" s="240"/>
      <c r="X120" s="240"/>
      <c r="Y120" s="240"/>
    </row>
    <row r="121" spans="3:25" s="141" customFormat="1" ht="11.25">
      <c r="C121" s="239"/>
      <c r="D121" s="239"/>
      <c r="N121" s="240"/>
      <c r="O121" s="240"/>
      <c r="P121" s="240"/>
      <c r="Q121" s="240"/>
      <c r="R121" s="240"/>
      <c r="S121" s="240"/>
      <c r="T121" s="240"/>
      <c r="U121" s="240"/>
      <c r="V121" s="240"/>
      <c r="W121" s="240"/>
      <c r="X121" s="240"/>
      <c r="Y121" s="240"/>
    </row>
    <row r="122" spans="3:25" s="141" customFormat="1" ht="11.25">
      <c r="C122" s="239"/>
      <c r="D122" s="239"/>
      <c r="N122" s="240"/>
      <c r="O122" s="240"/>
      <c r="P122" s="240"/>
      <c r="Q122" s="240"/>
      <c r="R122" s="240"/>
      <c r="S122" s="240"/>
      <c r="T122" s="240"/>
      <c r="U122" s="240"/>
      <c r="V122" s="240"/>
      <c r="W122" s="240"/>
      <c r="X122" s="240"/>
      <c r="Y122" s="240"/>
    </row>
    <row r="123" spans="3:25" s="141" customFormat="1" ht="11.25">
      <c r="C123" s="239"/>
      <c r="D123" s="239"/>
      <c r="N123" s="240"/>
      <c r="O123" s="240"/>
      <c r="P123" s="240"/>
      <c r="Q123" s="240"/>
      <c r="R123" s="240"/>
      <c r="S123" s="240"/>
      <c r="T123" s="240"/>
      <c r="U123" s="240"/>
      <c r="V123" s="240"/>
      <c r="W123" s="240"/>
      <c r="X123" s="240"/>
      <c r="Y123" s="240"/>
    </row>
    <row r="124" spans="3:25" s="141" customFormat="1" ht="11.25">
      <c r="C124" s="239"/>
      <c r="D124" s="239"/>
      <c r="N124" s="240"/>
      <c r="O124" s="240"/>
      <c r="P124" s="240"/>
      <c r="Q124" s="240"/>
      <c r="R124" s="240"/>
      <c r="S124" s="240"/>
      <c r="T124" s="240"/>
      <c r="U124" s="240"/>
      <c r="V124" s="240"/>
      <c r="W124" s="240"/>
      <c r="X124" s="240"/>
      <c r="Y124" s="240"/>
    </row>
    <row r="125" spans="3:25" s="141" customFormat="1" ht="11.25">
      <c r="C125" s="239"/>
      <c r="D125" s="239"/>
      <c r="N125" s="240"/>
      <c r="O125" s="240"/>
      <c r="P125" s="240"/>
      <c r="Q125" s="240"/>
      <c r="R125" s="240"/>
      <c r="S125" s="240"/>
      <c r="T125" s="240"/>
      <c r="U125" s="240"/>
      <c r="V125" s="240"/>
      <c r="W125" s="240"/>
      <c r="X125" s="240"/>
      <c r="Y125" s="240"/>
    </row>
    <row r="126" spans="3:25" s="141" customFormat="1" ht="11.25">
      <c r="C126" s="239"/>
      <c r="D126" s="239"/>
      <c r="N126" s="240"/>
      <c r="O126" s="240"/>
      <c r="P126" s="240"/>
      <c r="Q126" s="240"/>
      <c r="R126" s="240"/>
      <c r="S126" s="240"/>
      <c r="T126" s="240"/>
      <c r="U126" s="240"/>
      <c r="V126" s="240"/>
      <c r="W126" s="240"/>
      <c r="X126" s="240"/>
      <c r="Y126" s="240"/>
    </row>
    <row r="127" spans="3:25" s="141" customFormat="1" ht="11.25">
      <c r="C127" s="239"/>
      <c r="D127" s="239"/>
      <c r="N127" s="240"/>
      <c r="O127" s="240"/>
      <c r="P127" s="240"/>
      <c r="Q127" s="240"/>
      <c r="R127" s="240"/>
      <c r="S127" s="240"/>
      <c r="T127" s="240"/>
      <c r="U127" s="240"/>
      <c r="V127" s="240"/>
      <c r="W127" s="240"/>
      <c r="X127" s="240"/>
      <c r="Y127" s="240"/>
    </row>
    <row r="128" spans="3:25" s="141" customFormat="1" ht="11.25">
      <c r="C128" s="239"/>
      <c r="D128" s="239"/>
      <c r="N128" s="240"/>
      <c r="O128" s="240"/>
      <c r="P128" s="240"/>
      <c r="Q128" s="240"/>
      <c r="R128" s="240"/>
      <c r="S128" s="240"/>
      <c r="T128" s="240"/>
      <c r="U128" s="240"/>
      <c r="V128" s="240"/>
      <c r="W128" s="240"/>
      <c r="X128" s="240"/>
      <c r="Y128" s="240"/>
    </row>
    <row r="129" spans="3:25" s="141" customFormat="1" ht="11.25">
      <c r="C129" s="239"/>
      <c r="D129" s="239"/>
      <c r="N129" s="240"/>
      <c r="O129" s="240"/>
      <c r="P129" s="240"/>
      <c r="Q129" s="240"/>
      <c r="R129" s="240"/>
      <c r="S129" s="240"/>
      <c r="T129" s="240"/>
      <c r="U129" s="240"/>
      <c r="V129" s="240"/>
      <c r="W129" s="240"/>
      <c r="X129" s="240"/>
      <c r="Y129" s="240"/>
    </row>
    <row r="130" spans="3:25" s="141" customFormat="1" ht="11.25">
      <c r="C130" s="239"/>
      <c r="D130" s="239"/>
      <c r="N130" s="240"/>
      <c r="O130" s="240"/>
      <c r="P130" s="240"/>
      <c r="Q130" s="240"/>
      <c r="R130" s="240"/>
      <c r="S130" s="240"/>
      <c r="T130" s="240"/>
      <c r="U130" s="240"/>
      <c r="V130" s="240"/>
      <c r="W130" s="240"/>
      <c r="X130" s="240"/>
      <c r="Y130" s="240"/>
    </row>
    <row r="131" spans="3:25" s="141" customFormat="1" ht="11.25">
      <c r="C131" s="239"/>
      <c r="D131" s="239"/>
      <c r="N131" s="240"/>
      <c r="O131" s="240"/>
      <c r="P131" s="240"/>
      <c r="Q131" s="240"/>
      <c r="R131" s="240"/>
      <c r="S131" s="240"/>
      <c r="T131" s="240"/>
      <c r="U131" s="240"/>
      <c r="V131" s="240"/>
      <c r="W131" s="240"/>
      <c r="X131" s="240"/>
      <c r="Y131" s="240"/>
    </row>
    <row r="132" spans="3:25" s="141" customFormat="1" ht="11.25">
      <c r="C132" s="239"/>
      <c r="D132" s="239"/>
      <c r="N132" s="240"/>
      <c r="O132" s="240"/>
      <c r="P132" s="240"/>
      <c r="Q132" s="240"/>
      <c r="R132" s="240"/>
      <c r="S132" s="240"/>
      <c r="T132" s="240"/>
      <c r="U132" s="240"/>
      <c r="V132" s="240"/>
      <c r="W132" s="240"/>
      <c r="X132" s="240"/>
      <c r="Y132" s="240"/>
    </row>
    <row r="133" spans="3:25" s="141" customFormat="1" ht="11.25">
      <c r="C133" s="239"/>
      <c r="D133" s="239"/>
      <c r="N133" s="240"/>
      <c r="O133" s="240"/>
      <c r="P133" s="240"/>
      <c r="Q133" s="240"/>
      <c r="R133" s="240"/>
      <c r="S133" s="240"/>
      <c r="T133" s="240"/>
      <c r="U133" s="240"/>
      <c r="V133" s="240"/>
      <c r="W133" s="240"/>
      <c r="X133" s="240"/>
      <c r="Y133" s="240"/>
    </row>
    <row r="134" spans="3:25" s="141" customFormat="1" ht="11.25">
      <c r="C134" s="239"/>
      <c r="D134" s="239"/>
      <c r="N134" s="240"/>
      <c r="O134" s="240"/>
      <c r="P134" s="240"/>
      <c r="Q134" s="240"/>
      <c r="R134" s="240"/>
      <c r="S134" s="240"/>
      <c r="T134" s="240"/>
      <c r="U134" s="240"/>
      <c r="V134" s="240"/>
      <c r="W134" s="240"/>
      <c r="X134" s="240"/>
      <c r="Y134" s="240"/>
    </row>
    <row r="135" spans="3:25" s="141" customFormat="1" ht="11.25">
      <c r="C135" s="239"/>
      <c r="D135" s="239"/>
      <c r="N135" s="240"/>
      <c r="O135" s="240"/>
      <c r="P135" s="240"/>
      <c r="Q135" s="240"/>
      <c r="R135" s="240"/>
      <c r="S135" s="240"/>
      <c r="T135" s="240"/>
      <c r="U135" s="240"/>
      <c r="V135" s="240"/>
      <c r="W135" s="240"/>
      <c r="X135" s="240"/>
      <c r="Y135" s="240"/>
    </row>
    <row r="136" spans="2:26" ht="13.5">
      <c r="B136" s="141"/>
      <c r="C136" s="239"/>
      <c r="D136" s="239"/>
      <c r="E136" s="141"/>
      <c r="F136" s="141"/>
      <c r="G136" s="141"/>
      <c r="H136" s="141"/>
      <c r="I136" s="141"/>
      <c r="J136" s="141"/>
      <c r="K136" s="141"/>
      <c r="L136" s="141"/>
      <c r="M136" s="141"/>
      <c r="N136" s="240"/>
      <c r="O136" s="240"/>
      <c r="P136" s="240"/>
      <c r="Q136" s="240"/>
      <c r="R136" s="240"/>
      <c r="S136" s="240"/>
      <c r="T136" s="240"/>
      <c r="U136" s="240"/>
      <c r="V136" s="240"/>
      <c r="W136" s="240"/>
      <c r="X136" s="240"/>
      <c r="Y136" s="240"/>
      <c r="Z136" s="141"/>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rgb="FF00FF00"/>
    <pageSetUpPr fitToPage="1"/>
  </sheetPr>
  <dimension ref="A1:R38"/>
  <sheetViews>
    <sheetView showGridLines="0" zoomScale="86" zoomScaleNormal="86" zoomScaleSheetLayoutView="100" workbookViewId="0" topLeftCell="A19">
      <selection activeCell="M30" sqref="M30"/>
    </sheetView>
  </sheetViews>
  <sheetFormatPr defaultColWidth="9.140625" defaultRowHeight="15"/>
  <cols>
    <col min="1" max="1" width="3.140625" style="3" customWidth="1"/>
    <col min="2" max="3" width="2.57421875" style="591" customWidth="1"/>
    <col min="4" max="4" width="5.140625" style="591" customWidth="1"/>
    <col min="5" max="5" width="12.140625" style="7" customWidth="1"/>
    <col min="6" max="6" width="16.57421875" style="27" customWidth="1"/>
    <col min="7" max="7" width="9.7109375" style="591" customWidth="1"/>
    <col min="8" max="8" width="6.28125" style="591" customWidth="1"/>
    <col min="9" max="9" width="10.7109375" style="591" customWidth="1"/>
    <col min="10" max="10" width="12.421875" style="591" customWidth="1"/>
    <col min="11" max="11" width="12.7109375" style="591" customWidth="1"/>
    <col min="12" max="12" width="13.00390625" style="591" customWidth="1"/>
    <col min="13" max="13" width="12.8515625" style="591" customWidth="1"/>
    <col min="14" max="14" width="3.140625" style="41" customWidth="1"/>
    <col min="15" max="15" width="4.421875" style="3" customWidth="1"/>
    <col min="16" max="16" width="10.421875" style="591" bestFit="1" customWidth="1"/>
    <col min="17" max="17" width="9.00390625" style="591" customWidth="1"/>
    <col min="18" max="18" width="10.421875" style="591" bestFit="1" customWidth="1"/>
    <col min="19" max="16384" width="9.00390625" style="591" customWidth="1"/>
  </cols>
  <sheetData>
    <row r="1" spans="1:6" ht="13.5" customHeight="1">
      <c r="A1" s="1269" t="s">
        <v>29</v>
      </c>
      <c r="B1" s="1269"/>
      <c r="C1" s="1269"/>
      <c r="D1" s="1269"/>
      <c r="E1" s="1269"/>
      <c r="F1" s="3"/>
    </row>
    <row r="2" spans="1:14" ht="13.5" customHeight="1">
      <c r="A2" s="4"/>
      <c r="B2" s="4"/>
      <c r="C2" s="4"/>
      <c r="D2" s="4"/>
      <c r="E2" s="5"/>
      <c r="F2" s="3"/>
      <c r="N2" s="360"/>
    </row>
    <row r="3" spans="1:14" ht="13.5" customHeight="1">
      <c r="A3" s="4"/>
      <c r="B3" s="4" t="s">
        <v>228</v>
      </c>
      <c r="C3" s="1182" t="s">
        <v>34</v>
      </c>
      <c r="D3" s="4"/>
      <c r="E3" s="5"/>
      <c r="F3" s="1190" t="s">
        <v>28</v>
      </c>
      <c r="N3" s="360"/>
    </row>
    <row r="4" spans="1:14" ht="13.5" customHeight="1">
      <c r="A4" s="4"/>
      <c r="B4" s="4"/>
      <c r="C4" s="4"/>
      <c r="D4" s="4"/>
      <c r="E4" s="5"/>
      <c r="F4" s="1190" t="s">
        <v>43</v>
      </c>
      <c r="N4" s="360"/>
    </row>
    <row r="5" spans="1:15" ht="13.5" customHeight="1">
      <c r="A5" s="4"/>
      <c r="B5" s="4"/>
      <c r="C5" s="4"/>
      <c r="D5" s="4"/>
      <c r="E5" s="5"/>
      <c r="F5" s="3"/>
      <c r="M5" s="591" t="s">
        <v>38</v>
      </c>
      <c r="N5" s="360"/>
      <c r="O5" s="555"/>
    </row>
    <row r="6" spans="1:14" ht="13.5" customHeight="1">
      <c r="A6" s="4"/>
      <c r="F6" s="3"/>
      <c r="K6" s="31" t="s">
        <v>195</v>
      </c>
      <c r="L6" s="105" t="str">
        <f>IF('使い方'!$E$6="","",'使い方'!$E$6)</f>
        <v>Ｂ金属株式会社</v>
      </c>
      <c r="M6" s="8"/>
      <c r="N6" s="360"/>
    </row>
    <row r="7" spans="1:14" ht="13.5" customHeight="1" thickBot="1">
      <c r="A7" s="4"/>
      <c r="F7" s="3"/>
      <c r="I7" s="10"/>
      <c r="J7" s="10"/>
      <c r="N7" s="360"/>
    </row>
    <row r="8" spans="1:15" ht="27" customHeight="1">
      <c r="A8" s="1270" t="s">
        <v>13</v>
      </c>
      <c r="B8" s="1272" t="s">
        <v>14</v>
      </c>
      <c r="C8" s="1272"/>
      <c r="D8" s="1273"/>
      <c r="E8" s="11" t="s">
        <v>15</v>
      </c>
      <c r="F8" s="12" t="s">
        <v>16</v>
      </c>
      <c r="G8" s="12" t="s">
        <v>17</v>
      </c>
      <c r="H8" s="12" t="s">
        <v>18</v>
      </c>
      <c r="I8" s="12" t="s">
        <v>7</v>
      </c>
      <c r="J8" s="12" t="s">
        <v>7</v>
      </c>
      <c r="K8" s="1274" t="s">
        <v>19</v>
      </c>
      <c r="L8" s="1273"/>
      <c r="M8" s="1183" t="s">
        <v>20</v>
      </c>
      <c r="N8" s="1275" t="s">
        <v>13</v>
      </c>
      <c r="O8" s="1277" t="s">
        <v>227</v>
      </c>
    </row>
    <row r="9" spans="1:15" ht="42" customHeight="1" thickBot="1">
      <c r="A9" s="1271"/>
      <c r="B9" s="13" t="s">
        <v>21</v>
      </c>
      <c r="C9" s="13" t="s">
        <v>22</v>
      </c>
      <c r="D9" s="14" t="s">
        <v>23</v>
      </c>
      <c r="E9" s="15"/>
      <c r="F9" s="16"/>
      <c r="G9" s="17"/>
      <c r="H9" s="17"/>
      <c r="I9" s="17" t="s">
        <v>24</v>
      </c>
      <c r="J9" s="17" t="s">
        <v>44</v>
      </c>
      <c r="K9" s="17" t="s">
        <v>25</v>
      </c>
      <c r="L9" s="18" t="s">
        <v>42</v>
      </c>
      <c r="M9" s="18" t="s">
        <v>26</v>
      </c>
      <c r="N9" s="1276"/>
      <c r="O9" s="1278"/>
    </row>
    <row r="10" spans="1:15" ht="30.75" customHeight="1">
      <c r="A10" s="368">
        <v>1</v>
      </c>
      <c r="B10" s="1263"/>
      <c r="C10" s="1264"/>
      <c r="D10" s="1264"/>
      <c r="E10" s="578"/>
      <c r="F10" s="339"/>
      <c r="G10" s="366"/>
      <c r="H10" s="367" t="s">
        <v>230</v>
      </c>
      <c r="I10" s="335">
        <f>IF(G10="","",ROUNDDOWN(J10*(1+O10/100),0))</f>
      </c>
      <c r="J10" s="377"/>
      <c r="K10" s="335">
        <f>IF(I10="","",ROUNDDOWN(L10*(1+O10/100),0))</f>
      </c>
      <c r="L10" s="335">
        <f aca="true" t="shared" si="0" ref="L10:L29">IF(J10="","",ROUNDDOWN(J10*G10,0))</f>
      </c>
      <c r="M10" s="335">
        <f aca="true" t="shared" si="1" ref="M10:M29">L10</f>
      </c>
      <c r="N10" s="361">
        <v>1</v>
      </c>
      <c r="O10" s="938">
        <v>8</v>
      </c>
    </row>
    <row r="11" spans="1:16" ht="30.75" customHeight="1">
      <c r="A11" s="369">
        <v>2</v>
      </c>
      <c r="B11" s="1263"/>
      <c r="C11" s="1264"/>
      <c r="D11" s="1264"/>
      <c r="E11" s="365"/>
      <c r="F11" s="339"/>
      <c r="G11" s="351"/>
      <c r="H11" s="367"/>
      <c r="I11" s="335">
        <f aca="true" t="shared" si="2" ref="I11:I29">IF(G11="","",ROUNDDOWN(J11*(1+O11/100),0))</f>
      </c>
      <c r="J11" s="356"/>
      <c r="K11" s="335">
        <f aca="true" t="shared" si="3" ref="K11:K29">IF(I11="","",ROUNDDOWN(L11*(1+O11/100),0))</f>
      </c>
      <c r="L11" s="343">
        <f t="shared" si="0"/>
      </c>
      <c r="M11" s="343">
        <f t="shared" si="1"/>
      </c>
      <c r="N11" s="362">
        <v>2</v>
      </c>
      <c r="O11" s="938">
        <v>8</v>
      </c>
      <c r="P11" s="555"/>
    </row>
    <row r="12" spans="1:16" ht="30.75" customHeight="1">
      <c r="A12" s="368">
        <v>3</v>
      </c>
      <c r="B12" s="1263"/>
      <c r="C12" s="1264"/>
      <c r="D12" s="1264"/>
      <c r="E12" s="353"/>
      <c r="F12" s="354"/>
      <c r="G12" s="351"/>
      <c r="H12" s="355"/>
      <c r="I12" s="335">
        <f>IF(G12="","",ROUNDDOWN(J12*(1+O12/100),0))</f>
      </c>
      <c r="J12" s="356"/>
      <c r="K12" s="335">
        <f t="shared" si="3"/>
      </c>
      <c r="L12" s="343">
        <f t="shared" si="0"/>
      </c>
      <c r="M12" s="343">
        <f t="shared" si="1"/>
      </c>
      <c r="N12" s="361">
        <v>3</v>
      </c>
      <c r="O12" s="938">
        <v>8</v>
      </c>
      <c r="P12" s="555"/>
    </row>
    <row r="13" spans="1:18" s="1180" customFormat="1" ht="30.75" customHeight="1">
      <c r="A13" s="369">
        <v>4</v>
      </c>
      <c r="B13" s="1263"/>
      <c r="C13" s="1264"/>
      <c r="D13" s="1264"/>
      <c r="E13" s="353"/>
      <c r="F13" s="354"/>
      <c r="G13" s="366"/>
      <c r="H13" s="355"/>
      <c r="I13" s="335">
        <f t="shared" si="2"/>
      </c>
      <c r="J13" s="356"/>
      <c r="K13" s="335">
        <f t="shared" si="3"/>
      </c>
      <c r="L13" s="343">
        <f t="shared" si="0"/>
      </c>
      <c r="M13" s="343">
        <f t="shared" si="1"/>
      </c>
      <c r="N13" s="362">
        <v>4</v>
      </c>
      <c r="O13" s="938">
        <v>8</v>
      </c>
      <c r="P13" s="555"/>
      <c r="Q13" s="591"/>
      <c r="R13" s="591"/>
    </row>
    <row r="14" spans="1:18" s="1180" customFormat="1" ht="30.75" customHeight="1">
      <c r="A14" s="368">
        <v>5</v>
      </c>
      <c r="B14" s="1263"/>
      <c r="C14" s="1264"/>
      <c r="D14" s="1264"/>
      <c r="E14" s="353"/>
      <c r="F14" s="354"/>
      <c r="G14" s="351"/>
      <c r="H14" s="355"/>
      <c r="I14" s="335">
        <f t="shared" si="2"/>
      </c>
      <c r="J14" s="356"/>
      <c r="K14" s="335">
        <f t="shared" si="3"/>
      </c>
      <c r="L14" s="343">
        <f t="shared" si="0"/>
      </c>
      <c r="M14" s="343">
        <f t="shared" si="1"/>
      </c>
      <c r="N14" s="361">
        <v>5</v>
      </c>
      <c r="O14" s="938">
        <v>8</v>
      </c>
      <c r="P14" s="591"/>
      <c r="Q14" s="591"/>
      <c r="R14" s="591"/>
    </row>
    <row r="15" spans="1:15" ht="30.75" customHeight="1">
      <c r="A15" s="369">
        <v>6</v>
      </c>
      <c r="B15" s="1263"/>
      <c r="C15" s="1264"/>
      <c r="D15" s="1264"/>
      <c r="E15" s="358"/>
      <c r="F15" s="354"/>
      <c r="G15" s="351"/>
      <c r="H15" s="355"/>
      <c r="I15" s="335">
        <f t="shared" si="2"/>
      </c>
      <c r="J15" s="356"/>
      <c r="K15" s="335">
        <f t="shared" si="3"/>
      </c>
      <c r="L15" s="343">
        <f t="shared" si="0"/>
      </c>
      <c r="M15" s="343">
        <f t="shared" si="1"/>
      </c>
      <c r="N15" s="362">
        <v>6</v>
      </c>
      <c r="O15" s="938">
        <v>8</v>
      </c>
    </row>
    <row r="16" spans="1:15" ht="30.75" customHeight="1">
      <c r="A16" s="368">
        <v>7</v>
      </c>
      <c r="B16" s="1263"/>
      <c r="C16" s="1264"/>
      <c r="D16" s="1264"/>
      <c r="E16" s="359"/>
      <c r="F16" s="354"/>
      <c r="G16" s="366"/>
      <c r="H16" s="355"/>
      <c r="I16" s="335">
        <f t="shared" si="2"/>
      </c>
      <c r="J16" s="356"/>
      <c r="K16" s="335">
        <f t="shared" si="3"/>
      </c>
      <c r="L16" s="343">
        <f t="shared" si="0"/>
      </c>
      <c r="M16" s="343">
        <f t="shared" si="1"/>
      </c>
      <c r="N16" s="361">
        <v>7</v>
      </c>
      <c r="O16" s="938">
        <v>8</v>
      </c>
    </row>
    <row r="17" spans="1:15" ht="30.75" customHeight="1">
      <c r="A17" s="369">
        <v>8</v>
      </c>
      <c r="B17" s="1263"/>
      <c r="C17" s="1264"/>
      <c r="D17" s="1264"/>
      <c r="E17" s="359"/>
      <c r="F17" s="354"/>
      <c r="G17" s="351"/>
      <c r="H17" s="355"/>
      <c r="I17" s="335">
        <f t="shared" si="2"/>
      </c>
      <c r="J17" s="356"/>
      <c r="K17" s="335">
        <f t="shared" si="3"/>
      </c>
      <c r="L17" s="343">
        <f t="shared" si="0"/>
      </c>
      <c r="M17" s="343">
        <f t="shared" si="1"/>
      </c>
      <c r="N17" s="362">
        <v>8</v>
      </c>
      <c r="O17" s="938">
        <v>8</v>
      </c>
    </row>
    <row r="18" spans="1:15" ht="30.75" customHeight="1">
      <c r="A18" s="368">
        <v>9</v>
      </c>
      <c r="B18" s="1263"/>
      <c r="C18" s="1264"/>
      <c r="D18" s="1264"/>
      <c r="E18" s="359"/>
      <c r="F18" s="354"/>
      <c r="G18" s="351"/>
      <c r="H18" s="355"/>
      <c r="I18" s="335">
        <f t="shared" si="2"/>
      </c>
      <c r="J18" s="356"/>
      <c r="K18" s="335">
        <f t="shared" si="3"/>
      </c>
      <c r="L18" s="343">
        <f t="shared" si="0"/>
      </c>
      <c r="M18" s="343">
        <f t="shared" si="1"/>
      </c>
      <c r="N18" s="361">
        <v>9</v>
      </c>
      <c r="O18" s="938">
        <v>8</v>
      </c>
    </row>
    <row r="19" spans="1:15" ht="30.75" customHeight="1">
      <c r="A19" s="369">
        <v>10</v>
      </c>
      <c r="B19" s="1263"/>
      <c r="C19" s="1264"/>
      <c r="D19" s="1264"/>
      <c r="E19" s="359"/>
      <c r="F19" s="354"/>
      <c r="G19" s="366"/>
      <c r="H19" s="355"/>
      <c r="I19" s="335">
        <f t="shared" si="2"/>
      </c>
      <c r="J19" s="356"/>
      <c r="K19" s="335">
        <f t="shared" si="3"/>
      </c>
      <c r="L19" s="343">
        <f t="shared" si="0"/>
      </c>
      <c r="M19" s="343">
        <f t="shared" si="1"/>
      </c>
      <c r="N19" s="362">
        <v>10</v>
      </c>
      <c r="O19" s="938">
        <v>8</v>
      </c>
    </row>
    <row r="20" spans="1:15" ht="30.75" customHeight="1">
      <c r="A20" s="368">
        <v>11</v>
      </c>
      <c r="B20" s="1263"/>
      <c r="C20" s="1264"/>
      <c r="D20" s="1264"/>
      <c r="E20" s="359"/>
      <c r="F20" s="354"/>
      <c r="G20" s="351"/>
      <c r="H20" s="355"/>
      <c r="I20" s="335">
        <f t="shared" si="2"/>
      </c>
      <c r="J20" s="356"/>
      <c r="K20" s="335">
        <f t="shared" si="3"/>
      </c>
      <c r="L20" s="343">
        <f t="shared" si="0"/>
      </c>
      <c r="M20" s="343">
        <f t="shared" si="1"/>
      </c>
      <c r="N20" s="361">
        <v>11</v>
      </c>
      <c r="O20" s="938">
        <v>8</v>
      </c>
    </row>
    <row r="21" spans="1:15" ht="30.75" customHeight="1">
      <c r="A21" s="369">
        <v>12</v>
      </c>
      <c r="B21" s="1263"/>
      <c r="C21" s="1264"/>
      <c r="D21" s="1264"/>
      <c r="E21" s="359"/>
      <c r="F21" s="354"/>
      <c r="G21" s="351"/>
      <c r="H21" s="355"/>
      <c r="I21" s="335">
        <f t="shared" si="2"/>
      </c>
      <c r="J21" s="356"/>
      <c r="K21" s="335">
        <f t="shared" si="3"/>
      </c>
      <c r="L21" s="343">
        <f t="shared" si="0"/>
      </c>
      <c r="M21" s="343">
        <f t="shared" si="1"/>
      </c>
      <c r="N21" s="362">
        <v>12</v>
      </c>
      <c r="O21" s="938">
        <v>8</v>
      </c>
    </row>
    <row r="22" spans="1:15" ht="30.75" customHeight="1">
      <c r="A22" s="368">
        <v>13</v>
      </c>
      <c r="B22" s="1263"/>
      <c r="C22" s="1264"/>
      <c r="D22" s="1264"/>
      <c r="E22" s="359"/>
      <c r="F22" s="354"/>
      <c r="G22" s="366"/>
      <c r="H22" s="355"/>
      <c r="I22" s="335">
        <f t="shared" si="2"/>
      </c>
      <c r="J22" s="356"/>
      <c r="K22" s="335">
        <f t="shared" si="3"/>
      </c>
      <c r="L22" s="343">
        <f t="shared" si="0"/>
      </c>
      <c r="M22" s="343">
        <f t="shared" si="1"/>
      </c>
      <c r="N22" s="361">
        <v>13</v>
      </c>
      <c r="O22" s="938">
        <v>8</v>
      </c>
    </row>
    <row r="23" spans="1:15" ht="30.75" customHeight="1">
      <c r="A23" s="369">
        <v>14</v>
      </c>
      <c r="B23" s="1263"/>
      <c r="C23" s="1264"/>
      <c r="D23" s="1264"/>
      <c r="E23" s="359"/>
      <c r="F23" s="354"/>
      <c r="G23" s="351"/>
      <c r="H23" s="355"/>
      <c r="I23" s="335">
        <f t="shared" si="2"/>
      </c>
      <c r="J23" s="356"/>
      <c r="K23" s="335">
        <f t="shared" si="3"/>
      </c>
      <c r="L23" s="343">
        <f t="shared" si="0"/>
      </c>
      <c r="M23" s="343">
        <f t="shared" si="1"/>
      </c>
      <c r="N23" s="362">
        <v>14</v>
      </c>
      <c r="O23" s="938">
        <v>8</v>
      </c>
    </row>
    <row r="24" spans="1:15" ht="30.75" customHeight="1">
      <c r="A24" s="368">
        <v>15</v>
      </c>
      <c r="B24" s="1263"/>
      <c r="C24" s="1264"/>
      <c r="D24" s="1264"/>
      <c r="E24" s="359"/>
      <c r="F24" s="354"/>
      <c r="G24" s="366"/>
      <c r="H24" s="355"/>
      <c r="I24" s="335">
        <f t="shared" si="2"/>
      </c>
      <c r="J24" s="356"/>
      <c r="K24" s="335">
        <f t="shared" si="3"/>
      </c>
      <c r="L24" s="343">
        <f t="shared" si="0"/>
      </c>
      <c r="M24" s="343">
        <f t="shared" si="1"/>
      </c>
      <c r="N24" s="361">
        <v>15</v>
      </c>
      <c r="O24" s="938">
        <v>8</v>
      </c>
    </row>
    <row r="25" spans="1:15" ht="30.75" customHeight="1">
      <c r="A25" s="369">
        <v>16</v>
      </c>
      <c r="B25" s="1263"/>
      <c r="C25" s="1264"/>
      <c r="D25" s="1264"/>
      <c r="E25" s="359"/>
      <c r="F25" s="354"/>
      <c r="G25" s="351"/>
      <c r="H25" s="355"/>
      <c r="I25" s="335">
        <f t="shared" si="2"/>
      </c>
      <c r="J25" s="356"/>
      <c r="K25" s="335">
        <f t="shared" si="3"/>
      </c>
      <c r="L25" s="343">
        <f t="shared" si="0"/>
      </c>
      <c r="M25" s="343">
        <f t="shared" si="1"/>
      </c>
      <c r="N25" s="362">
        <v>16</v>
      </c>
      <c r="O25" s="938">
        <v>8</v>
      </c>
    </row>
    <row r="26" spans="1:15" ht="30.75" customHeight="1">
      <c r="A26" s="368">
        <v>17</v>
      </c>
      <c r="B26" s="1263"/>
      <c r="C26" s="1264"/>
      <c r="D26" s="1264"/>
      <c r="E26" s="359"/>
      <c r="F26" s="354"/>
      <c r="G26" s="366"/>
      <c r="H26" s="355"/>
      <c r="I26" s="335">
        <f t="shared" si="2"/>
      </c>
      <c r="J26" s="356"/>
      <c r="K26" s="335">
        <f t="shared" si="3"/>
      </c>
      <c r="L26" s="343">
        <f t="shared" si="0"/>
      </c>
      <c r="M26" s="343">
        <f t="shared" si="1"/>
      </c>
      <c r="N26" s="361">
        <v>17</v>
      </c>
      <c r="O26" s="938">
        <v>8</v>
      </c>
    </row>
    <row r="27" spans="1:15" ht="30.75" customHeight="1">
      <c r="A27" s="369">
        <v>18</v>
      </c>
      <c r="B27" s="1263"/>
      <c r="C27" s="1264"/>
      <c r="D27" s="1264"/>
      <c r="E27" s="356"/>
      <c r="F27" s="356"/>
      <c r="G27" s="577"/>
      <c r="H27" s="356"/>
      <c r="I27" s="335">
        <f t="shared" si="2"/>
      </c>
      <c r="J27" s="356"/>
      <c r="K27" s="335">
        <f t="shared" si="3"/>
      </c>
      <c r="L27" s="343">
        <f t="shared" si="0"/>
      </c>
      <c r="M27" s="343">
        <f t="shared" si="1"/>
      </c>
      <c r="N27" s="362">
        <v>18</v>
      </c>
      <c r="O27" s="938">
        <v>8</v>
      </c>
    </row>
    <row r="28" spans="1:15" ht="30.75" customHeight="1">
      <c r="A28" s="368">
        <v>19</v>
      </c>
      <c r="B28" s="1263"/>
      <c r="C28" s="1264"/>
      <c r="D28" s="1264"/>
      <c r="E28" s="356"/>
      <c r="F28" s="356"/>
      <c r="G28" s="577"/>
      <c r="H28" s="356"/>
      <c r="I28" s="335">
        <f t="shared" si="2"/>
      </c>
      <c r="J28" s="356"/>
      <c r="K28" s="335">
        <f t="shared" si="3"/>
      </c>
      <c r="L28" s="343">
        <f t="shared" si="0"/>
      </c>
      <c r="M28" s="343">
        <f t="shared" si="1"/>
      </c>
      <c r="N28" s="361">
        <v>19</v>
      </c>
      <c r="O28" s="938">
        <v>8</v>
      </c>
    </row>
    <row r="29" spans="1:15" ht="30.75" customHeight="1" thickBot="1">
      <c r="A29" s="939">
        <v>20</v>
      </c>
      <c r="B29" s="1265"/>
      <c r="C29" s="1266"/>
      <c r="D29" s="1266"/>
      <c r="E29" s="940"/>
      <c r="F29" s="940"/>
      <c r="G29" s="941"/>
      <c r="H29" s="940"/>
      <c r="I29" s="942">
        <f t="shared" si="2"/>
      </c>
      <c r="J29" s="940"/>
      <c r="K29" s="942">
        <f t="shared" si="3"/>
      </c>
      <c r="L29" s="943">
        <f t="shared" si="0"/>
      </c>
      <c r="M29" s="943">
        <f t="shared" si="1"/>
      </c>
      <c r="N29" s="944">
        <v>20</v>
      </c>
      <c r="O29" s="945">
        <v>8</v>
      </c>
    </row>
    <row r="30" spans="1:14" ht="21" customHeight="1" thickBot="1">
      <c r="A30" s="1267" t="s">
        <v>27</v>
      </c>
      <c r="B30" s="1268"/>
      <c r="C30" s="1268"/>
      <c r="D30" s="1268"/>
      <c r="E30" s="1268"/>
      <c r="F30" s="1268"/>
      <c r="G30" s="1268"/>
      <c r="H30" s="1268"/>
      <c r="I30" s="1268"/>
      <c r="J30" s="1186"/>
      <c r="K30" s="1038">
        <f>SUM(K10:K29)</f>
        <v>0</v>
      </c>
      <c r="L30" s="1038">
        <f>SUM(L10:L29)</f>
        <v>0</v>
      </c>
      <c r="M30" s="1036">
        <f>SUM(M10:M29)</f>
        <v>0</v>
      </c>
      <c r="N30" s="363"/>
    </row>
    <row r="31" spans="1:14" ht="13.5" customHeight="1">
      <c r="A31" s="4"/>
      <c r="N31" s="360"/>
    </row>
    <row r="32" spans="2:14" ht="13.5" customHeight="1">
      <c r="B32" s="591" t="s">
        <v>35</v>
      </c>
      <c r="D32" s="6"/>
      <c r="E32" s="27" t="s">
        <v>196</v>
      </c>
      <c r="N32" s="360"/>
    </row>
    <row r="33" spans="5:16" ht="13.5" customHeight="1">
      <c r="E33" s="27" t="s">
        <v>197</v>
      </c>
      <c r="N33" s="364"/>
      <c r="P33" s="27"/>
    </row>
    <row r="34" spans="2:16" ht="13.5" customHeight="1">
      <c r="B34" s="591" t="s">
        <v>36</v>
      </c>
      <c r="E34" s="27" t="s">
        <v>198</v>
      </c>
      <c r="P34" s="27"/>
    </row>
    <row r="35" spans="2:16" ht="13.5" customHeight="1">
      <c r="B35" s="591" t="s">
        <v>37</v>
      </c>
      <c r="E35" s="27" t="s">
        <v>199</v>
      </c>
      <c r="P35" s="27"/>
    </row>
    <row r="36" spans="1:16" s="27" customFormat="1" ht="13.5">
      <c r="A36" s="3"/>
      <c r="B36" s="591"/>
      <c r="C36" s="591"/>
      <c r="D36" s="591"/>
      <c r="E36" s="7"/>
      <c r="G36" s="591"/>
      <c r="H36" s="591"/>
      <c r="I36" s="591"/>
      <c r="J36" s="591"/>
      <c r="K36" s="591"/>
      <c r="L36" s="591"/>
      <c r="M36" s="591"/>
      <c r="N36" s="41"/>
      <c r="O36" s="3"/>
      <c r="P36" s="591"/>
    </row>
    <row r="37" spans="1:16" s="27" customFormat="1" ht="13.5">
      <c r="A37" s="3"/>
      <c r="B37" s="591"/>
      <c r="C37" s="591"/>
      <c r="D37" s="591"/>
      <c r="E37" s="7"/>
      <c r="G37" s="591"/>
      <c r="H37" s="591"/>
      <c r="I37" s="591"/>
      <c r="J37" s="591"/>
      <c r="K37" s="591"/>
      <c r="L37" s="591"/>
      <c r="M37" s="591"/>
      <c r="N37" s="41"/>
      <c r="O37" s="3"/>
      <c r="P37" s="591"/>
    </row>
    <row r="38" spans="1:16" s="27" customFormat="1" ht="13.5">
      <c r="A38" s="3"/>
      <c r="B38" s="591"/>
      <c r="C38" s="591"/>
      <c r="D38" s="591"/>
      <c r="E38" s="7"/>
      <c r="G38" s="591"/>
      <c r="H38" s="591"/>
      <c r="I38" s="591"/>
      <c r="J38" s="591"/>
      <c r="K38" s="591"/>
      <c r="L38" s="591"/>
      <c r="M38" s="591"/>
      <c r="N38" s="41"/>
      <c r="O38" s="3"/>
      <c r="P38" s="591"/>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zoomScaleSheetLayoutView="98" zoomScalePageLayoutView="0" workbookViewId="0" topLeftCell="A16">
      <selection activeCell="N30" sqref="N30"/>
    </sheetView>
  </sheetViews>
  <sheetFormatPr defaultColWidth="9.140625" defaultRowHeight="15"/>
  <cols>
    <col min="1" max="1" width="3.140625" style="3" customWidth="1"/>
    <col min="2" max="3" width="2.57421875" style="591" customWidth="1"/>
    <col min="4" max="4" width="5.57421875" style="591" customWidth="1"/>
    <col min="5" max="5" width="14.421875" style="7" customWidth="1"/>
    <col min="6" max="6" width="16.00390625" style="27" customWidth="1"/>
    <col min="7" max="7" width="8.7109375" style="30" bestFit="1" customWidth="1"/>
    <col min="8" max="8" width="4.421875" style="41" bestFit="1" customWidth="1"/>
    <col min="9" max="9" width="13.00390625" style="30" customWidth="1"/>
    <col min="10" max="10" width="12.8515625" style="30" customWidth="1"/>
    <col min="11" max="13" width="14.140625" style="30" bestFit="1" customWidth="1"/>
    <col min="14" max="14" width="2.8515625" style="3" customWidth="1"/>
    <col min="15" max="15" width="4.57421875" style="3" customWidth="1"/>
    <col min="16" max="16" width="9.00390625" style="3" customWidth="1"/>
    <col min="17" max="17" width="12.421875" style="2" bestFit="1" customWidth="1"/>
    <col min="18" max="18" width="12.7109375" style="2" bestFit="1" customWidth="1"/>
    <col min="19" max="16384" width="9.00390625" style="591" customWidth="1"/>
  </cols>
  <sheetData>
    <row r="1" spans="1:6" ht="13.5" customHeight="1">
      <c r="A1" s="1269" t="s">
        <v>29</v>
      </c>
      <c r="B1" s="1269"/>
      <c r="C1" s="1269"/>
      <c r="D1" s="1269"/>
      <c r="E1" s="1269"/>
      <c r="F1" s="3"/>
    </row>
    <row r="2" spans="1:14" ht="13.5" customHeight="1">
      <c r="A2" s="4"/>
      <c r="B2" s="4"/>
      <c r="C2" s="4"/>
      <c r="D2" s="4"/>
      <c r="E2" s="5"/>
      <c r="F2" s="3"/>
      <c r="N2" s="4"/>
    </row>
    <row r="3" spans="1:14" ht="13.5" customHeight="1">
      <c r="A3" s="4"/>
      <c r="B3" s="4" t="s">
        <v>228</v>
      </c>
      <c r="C3" s="1182" t="s">
        <v>34</v>
      </c>
      <c r="D3" s="4"/>
      <c r="E3" s="5"/>
      <c r="F3" s="1190" t="s">
        <v>28</v>
      </c>
      <c r="N3" s="4"/>
    </row>
    <row r="4" spans="1:14" ht="13.5" customHeight="1">
      <c r="A4" s="4"/>
      <c r="B4" s="4"/>
      <c r="C4" s="4"/>
      <c r="D4" s="4"/>
      <c r="E4" s="5"/>
      <c r="F4" s="1190" t="s">
        <v>45</v>
      </c>
      <c r="N4" s="4"/>
    </row>
    <row r="5" spans="1:15" ht="13.5" customHeight="1">
      <c r="A5" s="4"/>
      <c r="B5" s="4"/>
      <c r="C5" s="4"/>
      <c r="D5" s="4"/>
      <c r="E5" s="5"/>
      <c r="F5" s="3"/>
      <c r="M5" s="30" t="s">
        <v>38</v>
      </c>
      <c r="N5" s="4"/>
      <c r="O5" s="555"/>
    </row>
    <row r="6" spans="1:14" ht="13.5" customHeight="1">
      <c r="A6" s="4"/>
      <c r="F6" s="3"/>
      <c r="K6" s="31" t="s">
        <v>195</v>
      </c>
      <c r="L6" s="105" t="str">
        <f>IF('使い方'!$E$6="","",'使い方'!$E$6)</f>
        <v>Ｂ金属株式会社</v>
      </c>
      <c r="N6" s="4"/>
    </row>
    <row r="7" spans="1:14" ht="13.5" customHeight="1" thickBot="1">
      <c r="A7" s="4"/>
      <c r="F7" s="3"/>
      <c r="N7" s="4"/>
    </row>
    <row r="8" spans="1:15" ht="27" customHeight="1">
      <c r="A8" s="1270" t="s">
        <v>13</v>
      </c>
      <c r="B8" s="1272" t="s">
        <v>14</v>
      </c>
      <c r="C8" s="1272"/>
      <c r="D8" s="1273"/>
      <c r="E8" s="11" t="s">
        <v>15</v>
      </c>
      <c r="F8" s="12" t="s">
        <v>16</v>
      </c>
      <c r="G8" s="33" t="s">
        <v>17</v>
      </c>
      <c r="H8" s="1188" t="s">
        <v>18</v>
      </c>
      <c r="I8" s="33" t="s">
        <v>7</v>
      </c>
      <c r="J8" s="33" t="s">
        <v>7</v>
      </c>
      <c r="K8" s="1279" t="s">
        <v>19</v>
      </c>
      <c r="L8" s="1280"/>
      <c r="M8" s="1188" t="s">
        <v>20</v>
      </c>
      <c r="N8" s="1275" t="s">
        <v>13</v>
      </c>
      <c r="O8" s="1277" t="s">
        <v>227</v>
      </c>
    </row>
    <row r="9" spans="1:15" ht="42" customHeight="1" thickBot="1">
      <c r="A9" s="1271"/>
      <c r="B9" s="13" t="s">
        <v>21</v>
      </c>
      <c r="C9" s="13" t="s">
        <v>22</v>
      </c>
      <c r="D9" s="14" t="s">
        <v>23</v>
      </c>
      <c r="E9" s="15"/>
      <c r="F9" s="16"/>
      <c r="G9" s="1184"/>
      <c r="H9" s="34"/>
      <c r="I9" s="1184" t="s">
        <v>24</v>
      </c>
      <c r="J9" s="1184" t="s">
        <v>44</v>
      </c>
      <c r="K9" s="1039" t="s">
        <v>25</v>
      </c>
      <c r="L9" s="34" t="s">
        <v>42</v>
      </c>
      <c r="M9" s="34" t="s">
        <v>26</v>
      </c>
      <c r="N9" s="1276"/>
      <c r="O9" s="1278"/>
    </row>
    <row r="10" spans="1:18" ht="30.75" customHeight="1">
      <c r="A10" s="325">
        <v>1</v>
      </c>
      <c r="B10" s="1263"/>
      <c r="C10" s="1264"/>
      <c r="D10" s="1264"/>
      <c r="E10" s="578"/>
      <c r="F10" s="339"/>
      <c r="G10" s="366"/>
      <c r="H10" s="367" t="s">
        <v>313</v>
      </c>
      <c r="I10" s="335">
        <f>IF(G10="","",ROUNDDOWN(J10*(1+O10/100),0))</f>
      </c>
      <c r="J10" s="377"/>
      <c r="K10" s="335">
        <f>IF(I10="","",ROUNDDOWN(L10*(1+O10/100),0))</f>
      </c>
      <c r="L10" s="335">
        <f>IF(J10="","",ROUNDDOWN(J10*G10,0))</f>
      </c>
      <c r="M10" s="343">
        <f>L10</f>
      </c>
      <c r="N10" s="342">
        <v>1</v>
      </c>
      <c r="O10" s="938">
        <v>8</v>
      </c>
      <c r="P10" s="591"/>
      <c r="Q10" s="591"/>
      <c r="R10" s="591"/>
    </row>
    <row r="11" spans="1:18" ht="30.75" customHeight="1">
      <c r="A11" s="326">
        <v>2</v>
      </c>
      <c r="B11" s="1263"/>
      <c r="C11" s="1264"/>
      <c r="D11" s="1264"/>
      <c r="E11" s="365"/>
      <c r="F11" s="339"/>
      <c r="G11" s="351"/>
      <c r="H11" s="367"/>
      <c r="I11" s="335">
        <f aca="true" t="shared" si="0" ref="I11:I29">IF(G11="","",ROUNDDOWN(J11*(1+O11/100),0))</f>
      </c>
      <c r="J11" s="377"/>
      <c r="K11" s="335">
        <f aca="true" t="shared" si="1" ref="K11:K29">IF(I11="","",ROUNDDOWN(L11*(1+O11/100),0))</f>
      </c>
      <c r="L11" s="335">
        <f aca="true" t="shared" si="2" ref="L11:L29">IF(J11="","",ROUNDDOWN(J11*G11,0))</f>
      </c>
      <c r="M11" s="343">
        <f aca="true" t="shared" si="3" ref="M11:M29">L11</f>
      </c>
      <c r="N11" s="342">
        <v>2</v>
      </c>
      <c r="O11" s="938">
        <v>8</v>
      </c>
      <c r="R11" s="100"/>
    </row>
    <row r="12" spans="1:18" ht="30.75" customHeight="1">
      <c r="A12" s="325">
        <v>3</v>
      </c>
      <c r="B12" s="1263"/>
      <c r="C12" s="1264"/>
      <c r="D12" s="1264"/>
      <c r="E12" s="337"/>
      <c r="F12" s="25"/>
      <c r="G12" s="366"/>
      <c r="H12" s="367"/>
      <c r="I12" s="335">
        <f t="shared" si="0"/>
      </c>
      <c r="J12" s="377"/>
      <c r="K12" s="335">
        <f t="shared" si="1"/>
      </c>
      <c r="L12" s="335">
        <f t="shared" si="2"/>
      </c>
      <c r="M12" s="343">
        <f t="shared" si="3"/>
      </c>
      <c r="N12" s="342">
        <v>3</v>
      </c>
      <c r="O12" s="938">
        <v>8</v>
      </c>
      <c r="P12" s="2"/>
      <c r="R12" s="100"/>
    </row>
    <row r="13" spans="1:18" s="1180" customFormat="1" ht="30.75" customHeight="1">
      <c r="A13" s="326">
        <v>4</v>
      </c>
      <c r="B13" s="1263"/>
      <c r="C13" s="1264"/>
      <c r="D13" s="1264"/>
      <c r="E13" s="337"/>
      <c r="F13" s="25"/>
      <c r="G13" s="366"/>
      <c r="H13" s="367"/>
      <c r="I13" s="335">
        <f t="shared" si="0"/>
      </c>
      <c r="J13" s="377"/>
      <c r="K13" s="335">
        <f t="shared" si="1"/>
      </c>
      <c r="L13" s="335">
        <f t="shared" si="2"/>
      </c>
      <c r="M13" s="343">
        <f t="shared" si="3"/>
      </c>
      <c r="N13" s="342">
        <v>4</v>
      </c>
      <c r="O13" s="938">
        <v>8</v>
      </c>
      <c r="P13" s="2"/>
      <c r="Q13" s="2"/>
      <c r="R13" s="100"/>
    </row>
    <row r="14" spans="1:18" ht="30.75" customHeight="1">
      <c r="A14" s="325">
        <v>5</v>
      </c>
      <c r="B14" s="1263"/>
      <c r="C14" s="1264"/>
      <c r="D14" s="1264"/>
      <c r="E14" s="25"/>
      <c r="F14" s="25"/>
      <c r="G14" s="366"/>
      <c r="H14" s="367"/>
      <c r="I14" s="335">
        <f t="shared" si="0"/>
      </c>
      <c r="J14" s="377"/>
      <c r="K14" s="335">
        <f t="shared" si="1"/>
      </c>
      <c r="L14" s="335">
        <f t="shared" si="2"/>
      </c>
      <c r="M14" s="343">
        <f t="shared" si="3"/>
      </c>
      <c r="N14" s="342">
        <v>5</v>
      </c>
      <c r="O14" s="938">
        <v>8</v>
      </c>
      <c r="P14" s="2"/>
      <c r="R14" s="100"/>
    </row>
    <row r="15" spans="1:16" ht="30.75" customHeight="1">
      <c r="A15" s="326">
        <v>6</v>
      </c>
      <c r="B15" s="1263"/>
      <c r="C15" s="1264"/>
      <c r="D15" s="1264"/>
      <c r="E15" s="25"/>
      <c r="F15" s="25"/>
      <c r="G15" s="366"/>
      <c r="H15" s="367"/>
      <c r="I15" s="335">
        <f t="shared" si="0"/>
      </c>
      <c r="J15" s="377"/>
      <c r="K15" s="335">
        <f t="shared" si="1"/>
      </c>
      <c r="L15" s="335">
        <f t="shared" si="2"/>
      </c>
      <c r="M15" s="343">
        <f t="shared" si="3"/>
      </c>
      <c r="N15" s="342">
        <v>6</v>
      </c>
      <c r="O15" s="938">
        <v>8</v>
      </c>
      <c r="P15" s="2"/>
    </row>
    <row r="16" spans="1:16" ht="30.75" customHeight="1">
      <c r="A16" s="325">
        <v>7</v>
      </c>
      <c r="B16" s="1263"/>
      <c r="C16" s="1264"/>
      <c r="D16" s="1264"/>
      <c r="E16" s="25"/>
      <c r="F16" s="28"/>
      <c r="G16" s="366"/>
      <c r="H16" s="367"/>
      <c r="I16" s="335">
        <f t="shared" si="0"/>
      </c>
      <c r="J16" s="377"/>
      <c r="K16" s="335">
        <f t="shared" si="1"/>
      </c>
      <c r="L16" s="335">
        <f t="shared" si="2"/>
      </c>
      <c r="M16" s="343">
        <f t="shared" si="3"/>
      </c>
      <c r="N16" s="342">
        <v>7</v>
      </c>
      <c r="O16" s="938">
        <v>8</v>
      </c>
      <c r="P16" s="2"/>
    </row>
    <row r="17" spans="1:18" s="1180" customFormat="1" ht="30.75" customHeight="1">
      <c r="A17" s="327">
        <v>8</v>
      </c>
      <c r="B17" s="1263"/>
      <c r="C17" s="1264"/>
      <c r="D17" s="1264"/>
      <c r="E17" s="337"/>
      <c r="F17" s="337"/>
      <c r="G17" s="366"/>
      <c r="H17" s="367"/>
      <c r="I17" s="335">
        <f t="shared" si="0"/>
      </c>
      <c r="J17" s="377"/>
      <c r="K17" s="335">
        <f t="shared" si="1"/>
      </c>
      <c r="L17" s="335">
        <f t="shared" si="2"/>
      </c>
      <c r="M17" s="343">
        <f t="shared" si="3"/>
      </c>
      <c r="N17" s="346">
        <v>8</v>
      </c>
      <c r="O17" s="938">
        <v>8</v>
      </c>
      <c r="P17" s="58"/>
      <c r="Q17" s="315"/>
      <c r="R17" s="315"/>
    </row>
    <row r="18" spans="1:15" ht="30.75" customHeight="1">
      <c r="A18" s="325">
        <v>9</v>
      </c>
      <c r="B18" s="1263"/>
      <c r="C18" s="1264"/>
      <c r="D18" s="1264"/>
      <c r="E18" s="25"/>
      <c r="F18" s="25"/>
      <c r="G18" s="366"/>
      <c r="H18" s="367"/>
      <c r="I18" s="335">
        <f t="shared" si="0"/>
      </c>
      <c r="J18" s="377"/>
      <c r="K18" s="335">
        <f t="shared" si="1"/>
      </c>
      <c r="L18" s="335">
        <f t="shared" si="2"/>
      </c>
      <c r="M18" s="343">
        <f t="shared" si="3"/>
      </c>
      <c r="N18" s="342">
        <v>9</v>
      </c>
      <c r="O18" s="938">
        <v>8</v>
      </c>
    </row>
    <row r="19" spans="1:15" ht="30.75" customHeight="1">
      <c r="A19" s="326">
        <v>10</v>
      </c>
      <c r="B19" s="1263"/>
      <c r="C19" s="1264"/>
      <c r="D19" s="1264"/>
      <c r="E19" s="25"/>
      <c r="F19" s="25"/>
      <c r="G19" s="366"/>
      <c r="H19" s="367"/>
      <c r="I19" s="335">
        <f t="shared" si="0"/>
      </c>
      <c r="J19" s="377"/>
      <c r="K19" s="335">
        <f t="shared" si="1"/>
      </c>
      <c r="L19" s="335">
        <f t="shared" si="2"/>
      </c>
      <c r="M19" s="343">
        <f t="shared" si="3"/>
      </c>
      <c r="N19" s="342">
        <v>10</v>
      </c>
      <c r="O19" s="938">
        <v>8</v>
      </c>
    </row>
    <row r="20" spans="1:15" ht="30.75" customHeight="1">
      <c r="A20" s="325">
        <v>11</v>
      </c>
      <c r="B20" s="1263"/>
      <c r="C20" s="1264"/>
      <c r="D20" s="1264"/>
      <c r="E20" s="25"/>
      <c r="F20" s="25"/>
      <c r="G20" s="366"/>
      <c r="H20" s="367"/>
      <c r="I20" s="335">
        <f t="shared" si="0"/>
      </c>
      <c r="J20" s="377"/>
      <c r="K20" s="335">
        <f t="shared" si="1"/>
      </c>
      <c r="L20" s="335">
        <f t="shared" si="2"/>
      </c>
      <c r="M20" s="343">
        <f t="shared" si="3"/>
      </c>
      <c r="N20" s="342">
        <v>11</v>
      </c>
      <c r="O20" s="938">
        <v>8</v>
      </c>
    </row>
    <row r="21" spans="1:15" ht="30.75" customHeight="1">
      <c r="A21" s="326">
        <v>12</v>
      </c>
      <c r="B21" s="1263"/>
      <c r="C21" s="1264"/>
      <c r="D21" s="1264"/>
      <c r="E21" s="25"/>
      <c r="F21" s="25"/>
      <c r="G21" s="366"/>
      <c r="H21" s="367"/>
      <c r="I21" s="335">
        <f t="shared" si="0"/>
      </c>
      <c r="J21" s="377"/>
      <c r="K21" s="335">
        <f t="shared" si="1"/>
      </c>
      <c r="L21" s="335">
        <f t="shared" si="2"/>
      </c>
      <c r="M21" s="343">
        <f t="shared" si="3"/>
      </c>
      <c r="N21" s="342">
        <v>12</v>
      </c>
      <c r="O21" s="938">
        <v>8</v>
      </c>
    </row>
    <row r="22" spans="1:15" ht="30.75" customHeight="1">
      <c r="A22" s="325">
        <v>13</v>
      </c>
      <c r="B22" s="1263"/>
      <c r="C22" s="1264"/>
      <c r="D22" s="1264"/>
      <c r="E22" s="25"/>
      <c r="F22" s="25"/>
      <c r="G22" s="366"/>
      <c r="H22" s="367"/>
      <c r="I22" s="335">
        <f t="shared" si="0"/>
      </c>
      <c r="J22" s="377"/>
      <c r="K22" s="335">
        <f t="shared" si="1"/>
      </c>
      <c r="L22" s="335">
        <f t="shared" si="2"/>
      </c>
      <c r="M22" s="343">
        <f t="shared" si="3"/>
      </c>
      <c r="N22" s="342">
        <v>13</v>
      </c>
      <c r="O22" s="938">
        <v>8</v>
      </c>
    </row>
    <row r="23" spans="1:15" ht="30.75" customHeight="1">
      <c r="A23" s="326">
        <v>14</v>
      </c>
      <c r="B23" s="1263"/>
      <c r="C23" s="1264"/>
      <c r="D23" s="1264"/>
      <c r="E23" s="579"/>
      <c r="F23" s="25"/>
      <c r="G23" s="366"/>
      <c r="H23" s="367"/>
      <c r="I23" s="335">
        <f t="shared" si="0"/>
      </c>
      <c r="J23" s="377"/>
      <c r="K23" s="335">
        <f t="shared" si="1"/>
      </c>
      <c r="L23" s="335">
        <f t="shared" si="2"/>
      </c>
      <c r="M23" s="343">
        <f t="shared" si="3"/>
      </c>
      <c r="N23" s="342">
        <v>14</v>
      </c>
      <c r="O23" s="938">
        <v>8</v>
      </c>
    </row>
    <row r="24" spans="1:15" ht="30.75" customHeight="1">
      <c r="A24" s="325">
        <v>15</v>
      </c>
      <c r="B24" s="1263"/>
      <c r="C24" s="1264"/>
      <c r="D24" s="1264"/>
      <c r="E24" s="579"/>
      <c r="F24" s="25"/>
      <c r="G24" s="366"/>
      <c r="H24" s="367"/>
      <c r="I24" s="335">
        <f t="shared" si="0"/>
      </c>
      <c r="J24" s="377"/>
      <c r="K24" s="335">
        <f t="shared" si="1"/>
      </c>
      <c r="L24" s="335">
        <f t="shared" si="2"/>
      </c>
      <c r="M24" s="343">
        <f t="shared" si="3"/>
      </c>
      <c r="N24" s="342">
        <v>15</v>
      </c>
      <c r="O24" s="938">
        <v>8</v>
      </c>
    </row>
    <row r="25" spans="1:15" ht="30.75" customHeight="1">
      <c r="A25" s="326">
        <v>16</v>
      </c>
      <c r="B25" s="1263"/>
      <c r="C25" s="1264"/>
      <c r="D25" s="1264"/>
      <c r="E25" s="25"/>
      <c r="F25" s="25"/>
      <c r="G25" s="366"/>
      <c r="H25" s="367"/>
      <c r="I25" s="335">
        <f t="shared" si="0"/>
      </c>
      <c r="J25" s="377"/>
      <c r="K25" s="335">
        <f t="shared" si="1"/>
      </c>
      <c r="L25" s="335">
        <f t="shared" si="2"/>
      </c>
      <c r="M25" s="343">
        <f t="shared" si="3"/>
      </c>
      <c r="N25" s="342">
        <v>16</v>
      </c>
      <c r="O25" s="938">
        <v>8</v>
      </c>
    </row>
    <row r="26" spans="1:15" ht="30.75" customHeight="1">
      <c r="A26" s="325">
        <v>17</v>
      </c>
      <c r="B26" s="1263"/>
      <c r="C26" s="1264"/>
      <c r="D26" s="1264"/>
      <c r="E26" s="25"/>
      <c r="F26" s="25"/>
      <c r="G26" s="366"/>
      <c r="H26" s="367"/>
      <c r="I26" s="335">
        <f t="shared" si="0"/>
      </c>
      <c r="J26" s="377"/>
      <c r="K26" s="335">
        <f t="shared" si="1"/>
      </c>
      <c r="L26" s="335">
        <f t="shared" si="2"/>
      </c>
      <c r="M26" s="343">
        <f t="shared" si="3"/>
      </c>
      <c r="N26" s="342">
        <v>17</v>
      </c>
      <c r="O26" s="938">
        <v>8</v>
      </c>
    </row>
    <row r="27" spans="1:15" ht="30.75" customHeight="1">
      <c r="A27" s="326">
        <v>18</v>
      </c>
      <c r="B27" s="1263"/>
      <c r="C27" s="1264"/>
      <c r="D27" s="1264"/>
      <c r="E27" s="25"/>
      <c r="F27" s="25"/>
      <c r="G27" s="366"/>
      <c r="H27" s="367"/>
      <c r="I27" s="335">
        <f t="shared" si="0"/>
      </c>
      <c r="J27" s="377"/>
      <c r="K27" s="335">
        <f t="shared" si="1"/>
      </c>
      <c r="L27" s="335">
        <f t="shared" si="2"/>
      </c>
      <c r="M27" s="343">
        <f t="shared" si="3"/>
      </c>
      <c r="N27" s="342">
        <v>18</v>
      </c>
      <c r="O27" s="938">
        <v>8</v>
      </c>
    </row>
    <row r="28" spans="1:15" ht="30.75" customHeight="1">
      <c r="A28" s="325">
        <v>19</v>
      </c>
      <c r="B28" s="1263"/>
      <c r="C28" s="1264"/>
      <c r="D28" s="1264"/>
      <c r="E28" s="579"/>
      <c r="F28" s="25"/>
      <c r="G28" s="366"/>
      <c r="H28" s="367"/>
      <c r="I28" s="335">
        <f t="shared" si="0"/>
      </c>
      <c r="J28" s="377"/>
      <c r="K28" s="335">
        <f t="shared" si="1"/>
      </c>
      <c r="L28" s="335">
        <f t="shared" si="2"/>
      </c>
      <c r="M28" s="343">
        <f t="shared" si="3"/>
      </c>
      <c r="N28" s="342">
        <v>19</v>
      </c>
      <c r="O28" s="938">
        <v>8</v>
      </c>
    </row>
    <row r="29" spans="1:15" ht="30.75" customHeight="1" thickBot="1">
      <c r="A29" s="946">
        <v>20</v>
      </c>
      <c r="B29" s="1265"/>
      <c r="C29" s="1266"/>
      <c r="D29" s="1266"/>
      <c r="E29" s="581"/>
      <c r="F29" s="581"/>
      <c r="G29" s="947"/>
      <c r="H29" s="948"/>
      <c r="I29" s="943">
        <f t="shared" si="0"/>
      </c>
      <c r="J29" s="940"/>
      <c r="K29" s="942">
        <f t="shared" si="1"/>
      </c>
      <c r="L29" s="942">
        <f t="shared" si="2"/>
      </c>
      <c r="M29" s="943">
        <f t="shared" si="3"/>
      </c>
      <c r="N29" s="949">
        <v>20</v>
      </c>
      <c r="O29" s="945">
        <v>8</v>
      </c>
    </row>
    <row r="30" spans="1:18" ht="21" customHeight="1" thickBot="1">
      <c r="A30" s="1267" t="s">
        <v>27</v>
      </c>
      <c r="B30" s="1268"/>
      <c r="C30" s="1268"/>
      <c r="D30" s="1268"/>
      <c r="E30" s="1268"/>
      <c r="F30" s="1268"/>
      <c r="G30" s="1268"/>
      <c r="H30" s="1268"/>
      <c r="I30" s="1268"/>
      <c r="J30" s="1186"/>
      <c r="K30" s="1038">
        <f>SUM(K10:K29)</f>
        <v>0</v>
      </c>
      <c r="L30" s="1038">
        <f>SUM(L10:L29)</f>
        <v>0</v>
      </c>
      <c r="M30" s="1036">
        <f>SUM(M10:M29)</f>
        <v>0</v>
      </c>
      <c r="N30" s="38"/>
      <c r="Q30" s="100"/>
      <c r="R30" s="100"/>
    </row>
    <row r="31" spans="1:14" ht="13.5" customHeight="1">
      <c r="A31" s="4"/>
      <c r="N31" s="4"/>
    </row>
    <row r="32" spans="2:14" ht="13.5" customHeight="1">
      <c r="B32" s="591" t="s">
        <v>35</v>
      </c>
      <c r="D32" s="6"/>
      <c r="E32" s="27" t="s">
        <v>196</v>
      </c>
      <c r="G32" s="591"/>
      <c r="H32" s="591"/>
      <c r="I32" s="591"/>
      <c r="M32" s="648"/>
      <c r="N32" s="4"/>
    </row>
    <row r="33" spans="1:18" s="27" customFormat="1" ht="13.5" customHeight="1">
      <c r="A33" s="3"/>
      <c r="B33" s="591"/>
      <c r="C33" s="591"/>
      <c r="D33" s="591"/>
      <c r="E33" s="27" t="s">
        <v>197</v>
      </c>
      <c r="G33" s="591"/>
      <c r="H33" s="591"/>
      <c r="I33" s="591"/>
      <c r="J33" s="30"/>
      <c r="K33" s="30"/>
      <c r="L33" s="30"/>
      <c r="N33" s="39"/>
      <c r="O33" s="3"/>
      <c r="P33" s="3"/>
      <c r="Q33" s="29"/>
      <c r="R33" s="29"/>
    </row>
    <row r="34" spans="1:18" s="27" customFormat="1" ht="13.5" customHeight="1">
      <c r="A34" s="3"/>
      <c r="B34" s="591" t="s">
        <v>36</v>
      </c>
      <c r="C34" s="591"/>
      <c r="D34" s="591"/>
      <c r="E34" s="27" t="s">
        <v>198</v>
      </c>
      <c r="G34" s="591"/>
      <c r="H34" s="591"/>
      <c r="I34" s="591"/>
      <c r="J34" s="30"/>
      <c r="K34" s="30"/>
      <c r="L34" s="30"/>
      <c r="M34" s="648"/>
      <c r="N34" s="3"/>
      <c r="O34" s="3"/>
      <c r="P34" s="3"/>
      <c r="Q34" s="29"/>
      <c r="R34" s="29"/>
    </row>
    <row r="35" spans="1:18" s="27" customFormat="1" ht="13.5" customHeight="1">
      <c r="A35" s="3"/>
      <c r="B35" s="591" t="s">
        <v>37</v>
      </c>
      <c r="C35" s="591"/>
      <c r="D35" s="591"/>
      <c r="E35" s="27" t="s">
        <v>199</v>
      </c>
      <c r="G35" s="591"/>
      <c r="H35" s="591"/>
      <c r="I35" s="591"/>
      <c r="J35" s="30"/>
      <c r="K35" s="30"/>
      <c r="L35" s="30"/>
      <c r="M35" s="648"/>
      <c r="N35" s="3"/>
      <c r="O35" s="3"/>
      <c r="P35" s="3"/>
      <c r="Q35" s="29"/>
      <c r="R35" s="29"/>
    </row>
    <row r="36" ht="13.5">
      <c r="M36" s="331"/>
    </row>
  </sheetData>
  <sheetProtection/>
  <mergeCells count="27">
    <mergeCell ref="B25:D25"/>
    <mergeCell ref="B26:D26"/>
    <mergeCell ref="B27:D27"/>
    <mergeCell ref="B28:D28"/>
    <mergeCell ref="B29:D29"/>
    <mergeCell ref="B19:D19"/>
    <mergeCell ref="B20:D20"/>
    <mergeCell ref="B21:D21"/>
    <mergeCell ref="B22:D22"/>
    <mergeCell ref="B23:D23"/>
    <mergeCell ref="B24:D24"/>
    <mergeCell ref="A1:E1"/>
    <mergeCell ref="A8:A9"/>
    <mergeCell ref="B8:D8"/>
    <mergeCell ref="B12:D12"/>
    <mergeCell ref="B13:D13"/>
    <mergeCell ref="B14:D14"/>
    <mergeCell ref="K8:L8"/>
    <mergeCell ref="N8:N9"/>
    <mergeCell ref="O8:O9"/>
    <mergeCell ref="B10:D10"/>
    <mergeCell ref="B11:D11"/>
    <mergeCell ref="A30:I30"/>
    <mergeCell ref="B15:D15"/>
    <mergeCell ref="B16:D16"/>
    <mergeCell ref="B17:D17"/>
    <mergeCell ref="B18:D18"/>
  </mergeCells>
  <dataValidations count="4">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zoomScaleSheetLayoutView="85" zoomScalePageLayoutView="0" workbookViewId="0" topLeftCell="A16">
      <selection activeCell="N30" sqref="N30"/>
    </sheetView>
  </sheetViews>
  <sheetFormatPr defaultColWidth="9.140625" defaultRowHeight="15"/>
  <cols>
    <col min="1" max="1" width="3.140625" style="591" customWidth="1"/>
    <col min="2" max="3" width="2.57421875" style="591" customWidth="1"/>
    <col min="4" max="4" width="5.00390625" style="591" customWidth="1"/>
    <col min="5" max="5" width="17.00390625" style="7" customWidth="1"/>
    <col min="6" max="6" width="16.00390625" style="27" customWidth="1"/>
    <col min="7" max="7" width="9.421875" style="591" bestFit="1" customWidth="1"/>
    <col min="8" max="8" width="4.421875" style="591" bestFit="1" customWidth="1"/>
    <col min="9" max="10" width="10.8515625" style="591" customWidth="1"/>
    <col min="11" max="11" width="12.421875" style="591" customWidth="1"/>
    <col min="12" max="12" width="11.8515625" style="591" customWidth="1"/>
    <col min="13" max="13" width="11.421875" style="591" customWidth="1"/>
    <col min="14" max="14" width="3.57421875" style="3" customWidth="1"/>
    <col min="15" max="15" width="3.8515625" style="3" customWidth="1"/>
    <col min="16" max="16" width="3.57421875" style="3" customWidth="1"/>
    <col min="17" max="16384" width="9.00390625" style="591" customWidth="1"/>
  </cols>
  <sheetData>
    <row r="1" spans="1:6" ht="13.5" customHeight="1">
      <c r="A1" s="1269" t="s">
        <v>29</v>
      </c>
      <c r="B1" s="1269"/>
      <c r="C1" s="1269"/>
      <c r="D1" s="1269"/>
      <c r="E1" s="1269"/>
      <c r="F1" s="3"/>
    </row>
    <row r="2" spans="1:16" ht="13.5" customHeight="1">
      <c r="A2" s="4"/>
      <c r="B2" s="4"/>
      <c r="C2" s="4"/>
      <c r="D2" s="4"/>
      <c r="E2" s="5"/>
      <c r="F2" s="3"/>
      <c r="N2" s="4"/>
      <c r="P2" s="4"/>
    </row>
    <row r="3" spans="1:16" ht="13.5" customHeight="1">
      <c r="A3" s="4"/>
      <c r="B3" s="4" t="s">
        <v>30</v>
      </c>
      <c r="C3" s="1182" t="s">
        <v>34</v>
      </c>
      <c r="D3" s="4"/>
      <c r="E3" s="5"/>
      <c r="F3" s="1190" t="s">
        <v>28</v>
      </c>
      <c r="N3" s="4"/>
      <c r="P3" s="4"/>
    </row>
    <row r="4" spans="1:16" ht="13.5" customHeight="1">
      <c r="A4" s="4"/>
      <c r="B4" s="4"/>
      <c r="C4" s="4"/>
      <c r="D4" s="4"/>
      <c r="E4" s="5"/>
      <c r="F4" s="1190" t="s">
        <v>58</v>
      </c>
      <c r="N4" s="4"/>
      <c r="P4" s="4"/>
    </row>
    <row r="5" spans="1:16" ht="13.5" customHeight="1">
      <c r="A5" s="4"/>
      <c r="B5" s="4"/>
      <c r="C5" s="4"/>
      <c r="D5" s="4"/>
      <c r="E5" s="5"/>
      <c r="F5" s="3"/>
      <c r="M5" s="591" t="s">
        <v>38</v>
      </c>
      <c r="N5" s="4"/>
      <c r="O5" s="555"/>
      <c r="P5" s="4"/>
    </row>
    <row r="6" spans="1:16" ht="13.5" customHeight="1">
      <c r="A6" s="6"/>
      <c r="F6" s="3"/>
      <c r="K6" s="8" t="s">
        <v>195</v>
      </c>
      <c r="L6" s="105" t="str">
        <f>IF('使い方'!$E$6="","",'使い方'!$E$6)</f>
        <v>Ｂ金属株式会社</v>
      </c>
      <c r="N6" s="4"/>
      <c r="P6" s="4"/>
    </row>
    <row r="7" spans="1:16" ht="13.5" customHeight="1" thickBot="1">
      <c r="A7" s="6"/>
      <c r="F7" s="3"/>
      <c r="I7" s="10"/>
      <c r="J7" s="10"/>
      <c r="N7" s="4"/>
      <c r="P7" s="4"/>
    </row>
    <row r="8" spans="1:16" ht="27" customHeight="1">
      <c r="A8" s="1270" t="s">
        <v>13</v>
      </c>
      <c r="B8" s="1272" t="s">
        <v>14</v>
      </c>
      <c r="C8" s="1272"/>
      <c r="D8" s="1273"/>
      <c r="E8" s="11" t="s">
        <v>15</v>
      </c>
      <c r="F8" s="12" t="s">
        <v>16</v>
      </c>
      <c r="G8" s="12" t="s">
        <v>17</v>
      </c>
      <c r="H8" s="12" t="s">
        <v>18</v>
      </c>
      <c r="I8" s="12" t="s">
        <v>7</v>
      </c>
      <c r="J8" s="12" t="s">
        <v>7</v>
      </c>
      <c r="K8" s="1274" t="s">
        <v>19</v>
      </c>
      <c r="L8" s="1273"/>
      <c r="M8" s="1183" t="s">
        <v>20</v>
      </c>
      <c r="N8" s="1275" t="s">
        <v>13</v>
      </c>
      <c r="O8" s="1277" t="s">
        <v>227</v>
      </c>
      <c r="P8" s="103"/>
    </row>
    <row r="9" spans="1:16" ht="42" customHeight="1" thickBot="1">
      <c r="A9" s="1271"/>
      <c r="B9" s="13" t="s">
        <v>21</v>
      </c>
      <c r="C9" s="13" t="s">
        <v>22</v>
      </c>
      <c r="D9" s="14" t="s">
        <v>23</v>
      </c>
      <c r="E9" s="15"/>
      <c r="F9" s="16"/>
      <c r="G9" s="17"/>
      <c r="H9" s="17"/>
      <c r="I9" s="17" t="s">
        <v>24</v>
      </c>
      <c r="J9" s="17" t="s">
        <v>44</v>
      </c>
      <c r="K9" s="17" t="s">
        <v>25</v>
      </c>
      <c r="L9" s="18" t="s">
        <v>42</v>
      </c>
      <c r="M9" s="18" t="s">
        <v>26</v>
      </c>
      <c r="N9" s="1276"/>
      <c r="O9" s="1278"/>
      <c r="P9" s="103"/>
    </row>
    <row r="10" spans="1:16" ht="30.75" customHeight="1">
      <c r="A10" s="19">
        <v>1</v>
      </c>
      <c r="B10" s="1281"/>
      <c r="C10" s="1282"/>
      <c r="D10" s="1282"/>
      <c r="E10" s="954"/>
      <c r="F10" s="20"/>
      <c r="G10" s="366"/>
      <c r="H10" s="367" t="s">
        <v>231</v>
      </c>
      <c r="I10" s="335">
        <f>IF(G10="","",ROUNDDOWN(J10*(1+O10/100),0))</f>
      </c>
      <c r="J10" s="377"/>
      <c r="K10" s="335">
        <f>IF(I10="","",ROUNDDOWN(L10*(1+O10/100),0))</f>
      </c>
      <c r="L10" s="335">
        <f aca="true" t="shared" si="0" ref="L10:L29">IF(J10="","",ROUNDDOWN(J10*G10,0))</f>
      </c>
      <c r="M10" s="1040">
        <f aca="true" t="shared" si="1" ref="M10:M29">L10</f>
      </c>
      <c r="N10" s="1044">
        <v>1</v>
      </c>
      <c r="O10" s="1042">
        <v>8</v>
      </c>
      <c r="P10" s="591"/>
    </row>
    <row r="11" spans="1:16" ht="30.75" customHeight="1">
      <c r="A11" s="21">
        <v>2</v>
      </c>
      <c r="B11" s="1263"/>
      <c r="C11" s="1264"/>
      <c r="D11" s="1264"/>
      <c r="E11" s="955"/>
      <c r="F11" s="25"/>
      <c r="G11" s="366"/>
      <c r="H11" s="367"/>
      <c r="I11" s="335">
        <f aca="true" t="shared" si="2" ref="I11:I29">IF(G11="","",ROUNDDOWN(J11*(1+O11/100),0))</f>
      </c>
      <c r="J11" s="377"/>
      <c r="K11" s="335">
        <f aca="true" t="shared" si="3" ref="K11:K29">IF(I11="","",ROUNDDOWN(L11*(1+O11/100),0))</f>
      </c>
      <c r="L11" s="335">
        <f t="shared" si="0"/>
      </c>
      <c r="M11" s="1040">
        <f t="shared" si="1"/>
      </c>
      <c r="N11" s="1045">
        <v>2</v>
      </c>
      <c r="O11" s="1042">
        <v>8</v>
      </c>
      <c r="P11" s="103"/>
    </row>
    <row r="12" spans="1:16" ht="30.75" customHeight="1">
      <c r="A12" s="19">
        <v>3</v>
      </c>
      <c r="B12" s="1263"/>
      <c r="C12" s="1264"/>
      <c r="D12" s="1264"/>
      <c r="E12" s="955"/>
      <c r="F12" s="25"/>
      <c r="G12" s="366"/>
      <c r="H12" s="367"/>
      <c r="I12" s="335">
        <f t="shared" si="2"/>
      </c>
      <c r="J12" s="377"/>
      <c r="K12" s="335">
        <f t="shared" si="3"/>
      </c>
      <c r="L12" s="335">
        <f t="shared" si="0"/>
      </c>
      <c r="M12" s="1040">
        <f t="shared" si="1"/>
      </c>
      <c r="N12" s="1044">
        <v>3</v>
      </c>
      <c r="O12" s="1042">
        <v>8</v>
      </c>
      <c r="P12" s="103"/>
    </row>
    <row r="13" spans="1:16" s="1180" customFormat="1" ht="30.75" customHeight="1">
      <c r="A13" s="22">
        <v>4</v>
      </c>
      <c r="B13" s="1263"/>
      <c r="C13" s="1264"/>
      <c r="D13" s="1264"/>
      <c r="E13" s="955"/>
      <c r="F13" s="25"/>
      <c r="G13" s="366"/>
      <c r="H13" s="367"/>
      <c r="I13" s="335">
        <f t="shared" si="2"/>
      </c>
      <c r="J13" s="377"/>
      <c r="K13" s="335">
        <f t="shared" si="3"/>
      </c>
      <c r="L13" s="335">
        <f t="shared" si="0"/>
      </c>
      <c r="M13" s="1040">
        <f t="shared" si="1"/>
      </c>
      <c r="N13" s="1046">
        <v>4</v>
      </c>
      <c r="O13" s="1042">
        <v>8</v>
      </c>
      <c r="P13" s="708"/>
    </row>
    <row r="14" spans="1:16" s="1180" customFormat="1" ht="30.75" customHeight="1">
      <c r="A14" s="24">
        <v>5</v>
      </c>
      <c r="B14" s="1263"/>
      <c r="C14" s="1264"/>
      <c r="D14" s="1264"/>
      <c r="E14" s="956"/>
      <c r="F14" s="25"/>
      <c r="G14" s="366"/>
      <c r="H14" s="367"/>
      <c r="I14" s="335">
        <f t="shared" si="2"/>
      </c>
      <c r="J14" s="377"/>
      <c r="K14" s="335">
        <f t="shared" si="3"/>
      </c>
      <c r="L14" s="335">
        <f t="shared" si="0"/>
      </c>
      <c r="M14" s="1040">
        <f t="shared" si="1"/>
      </c>
      <c r="N14" s="1047">
        <v>5</v>
      </c>
      <c r="O14" s="1042">
        <v>8</v>
      </c>
      <c r="P14" s="708"/>
    </row>
    <row r="15" spans="1:16" ht="30.75" customHeight="1">
      <c r="A15" s="21">
        <v>6</v>
      </c>
      <c r="B15" s="1263"/>
      <c r="C15" s="1264"/>
      <c r="D15" s="1264"/>
      <c r="E15" s="956"/>
      <c r="F15" s="25"/>
      <c r="G15" s="366"/>
      <c r="H15" s="367"/>
      <c r="I15" s="335">
        <f t="shared" si="2"/>
      </c>
      <c r="J15" s="377"/>
      <c r="K15" s="335">
        <f t="shared" si="3"/>
      </c>
      <c r="L15" s="335">
        <f t="shared" si="0"/>
      </c>
      <c r="M15" s="1040">
        <f t="shared" si="1"/>
      </c>
      <c r="N15" s="1045">
        <v>6</v>
      </c>
      <c r="O15" s="1042">
        <v>8</v>
      </c>
      <c r="P15" s="103"/>
    </row>
    <row r="16" spans="1:16" ht="30.75" customHeight="1">
      <c r="A16" s="19">
        <v>7</v>
      </c>
      <c r="B16" s="1263"/>
      <c r="C16" s="1264"/>
      <c r="D16" s="1264"/>
      <c r="E16" s="956"/>
      <c r="F16" s="28"/>
      <c r="G16" s="366"/>
      <c r="H16" s="367"/>
      <c r="I16" s="335">
        <f t="shared" si="2"/>
      </c>
      <c r="J16" s="377"/>
      <c r="K16" s="335">
        <f t="shared" si="3"/>
      </c>
      <c r="L16" s="335">
        <f t="shared" si="0"/>
      </c>
      <c r="M16" s="1040">
        <f t="shared" si="1"/>
      </c>
      <c r="N16" s="1044">
        <v>7</v>
      </c>
      <c r="O16" s="1042">
        <v>8</v>
      </c>
      <c r="P16" s="103"/>
    </row>
    <row r="17" spans="1:16" ht="30.75" customHeight="1">
      <c r="A17" s="21">
        <v>8</v>
      </c>
      <c r="B17" s="1263"/>
      <c r="C17" s="1264"/>
      <c r="D17" s="1264"/>
      <c r="E17" s="955"/>
      <c r="F17" s="337"/>
      <c r="G17" s="366"/>
      <c r="H17" s="367"/>
      <c r="I17" s="335">
        <f t="shared" si="2"/>
      </c>
      <c r="J17" s="377"/>
      <c r="K17" s="335">
        <f t="shared" si="3"/>
      </c>
      <c r="L17" s="335">
        <f t="shared" si="0"/>
      </c>
      <c r="M17" s="1040">
        <f t="shared" si="1"/>
      </c>
      <c r="N17" s="1045">
        <v>8</v>
      </c>
      <c r="O17" s="1042">
        <v>8</v>
      </c>
      <c r="P17" s="103"/>
    </row>
    <row r="18" spans="1:16" ht="30.75" customHeight="1">
      <c r="A18" s="19">
        <v>9</v>
      </c>
      <c r="B18" s="1263"/>
      <c r="C18" s="1264"/>
      <c r="D18" s="1264"/>
      <c r="E18" s="956"/>
      <c r="F18" s="25"/>
      <c r="G18" s="366"/>
      <c r="H18" s="367"/>
      <c r="I18" s="335">
        <f t="shared" si="2"/>
      </c>
      <c r="J18" s="377"/>
      <c r="K18" s="335">
        <f t="shared" si="3"/>
      </c>
      <c r="L18" s="335">
        <f t="shared" si="0"/>
      </c>
      <c r="M18" s="1040">
        <f t="shared" si="1"/>
      </c>
      <c r="N18" s="1044">
        <v>9</v>
      </c>
      <c r="O18" s="1042">
        <v>8</v>
      </c>
      <c r="P18" s="103"/>
    </row>
    <row r="19" spans="1:16" ht="30.75" customHeight="1">
      <c r="A19" s="21">
        <v>10</v>
      </c>
      <c r="B19" s="1263"/>
      <c r="C19" s="1264"/>
      <c r="D19" s="1264"/>
      <c r="E19" s="956"/>
      <c r="F19" s="25"/>
      <c r="G19" s="366"/>
      <c r="H19" s="367"/>
      <c r="I19" s="335">
        <f t="shared" si="2"/>
      </c>
      <c r="J19" s="377"/>
      <c r="K19" s="335">
        <f t="shared" si="3"/>
      </c>
      <c r="L19" s="335">
        <f t="shared" si="0"/>
      </c>
      <c r="M19" s="1040">
        <f t="shared" si="1"/>
      </c>
      <c r="N19" s="1045">
        <v>10</v>
      </c>
      <c r="O19" s="1042">
        <v>8</v>
      </c>
      <c r="P19" s="103"/>
    </row>
    <row r="20" spans="1:16" ht="30.75" customHeight="1">
      <c r="A20" s="19">
        <v>11</v>
      </c>
      <c r="B20" s="1263"/>
      <c r="C20" s="1264"/>
      <c r="D20" s="1264"/>
      <c r="E20" s="956"/>
      <c r="F20" s="25"/>
      <c r="G20" s="366"/>
      <c r="H20" s="367"/>
      <c r="I20" s="335">
        <f t="shared" si="2"/>
      </c>
      <c r="J20" s="377"/>
      <c r="K20" s="335">
        <f t="shared" si="3"/>
      </c>
      <c r="L20" s="335">
        <f t="shared" si="0"/>
      </c>
      <c r="M20" s="1040">
        <f t="shared" si="1"/>
      </c>
      <c r="N20" s="1044">
        <v>11</v>
      </c>
      <c r="O20" s="1042">
        <v>8</v>
      </c>
      <c r="P20" s="103"/>
    </row>
    <row r="21" spans="1:16" ht="30.75" customHeight="1">
      <c r="A21" s="21">
        <v>12</v>
      </c>
      <c r="B21" s="1263"/>
      <c r="C21" s="1264"/>
      <c r="D21" s="1264"/>
      <c r="E21" s="956"/>
      <c r="F21" s="25"/>
      <c r="G21" s="366"/>
      <c r="H21" s="367"/>
      <c r="I21" s="335">
        <f t="shared" si="2"/>
      </c>
      <c r="J21" s="377"/>
      <c r="K21" s="335">
        <f t="shared" si="3"/>
      </c>
      <c r="L21" s="335">
        <f t="shared" si="0"/>
      </c>
      <c r="M21" s="1040">
        <f t="shared" si="1"/>
      </c>
      <c r="N21" s="1045">
        <v>12</v>
      </c>
      <c r="O21" s="1042">
        <v>8</v>
      </c>
      <c r="P21" s="103"/>
    </row>
    <row r="22" spans="1:16" ht="30.75" customHeight="1">
      <c r="A22" s="19">
        <v>13</v>
      </c>
      <c r="B22" s="1263"/>
      <c r="C22" s="1264"/>
      <c r="D22" s="1264"/>
      <c r="E22" s="956"/>
      <c r="F22" s="25"/>
      <c r="G22" s="366"/>
      <c r="H22" s="367"/>
      <c r="I22" s="335">
        <f t="shared" si="2"/>
      </c>
      <c r="J22" s="377"/>
      <c r="K22" s="335">
        <f t="shared" si="3"/>
      </c>
      <c r="L22" s="335">
        <f t="shared" si="0"/>
      </c>
      <c r="M22" s="1040">
        <f t="shared" si="1"/>
      </c>
      <c r="N22" s="1044">
        <v>13</v>
      </c>
      <c r="O22" s="1042">
        <v>8</v>
      </c>
      <c r="P22" s="103"/>
    </row>
    <row r="23" spans="1:16" ht="30.75" customHeight="1">
      <c r="A23" s="21">
        <v>14</v>
      </c>
      <c r="B23" s="1263"/>
      <c r="C23" s="1264"/>
      <c r="D23" s="1264"/>
      <c r="E23" s="957"/>
      <c r="F23" s="25"/>
      <c r="G23" s="366"/>
      <c r="H23" s="367"/>
      <c r="I23" s="335">
        <f t="shared" si="2"/>
      </c>
      <c r="J23" s="377"/>
      <c r="K23" s="335">
        <f t="shared" si="3"/>
      </c>
      <c r="L23" s="335">
        <f t="shared" si="0"/>
      </c>
      <c r="M23" s="1040">
        <f t="shared" si="1"/>
      </c>
      <c r="N23" s="1045">
        <v>14</v>
      </c>
      <c r="O23" s="1042">
        <v>8</v>
      </c>
      <c r="P23" s="103"/>
    </row>
    <row r="24" spans="1:16" ht="30.75" customHeight="1">
      <c r="A24" s="19">
        <v>15</v>
      </c>
      <c r="B24" s="1263"/>
      <c r="C24" s="1264"/>
      <c r="D24" s="1264"/>
      <c r="E24" s="957"/>
      <c r="F24" s="25"/>
      <c r="G24" s="366"/>
      <c r="H24" s="367"/>
      <c r="I24" s="335">
        <f t="shared" si="2"/>
      </c>
      <c r="J24" s="377"/>
      <c r="K24" s="335">
        <f t="shared" si="3"/>
      </c>
      <c r="L24" s="335">
        <f t="shared" si="0"/>
      </c>
      <c r="M24" s="1040">
        <f t="shared" si="1"/>
      </c>
      <c r="N24" s="1044">
        <v>15</v>
      </c>
      <c r="O24" s="1042">
        <v>8</v>
      </c>
      <c r="P24" s="103"/>
    </row>
    <row r="25" spans="1:16" ht="30.75" customHeight="1">
      <c r="A25" s="21">
        <v>16</v>
      </c>
      <c r="B25" s="1263"/>
      <c r="C25" s="1264"/>
      <c r="D25" s="1264"/>
      <c r="E25" s="956"/>
      <c r="F25" s="25"/>
      <c r="G25" s="366"/>
      <c r="H25" s="367"/>
      <c r="I25" s="335">
        <f t="shared" si="2"/>
      </c>
      <c r="J25" s="377"/>
      <c r="K25" s="335">
        <f t="shared" si="3"/>
      </c>
      <c r="L25" s="335">
        <f t="shared" si="0"/>
      </c>
      <c r="M25" s="1040">
        <f t="shared" si="1"/>
      </c>
      <c r="N25" s="1045">
        <v>16</v>
      </c>
      <c r="O25" s="1042">
        <v>8</v>
      </c>
      <c r="P25" s="103"/>
    </row>
    <row r="26" spans="1:16" ht="30.75" customHeight="1">
      <c r="A26" s="19">
        <v>17</v>
      </c>
      <c r="B26" s="1263"/>
      <c r="C26" s="1264"/>
      <c r="D26" s="1264"/>
      <c r="E26" s="956"/>
      <c r="F26" s="25"/>
      <c r="G26" s="366"/>
      <c r="H26" s="367"/>
      <c r="I26" s="335">
        <f t="shared" si="2"/>
      </c>
      <c r="J26" s="377"/>
      <c r="K26" s="335">
        <f t="shared" si="3"/>
      </c>
      <c r="L26" s="335">
        <f t="shared" si="0"/>
      </c>
      <c r="M26" s="1040">
        <f t="shared" si="1"/>
      </c>
      <c r="N26" s="1044">
        <v>17</v>
      </c>
      <c r="O26" s="1042">
        <v>8</v>
      </c>
      <c r="P26" s="103"/>
    </row>
    <row r="27" spans="1:16" ht="30.75" customHeight="1">
      <c r="A27" s="21">
        <v>18</v>
      </c>
      <c r="B27" s="1263"/>
      <c r="C27" s="1264"/>
      <c r="D27" s="1264"/>
      <c r="E27" s="956"/>
      <c r="F27" s="25"/>
      <c r="G27" s="366"/>
      <c r="H27" s="367"/>
      <c r="I27" s="335">
        <f t="shared" si="2"/>
      </c>
      <c r="J27" s="377"/>
      <c r="K27" s="335">
        <f t="shared" si="3"/>
      </c>
      <c r="L27" s="335">
        <f t="shared" si="0"/>
      </c>
      <c r="M27" s="1040">
        <f t="shared" si="1"/>
      </c>
      <c r="N27" s="1045">
        <v>18</v>
      </c>
      <c r="O27" s="1042">
        <v>8</v>
      </c>
      <c r="P27" s="103"/>
    </row>
    <row r="28" spans="1:16" ht="30.75" customHeight="1">
      <c r="A28" s="19">
        <v>19</v>
      </c>
      <c r="B28" s="1263"/>
      <c r="C28" s="1264"/>
      <c r="D28" s="1264"/>
      <c r="E28" s="957"/>
      <c r="F28" s="25"/>
      <c r="G28" s="366"/>
      <c r="H28" s="367"/>
      <c r="I28" s="335">
        <f t="shared" si="2"/>
      </c>
      <c r="J28" s="377"/>
      <c r="K28" s="335">
        <f t="shared" si="3"/>
      </c>
      <c r="L28" s="335">
        <f t="shared" si="0"/>
      </c>
      <c r="M28" s="1040">
        <f t="shared" si="1"/>
      </c>
      <c r="N28" s="1044">
        <v>19</v>
      </c>
      <c r="O28" s="1042">
        <v>8</v>
      </c>
      <c r="P28" s="103"/>
    </row>
    <row r="29" spans="1:16" ht="30.75" customHeight="1" thickBot="1">
      <c r="A29" s="950">
        <v>20</v>
      </c>
      <c r="B29" s="1265"/>
      <c r="C29" s="1266"/>
      <c r="D29" s="1266"/>
      <c r="E29" s="958"/>
      <c r="F29" s="581"/>
      <c r="G29" s="951"/>
      <c r="H29" s="952"/>
      <c r="I29" s="942">
        <f t="shared" si="2"/>
      </c>
      <c r="J29" s="953"/>
      <c r="K29" s="942">
        <f t="shared" si="3"/>
      </c>
      <c r="L29" s="942">
        <f t="shared" si="0"/>
      </c>
      <c r="M29" s="1041">
        <f t="shared" si="1"/>
      </c>
      <c r="N29" s="1048">
        <v>20</v>
      </c>
      <c r="O29" s="1043">
        <v>8</v>
      </c>
      <c r="P29" s="103"/>
    </row>
    <row r="30" spans="1:16" ht="21" customHeight="1" thickBot="1">
      <c r="A30" s="1267" t="s">
        <v>27</v>
      </c>
      <c r="B30" s="1268"/>
      <c r="C30" s="1268"/>
      <c r="D30" s="1268"/>
      <c r="E30" s="1268"/>
      <c r="F30" s="1268"/>
      <c r="G30" s="1268"/>
      <c r="H30" s="1268"/>
      <c r="I30" s="1268"/>
      <c r="J30" s="1185"/>
      <c r="K30" s="1038">
        <f>SUM(K10:K29)</f>
        <v>0</v>
      </c>
      <c r="L30" s="1037">
        <f>SUM(L10:L29)</f>
        <v>0</v>
      </c>
      <c r="M30" s="1036">
        <f>SUM(M10:M29)</f>
        <v>0</v>
      </c>
      <c r="N30" s="38"/>
      <c r="P30" s="38"/>
    </row>
    <row r="31" spans="1:16" ht="13.5" customHeight="1">
      <c r="A31" s="6"/>
      <c r="N31" s="4"/>
      <c r="P31" s="4"/>
    </row>
    <row r="32" spans="2:16" ht="13.5" customHeight="1">
      <c r="B32" s="591" t="s">
        <v>35</v>
      </c>
      <c r="D32" s="6"/>
      <c r="E32" s="27" t="s">
        <v>196</v>
      </c>
      <c r="N32" s="4"/>
      <c r="P32" s="4"/>
    </row>
    <row r="33" spans="1:16" s="27" customFormat="1" ht="13.5" customHeight="1">
      <c r="A33" s="591"/>
      <c r="B33" s="591"/>
      <c r="C33" s="591"/>
      <c r="D33" s="591"/>
      <c r="E33" s="27" t="s">
        <v>197</v>
      </c>
      <c r="G33" s="591"/>
      <c r="H33" s="591"/>
      <c r="I33" s="591"/>
      <c r="J33" s="591"/>
      <c r="K33" s="591"/>
      <c r="L33" s="591"/>
      <c r="M33" s="591"/>
      <c r="N33" s="39"/>
      <c r="O33" s="3"/>
      <c r="P33" s="39"/>
    </row>
    <row r="34" spans="1:16" s="27" customFormat="1" ht="13.5" customHeight="1">
      <c r="A34" s="591"/>
      <c r="B34" s="591" t="s">
        <v>36</v>
      </c>
      <c r="C34" s="591"/>
      <c r="D34" s="591"/>
      <c r="E34" s="27" t="s">
        <v>198</v>
      </c>
      <c r="G34" s="591"/>
      <c r="H34" s="591"/>
      <c r="I34" s="591"/>
      <c r="J34" s="591"/>
      <c r="K34" s="591"/>
      <c r="L34" s="591"/>
      <c r="M34" s="591"/>
      <c r="N34" s="3"/>
      <c r="O34" s="3"/>
      <c r="P34" s="3"/>
    </row>
    <row r="35" spans="1:16" s="27" customFormat="1" ht="13.5" customHeight="1">
      <c r="A35" s="591"/>
      <c r="B35" s="591" t="s">
        <v>37</v>
      </c>
      <c r="C35" s="591"/>
      <c r="D35" s="591"/>
      <c r="E35" s="27" t="s">
        <v>199</v>
      </c>
      <c r="G35" s="591"/>
      <c r="H35" s="591"/>
      <c r="I35" s="591"/>
      <c r="J35" s="591"/>
      <c r="K35" s="591"/>
      <c r="L35" s="591"/>
      <c r="M35" s="591"/>
      <c r="N35" s="3"/>
      <c r="O35" s="3"/>
      <c r="P35" s="3"/>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zoomScale="96" zoomScaleNormal="96" zoomScaleSheetLayoutView="87" workbookViewId="0" topLeftCell="A15">
      <selection activeCell="M33" sqref="M33"/>
    </sheetView>
  </sheetViews>
  <sheetFormatPr defaultColWidth="9.140625" defaultRowHeight="15"/>
  <cols>
    <col min="1" max="1" width="3.140625" style="591" customWidth="1"/>
    <col min="2" max="3" width="2.57421875" style="591" customWidth="1"/>
    <col min="4" max="4" width="4.421875" style="591" customWidth="1"/>
    <col min="5" max="5" width="16.00390625" style="7" customWidth="1"/>
    <col min="6" max="6" width="15.140625" style="27" customWidth="1"/>
    <col min="7" max="7" width="9.7109375" style="591" bestFit="1" customWidth="1"/>
    <col min="8" max="8" width="5.00390625" style="591" bestFit="1" customWidth="1"/>
    <col min="9" max="9" width="11.421875" style="591" customWidth="1"/>
    <col min="10" max="10" width="10.57421875" style="648" customWidth="1"/>
    <col min="11" max="11" width="12.8515625" style="591" customWidth="1"/>
    <col min="12" max="12" width="13.57421875" style="591" customWidth="1"/>
    <col min="13" max="13" width="13.00390625" style="591" customWidth="1"/>
    <col min="14" max="14" width="3.421875" style="3" customWidth="1"/>
    <col min="15" max="15" width="4.140625" style="3" customWidth="1"/>
    <col min="16" max="16384" width="9.00390625" style="591" customWidth="1"/>
  </cols>
  <sheetData>
    <row r="1" spans="1:6" ht="13.5" customHeight="1">
      <c r="A1" s="1269" t="s">
        <v>29</v>
      </c>
      <c r="B1" s="1269"/>
      <c r="C1" s="1269"/>
      <c r="D1" s="1269"/>
      <c r="E1" s="1269"/>
      <c r="F1" s="3"/>
    </row>
    <row r="2" spans="1:14" ht="13.5" customHeight="1">
      <c r="A2" s="4"/>
      <c r="B2" s="4"/>
      <c r="C2" s="4"/>
      <c r="D2" s="4"/>
      <c r="E2" s="5"/>
      <c r="F2" s="3"/>
      <c r="N2" s="4"/>
    </row>
    <row r="3" spans="1:14" ht="13.5" customHeight="1">
      <c r="A3" s="4"/>
      <c r="B3" s="4" t="s">
        <v>30</v>
      </c>
      <c r="C3" s="1182" t="s">
        <v>34</v>
      </c>
      <c r="D3" s="4"/>
      <c r="E3" s="5"/>
      <c r="F3" s="1190" t="s">
        <v>28</v>
      </c>
      <c r="N3" s="4"/>
    </row>
    <row r="4" spans="1:14" ht="13.5" customHeight="1">
      <c r="A4" s="4"/>
      <c r="B4" s="4"/>
      <c r="C4" s="4"/>
      <c r="D4" s="4"/>
      <c r="E4" s="5"/>
      <c r="F4" s="1190" t="s">
        <v>62</v>
      </c>
      <c r="N4" s="4"/>
    </row>
    <row r="5" spans="1:15" ht="13.5" customHeight="1">
      <c r="A5" s="4"/>
      <c r="B5" s="4"/>
      <c r="C5" s="4"/>
      <c r="D5" s="4"/>
      <c r="E5" s="5"/>
      <c r="F5" s="3"/>
      <c r="M5" s="591" t="s">
        <v>38</v>
      </c>
      <c r="N5" s="4"/>
      <c r="O5" s="555"/>
    </row>
    <row r="6" spans="1:14" ht="13.5" customHeight="1">
      <c r="A6" s="6"/>
      <c r="F6" s="3"/>
      <c r="K6" s="8" t="s">
        <v>195</v>
      </c>
      <c r="L6" s="105" t="str">
        <f>IF('使い方'!$E$6="","",'使い方'!$E$6)</f>
        <v>Ｂ金属株式会社</v>
      </c>
      <c r="N6" s="4"/>
    </row>
    <row r="7" spans="1:14" ht="13.5" customHeight="1" thickBot="1">
      <c r="A7" s="6"/>
      <c r="F7" s="3"/>
      <c r="I7" s="10"/>
      <c r="J7" s="374"/>
      <c r="N7" s="4"/>
    </row>
    <row r="8" spans="1:15" ht="27" customHeight="1">
      <c r="A8" s="1270" t="s">
        <v>13</v>
      </c>
      <c r="B8" s="1272" t="s">
        <v>14</v>
      </c>
      <c r="C8" s="1272"/>
      <c r="D8" s="1273"/>
      <c r="E8" s="11" t="s">
        <v>15</v>
      </c>
      <c r="F8" s="12" t="s">
        <v>16</v>
      </c>
      <c r="G8" s="12" t="s">
        <v>17</v>
      </c>
      <c r="H8" s="12" t="s">
        <v>18</v>
      </c>
      <c r="I8" s="12" t="s">
        <v>7</v>
      </c>
      <c r="J8" s="375" t="s">
        <v>7</v>
      </c>
      <c r="K8" s="1274" t="s">
        <v>19</v>
      </c>
      <c r="L8" s="1273"/>
      <c r="M8" s="1183" t="s">
        <v>20</v>
      </c>
      <c r="N8" s="1275" t="s">
        <v>13</v>
      </c>
      <c r="O8" s="1277" t="s">
        <v>227</v>
      </c>
    </row>
    <row r="9" spans="1:15" ht="42" customHeight="1" thickBot="1">
      <c r="A9" s="1271"/>
      <c r="B9" s="13" t="s">
        <v>21</v>
      </c>
      <c r="C9" s="13" t="s">
        <v>22</v>
      </c>
      <c r="D9" s="14" t="s">
        <v>23</v>
      </c>
      <c r="E9" s="15"/>
      <c r="F9" s="16"/>
      <c r="G9" s="17"/>
      <c r="H9" s="17"/>
      <c r="I9" s="17" t="s">
        <v>24</v>
      </c>
      <c r="J9" s="378" t="s">
        <v>44</v>
      </c>
      <c r="K9" s="17" t="s">
        <v>25</v>
      </c>
      <c r="L9" s="18" t="s">
        <v>42</v>
      </c>
      <c r="M9" s="18" t="s">
        <v>26</v>
      </c>
      <c r="N9" s="1276"/>
      <c r="O9" s="1278"/>
    </row>
    <row r="10" spans="1:15" ht="30.75" customHeight="1">
      <c r="A10" s="352">
        <v>1</v>
      </c>
      <c r="B10" s="1263"/>
      <c r="C10" s="1264"/>
      <c r="D10" s="1264"/>
      <c r="E10" s="580"/>
      <c r="F10" s="20"/>
      <c r="G10" s="366"/>
      <c r="H10" s="367" t="s">
        <v>312</v>
      </c>
      <c r="I10" s="335">
        <f>IF(G10="","",ROUNDDOWN(J10*(1+O10/100),0))</f>
      </c>
      <c r="J10" s="377"/>
      <c r="K10" s="335">
        <f>IF(I10="","",ROUNDDOWN(L10*(1+O10/100),0))</f>
      </c>
      <c r="L10" s="335">
        <f aca="true" t="shared" si="0" ref="L10:L29">IF(J10="","",ROUNDDOWN(J10*G10,0))</f>
      </c>
      <c r="M10" s="343">
        <f aca="true" t="shared" si="1" ref="M10:M29">L10</f>
      </c>
      <c r="N10" s="361">
        <v>1</v>
      </c>
      <c r="O10" s="938">
        <v>8</v>
      </c>
    </row>
    <row r="11" spans="1:15" ht="30.75" customHeight="1">
      <c r="A11" s="357">
        <v>2</v>
      </c>
      <c r="B11" s="1263"/>
      <c r="C11" s="1264"/>
      <c r="D11" s="1264"/>
      <c r="E11" s="337"/>
      <c r="F11" s="20"/>
      <c r="G11" s="366"/>
      <c r="H11" s="367"/>
      <c r="I11" s="335">
        <f aca="true" t="shared" si="2" ref="I11:I29">IF(G11="","",ROUNDDOWN(J11*(1+O11/100),0))</f>
      </c>
      <c r="J11" s="377"/>
      <c r="K11" s="335">
        <f aca="true" t="shared" si="3" ref="K11:K29">IF(I11="","",ROUNDDOWN(L11*(1+O11/100),0))</f>
      </c>
      <c r="L11" s="335">
        <f t="shared" si="0"/>
      </c>
      <c r="M11" s="343">
        <f t="shared" si="1"/>
      </c>
      <c r="N11" s="362">
        <v>2</v>
      </c>
      <c r="O11" s="938">
        <v>8</v>
      </c>
    </row>
    <row r="12" spans="1:15" ht="30.75" customHeight="1">
      <c r="A12" s="352">
        <v>3</v>
      </c>
      <c r="B12" s="1263"/>
      <c r="C12" s="1264"/>
      <c r="D12" s="1264"/>
      <c r="E12" s="337"/>
      <c r="F12" s="25"/>
      <c r="G12" s="366"/>
      <c r="H12" s="367"/>
      <c r="I12" s="335">
        <f t="shared" si="2"/>
      </c>
      <c r="J12" s="377"/>
      <c r="K12" s="335">
        <f t="shared" si="3"/>
      </c>
      <c r="L12" s="335">
        <f t="shared" si="0"/>
      </c>
      <c r="M12" s="343">
        <f t="shared" si="1"/>
      </c>
      <c r="N12" s="361">
        <v>3</v>
      </c>
      <c r="O12" s="938">
        <v>8</v>
      </c>
    </row>
    <row r="13" spans="1:15" s="1180" customFormat="1" ht="30.75" customHeight="1">
      <c r="A13" s="357">
        <v>4</v>
      </c>
      <c r="B13" s="1263"/>
      <c r="C13" s="1264"/>
      <c r="D13" s="1264"/>
      <c r="E13" s="337"/>
      <c r="F13" s="25"/>
      <c r="G13" s="366"/>
      <c r="H13" s="367"/>
      <c r="I13" s="335">
        <f t="shared" si="2"/>
      </c>
      <c r="J13" s="377"/>
      <c r="K13" s="335">
        <f t="shared" si="3"/>
      </c>
      <c r="L13" s="335">
        <f t="shared" si="0"/>
      </c>
      <c r="M13" s="343">
        <f t="shared" si="1"/>
      </c>
      <c r="N13" s="372">
        <v>4</v>
      </c>
      <c r="O13" s="938">
        <v>8</v>
      </c>
    </row>
    <row r="14" spans="1:15" s="1180" customFormat="1" ht="30.75" customHeight="1">
      <c r="A14" s="352">
        <v>5</v>
      </c>
      <c r="B14" s="1263"/>
      <c r="C14" s="1264"/>
      <c r="D14" s="1264"/>
      <c r="E14" s="25"/>
      <c r="F14" s="25"/>
      <c r="G14" s="366"/>
      <c r="H14" s="367"/>
      <c r="I14" s="335">
        <f t="shared" si="2"/>
      </c>
      <c r="J14" s="377"/>
      <c r="K14" s="335">
        <f t="shared" si="3"/>
      </c>
      <c r="L14" s="335">
        <f t="shared" si="0"/>
      </c>
      <c r="M14" s="343">
        <f t="shared" si="1"/>
      </c>
      <c r="N14" s="373">
        <v>5</v>
      </c>
      <c r="O14" s="938">
        <v>8</v>
      </c>
    </row>
    <row r="15" spans="1:15" ht="30.75" customHeight="1">
      <c r="A15" s="357">
        <v>6</v>
      </c>
      <c r="B15" s="1263"/>
      <c r="C15" s="1264"/>
      <c r="D15" s="1264"/>
      <c r="E15" s="25"/>
      <c r="F15" s="25"/>
      <c r="G15" s="366"/>
      <c r="H15" s="367"/>
      <c r="I15" s="335">
        <f t="shared" si="2"/>
      </c>
      <c r="J15" s="377"/>
      <c r="K15" s="335">
        <f t="shared" si="3"/>
      </c>
      <c r="L15" s="335">
        <f t="shared" si="0"/>
      </c>
      <c r="M15" s="343">
        <f t="shared" si="1"/>
      </c>
      <c r="N15" s="362">
        <v>6</v>
      </c>
      <c r="O15" s="938">
        <v>8</v>
      </c>
    </row>
    <row r="16" spans="1:15" ht="30.75" customHeight="1">
      <c r="A16" s="352">
        <v>7</v>
      </c>
      <c r="B16" s="1263"/>
      <c r="C16" s="1264"/>
      <c r="D16" s="1264"/>
      <c r="E16" s="25"/>
      <c r="F16" s="28"/>
      <c r="G16" s="366"/>
      <c r="H16" s="367"/>
      <c r="I16" s="335">
        <f t="shared" si="2"/>
      </c>
      <c r="J16" s="377"/>
      <c r="K16" s="335">
        <f t="shared" si="3"/>
      </c>
      <c r="L16" s="335">
        <f t="shared" si="0"/>
      </c>
      <c r="M16" s="343">
        <f t="shared" si="1"/>
      </c>
      <c r="N16" s="361">
        <v>7</v>
      </c>
      <c r="O16" s="938">
        <v>8</v>
      </c>
    </row>
    <row r="17" spans="1:15" ht="30.75" customHeight="1">
      <c r="A17" s="357">
        <v>8</v>
      </c>
      <c r="B17" s="1263"/>
      <c r="C17" s="1264"/>
      <c r="D17" s="1264"/>
      <c r="E17" s="337"/>
      <c r="F17" s="337"/>
      <c r="G17" s="366"/>
      <c r="H17" s="367"/>
      <c r="I17" s="335">
        <f t="shared" si="2"/>
      </c>
      <c r="J17" s="377"/>
      <c r="K17" s="335">
        <f t="shared" si="3"/>
      </c>
      <c r="L17" s="335">
        <f t="shared" si="0"/>
      </c>
      <c r="M17" s="343">
        <f t="shared" si="1"/>
      </c>
      <c r="N17" s="362">
        <v>8</v>
      </c>
      <c r="O17" s="938">
        <v>8</v>
      </c>
    </row>
    <row r="18" spans="1:15" ht="30.75" customHeight="1">
      <c r="A18" s="352">
        <v>9</v>
      </c>
      <c r="B18" s="1263"/>
      <c r="C18" s="1264"/>
      <c r="D18" s="1264"/>
      <c r="E18" s="25"/>
      <c r="F18" s="25"/>
      <c r="G18" s="366"/>
      <c r="H18" s="367"/>
      <c r="I18" s="335">
        <f t="shared" si="2"/>
      </c>
      <c r="J18" s="377"/>
      <c r="K18" s="335">
        <f t="shared" si="3"/>
      </c>
      <c r="L18" s="335">
        <f t="shared" si="0"/>
      </c>
      <c r="M18" s="343">
        <f t="shared" si="1"/>
      </c>
      <c r="N18" s="361">
        <v>9</v>
      </c>
      <c r="O18" s="938">
        <v>8</v>
      </c>
    </row>
    <row r="19" spans="1:15" ht="30.75" customHeight="1">
      <c r="A19" s="357">
        <v>10</v>
      </c>
      <c r="B19" s="1263"/>
      <c r="C19" s="1264"/>
      <c r="D19" s="1264"/>
      <c r="E19" s="25"/>
      <c r="F19" s="25"/>
      <c r="G19" s="366"/>
      <c r="H19" s="367"/>
      <c r="I19" s="335">
        <f t="shared" si="2"/>
      </c>
      <c r="J19" s="377"/>
      <c r="K19" s="335">
        <f t="shared" si="3"/>
      </c>
      <c r="L19" s="335">
        <f t="shared" si="0"/>
      </c>
      <c r="M19" s="343">
        <f t="shared" si="1"/>
      </c>
      <c r="N19" s="362">
        <v>10</v>
      </c>
      <c r="O19" s="938">
        <v>8</v>
      </c>
    </row>
    <row r="20" spans="1:16" ht="30.75" customHeight="1">
      <c r="A20" s="352">
        <v>11</v>
      </c>
      <c r="B20" s="1263"/>
      <c r="C20" s="1264"/>
      <c r="D20" s="1264"/>
      <c r="E20" s="25"/>
      <c r="F20" s="25"/>
      <c r="G20" s="366"/>
      <c r="H20" s="367"/>
      <c r="I20" s="335">
        <f t="shared" si="2"/>
      </c>
      <c r="J20" s="377"/>
      <c r="K20" s="335">
        <f t="shared" si="3"/>
      </c>
      <c r="L20" s="335">
        <f t="shared" si="0"/>
      </c>
      <c r="M20" s="343">
        <f t="shared" si="1"/>
      </c>
      <c r="N20" s="361">
        <v>11</v>
      </c>
      <c r="O20" s="938">
        <v>8</v>
      </c>
      <c r="P20" s="2"/>
    </row>
    <row r="21" spans="1:15" ht="30.75" customHeight="1">
      <c r="A21" s="357">
        <v>12</v>
      </c>
      <c r="B21" s="1263"/>
      <c r="C21" s="1264"/>
      <c r="D21" s="1264"/>
      <c r="E21" s="25"/>
      <c r="F21" s="25"/>
      <c r="G21" s="366"/>
      <c r="H21" s="367"/>
      <c r="I21" s="335">
        <f t="shared" si="2"/>
      </c>
      <c r="J21" s="377"/>
      <c r="K21" s="335">
        <f t="shared" si="3"/>
      </c>
      <c r="L21" s="335">
        <f t="shared" si="0"/>
      </c>
      <c r="M21" s="343">
        <f t="shared" si="1"/>
      </c>
      <c r="N21" s="362">
        <v>12</v>
      </c>
      <c r="O21" s="938">
        <v>8</v>
      </c>
    </row>
    <row r="22" spans="1:15" ht="30.75" customHeight="1">
      <c r="A22" s="352">
        <v>13</v>
      </c>
      <c r="B22" s="1263"/>
      <c r="C22" s="1264"/>
      <c r="D22" s="1264"/>
      <c r="E22" s="25"/>
      <c r="F22" s="25"/>
      <c r="G22" s="366"/>
      <c r="H22" s="367"/>
      <c r="I22" s="335">
        <f t="shared" si="2"/>
      </c>
      <c r="J22" s="377"/>
      <c r="K22" s="335">
        <f t="shared" si="3"/>
      </c>
      <c r="L22" s="335">
        <f t="shared" si="0"/>
      </c>
      <c r="M22" s="343">
        <f t="shared" si="1"/>
      </c>
      <c r="N22" s="361">
        <v>13</v>
      </c>
      <c r="O22" s="938">
        <v>8</v>
      </c>
    </row>
    <row r="23" spans="1:15" ht="30.75" customHeight="1">
      <c r="A23" s="357">
        <v>14</v>
      </c>
      <c r="B23" s="1263"/>
      <c r="C23" s="1264"/>
      <c r="D23" s="1264"/>
      <c r="E23" s="579"/>
      <c r="F23" s="25"/>
      <c r="G23" s="366"/>
      <c r="H23" s="367"/>
      <c r="I23" s="335">
        <f t="shared" si="2"/>
      </c>
      <c r="J23" s="377"/>
      <c r="K23" s="335">
        <f t="shared" si="3"/>
      </c>
      <c r="L23" s="335">
        <f t="shared" si="0"/>
      </c>
      <c r="M23" s="343">
        <f t="shared" si="1"/>
      </c>
      <c r="N23" s="362">
        <v>14</v>
      </c>
      <c r="O23" s="938">
        <v>8</v>
      </c>
    </row>
    <row r="24" spans="1:15" ht="30.75" customHeight="1">
      <c r="A24" s="352">
        <v>15</v>
      </c>
      <c r="B24" s="1263"/>
      <c r="C24" s="1264"/>
      <c r="D24" s="1264"/>
      <c r="E24" s="579"/>
      <c r="F24" s="25"/>
      <c r="G24" s="366"/>
      <c r="H24" s="367"/>
      <c r="I24" s="335">
        <f t="shared" si="2"/>
      </c>
      <c r="J24" s="377"/>
      <c r="K24" s="335">
        <f t="shared" si="3"/>
      </c>
      <c r="L24" s="335">
        <f t="shared" si="0"/>
      </c>
      <c r="M24" s="343">
        <f t="shared" si="1"/>
      </c>
      <c r="N24" s="361">
        <v>15</v>
      </c>
      <c r="O24" s="938">
        <v>8</v>
      </c>
    </row>
    <row r="25" spans="1:15" ht="30.75" customHeight="1">
      <c r="A25" s="357">
        <v>16</v>
      </c>
      <c r="B25" s="1263"/>
      <c r="C25" s="1264"/>
      <c r="D25" s="1264"/>
      <c r="E25" s="25"/>
      <c r="F25" s="25"/>
      <c r="G25" s="366"/>
      <c r="H25" s="367"/>
      <c r="I25" s="335">
        <f t="shared" si="2"/>
      </c>
      <c r="J25" s="377"/>
      <c r="K25" s="335">
        <f t="shared" si="3"/>
      </c>
      <c r="L25" s="335">
        <f t="shared" si="0"/>
      </c>
      <c r="M25" s="343">
        <f t="shared" si="1"/>
      </c>
      <c r="N25" s="362">
        <v>16</v>
      </c>
      <c r="O25" s="938">
        <v>8</v>
      </c>
    </row>
    <row r="26" spans="1:15" ht="30.75" customHeight="1">
      <c r="A26" s="352">
        <v>17</v>
      </c>
      <c r="B26" s="1263"/>
      <c r="C26" s="1264"/>
      <c r="D26" s="1264"/>
      <c r="E26" s="25"/>
      <c r="F26" s="25"/>
      <c r="G26" s="366"/>
      <c r="H26" s="367"/>
      <c r="I26" s="335">
        <f t="shared" si="2"/>
      </c>
      <c r="J26" s="377"/>
      <c r="K26" s="335">
        <f t="shared" si="3"/>
      </c>
      <c r="L26" s="335">
        <f t="shared" si="0"/>
      </c>
      <c r="M26" s="343">
        <f t="shared" si="1"/>
      </c>
      <c r="N26" s="361">
        <v>17</v>
      </c>
      <c r="O26" s="938">
        <v>8</v>
      </c>
    </row>
    <row r="27" spans="1:15" ht="30.75" customHeight="1">
      <c r="A27" s="357">
        <v>18</v>
      </c>
      <c r="B27" s="1263"/>
      <c r="C27" s="1264"/>
      <c r="D27" s="1264"/>
      <c r="E27" s="25"/>
      <c r="F27" s="25"/>
      <c r="G27" s="366"/>
      <c r="H27" s="367"/>
      <c r="I27" s="335">
        <f t="shared" si="2"/>
      </c>
      <c r="J27" s="377"/>
      <c r="K27" s="335">
        <f t="shared" si="3"/>
      </c>
      <c r="L27" s="335">
        <f t="shared" si="0"/>
      </c>
      <c r="M27" s="343">
        <f t="shared" si="1"/>
      </c>
      <c r="N27" s="362">
        <v>18</v>
      </c>
      <c r="O27" s="938">
        <v>8</v>
      </c>
    </row>
    <row r="28" spans="1:15" ht="30.75" customHeight="1">
      <c r="A28" s="352">
        <v>19</v>
      </c>
      <c r="B28" s="1263"/>
      <c r="C28" s="1264"/>
      <c r="D28" s="1264"/>
      <c r="E28" s="579"/>
      <c r="F28" s="25"/>
      <c r="G28" s="366"/>
      <c r="H28" s="367"/>
      <c r="I28" s="335">
        <f t="shared" si="2"/>
      </c>
      <c r="J28" s="377"/>
      <c r="K28" s="335">
        <f t="shared" si="3"/>
      </c>
      <c r="L28" s="335">
        <f t="shared" si="0"/>
      </c>
      <c r="M28" s="343">
        <f t="shared" si="1"/>
      </c>
      <c r="N28" s="361">
        <v>19</v>
      </c>
      <c r="O28" s="938">
        <v>8</v>
      </c>
    </row>
    <row r="29" spans="1:15" ht="30.75" customHeight="1" thickBot="1">
      <c r="A29" s="959">
        <v>20</v>
      </c>
      <c r="B29" s="1265"/>
      <c r="C29" s="1266"/>
      <c r="D29" s="1266"/>
      <c r="E29" s="581"/>
      <c r="F29" s="581"/>
      <c r="G29" s="951"/>
      <c r="H29" s="952"/>
      <c r="I29" s="942">
        <f t="shared" si="2"/>
      </c>
      <c r="J29" s="953"/>
      <c r="K29" s="942">
        <f t="shared" si="3"/>
      </c>
      <c r="L29" s="942">
        <f t="shared" si="0"/>
      </c>
      <c r="M29" s="943">
        <f t="shared" si="1"/>
      </c>
      <c r="N29" s="944">
        <v>20</v>
      </c>
      <c r="O29" s="945">
        <v>8</v>
      </c>
    </row>
    <row r="30" spans="1:14" ht="21" customHeight="1" thickBot="1">
      <c r="A30" s="1267" t="s">
        <v>27</v>
      </c>
      <c r="B30" s="1268"/>
      <c r="C30" s="1268"/>
      <c r="D30" s="1268"/>
      <c r="E30" s="1268"/>
      <c r="F30" s="1268"/>
      <c r="G30" s="1268"/>
      <c r="H30" s="1268"/>
      <c r="I30" s="1268"/>
      <c r="J30" s="376"/>
      <c r="K30" s="1038">
        <f>SUM(K10:K29)</f>
        <v>0</v>
      </c>
      <c r="L30" s="1037">
        <f>SUM(L10:L29)</f>
        <v>0</v>
      </c>
      <c r="M30" s="1036">
        <f>SUM(M10:M29)</f>
        <v>0</v>
      </c>
      <c r="N30" s="363"/>
    </row>
    <row r="31" spans="1:14" ht="13.5" customHeight="1">
      <c r="A31" s="6"/>
      <c r="N31" s="4"/>
    </row>
    <row r="32" spans="2:14" ht="13.5" customHeight="1">
      <c r="B32" s="591" t="s">
        <v>35</v>
      </c>
      <c r="D32" s="6"/>
      <c r="E32" s="27" t="s">
        <v>196</v>
      </c>
      <c r="N32" s="4"/>
    </row>
    <row r="33" spans="1:15" s="27" customFormat="1" ht="13.5" customHeight="1">
      <c r="A33" s="591"/>
      <c r="B33" s="591"/>
      <c r="C33" s="591"/>
      <c r="D33" s="591"/>
      <c r="E33" s="27" t="s">
        <v>197</v>
      </c>
      <c r="G33" s="591"/>
      <c r="H33" s="591"/>
      <c r="I33" s="591"/>
      <c r="J33" s="648"/>
      <c r="K33" s="591"/>
      <c r="L33" s="591"/>
      <c r="M33" s="591"/>
      <c r="N33" s="39"/>
      <c r="O33" s="3"/>
    </row>
    <row r="34" spans="1:15" s="27" customFormat="1" ht="13.5" customHeight="1">
      <c r="A34" s="591"/>
      <c r="B34" s="591" t="s">
        <v>36</v>
      </c>
      <c r="C34" s="591"/>
      <c r="D34" s="591"/>
      <c r="E34" s="27" t="s">
        <v>198</v>
      </c>
      <c r="G34" s="591"/>
      <c r="H34" s="591"/>
      <c r="I34" s="591"/>
      <c r="J34" s="648"/>
      <c r="K34" s="591"/>
      <c r="L34" s="591"/>
      <c r="M34" s="591"/>
      <c r="N34" s="3"/>
      <c r="O34" s="3"/>
    </row>
    <row r="35" spans="1:15" s="27" customFormat="1" ht="13.5" customHeight="1">
      <c r="A35" s="591"/>
      <c r="B35" s="591" t="s">
        <v>37</v>
      </c>
      <c r="C35" s="591"/>
      <c r="D35" s="591"/>
      <c r="E35" s="27" t="s">
        <v>199</v>
      </c>
      <c r="G35" s="591"/>
      <c r="H35" s="591"/>
      <c r="I35" s="591"/>
      <c r="J35" s="648"/>
      <c r="K35" s="591"/>
      <c r="L35" s="591"/>
      <c r="M35" s="591"/>
      <c r="N35" s="3"/>
      <c r="O35" s="3"/>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zoomScale="86" zoomScaleNormal="86" zoomScaleSheetLayoutView="100" workbookViewId="0" topLeftCell="A19">
      <selection activeCell="N30" sqref="N30"/>
    </sheetView>
  </sheetViews>
  <sheetFormatPr defaultColWidth="9.140625" defaultRowHeight="15"/>
  <cols>
    <col min="1" max="1" width="3.140625" style="591" customWidth="1"/>
    <col min="2" max="2" width="2.57421875" style="591" customWidth="1"/>
    <col min="3" max="3" width="2.8515625" style="591" customWidth="1"/>
    <col min="4" max="4" width="3.28125" style="591" customWidth="1"/>
    <col min="5" max="5" width="14.57421875" style="27" customWidth="1"/>
    <col min="6" max="6" width="16.140625" style="27" customWidth="1"/>
    <col min="7" max="7" width="7.57421875" style="591" customWidth="1"/>
    <col min="8" max="8" width="4.421875" style="591" bestFit="1" customWidth="1"/>
    <col min="9" max="9" width="11.00390625" style="591" customWidth="1"/>
    <col min="10" max="10" width="11.140625" style="591" customWidth="1"/>
    <col min="11" max="11" width="11.8515625" style="591" customWidth="1"/>
    <col min="12" max="12" width="12.00390625" style="591" customWidth="1"/>
    <col min="13" max="13" width="12.28125" style="591" bestFit="1" customWidth="1"/>
    <col min="14" max="14" width="4.140625" style="3" customWidth="1"/>
    <col min="15" max="15" width="4.57421875" style="3" customWidth="1"/>
    <col min="16" max="16384" width="9.00390625" style="591" customWidth="1"/>
  </cols>
  <sheetData>
    <row r="1" spans="1:6" ht="13.5" customHeight="1">
      <c r="A1" s="1269" t="s">
        <v>29</v>
      </c>
      <c r="B1" s="1269"/>
      <c r="C1" s="1269"/>
      <c r="D1" s="1269"/>
      <c r="E1" s="1269"/>
      <c r="F1" s="3"/>
    </row>
    <row r="2" spans="1:14" ht="13.5" customHeight="1">
      <c r="A2" s="4"/>
      <c r="B2" s="4"/>
      <c r="C2" s="4"/>
      <c r="D2" s="4"/>
      <c r="E2" s="1182"/>
      <c r="F2" s="3"/>
      <c r="N2" s="4"/>
    </row>
    <row r="3" spans="1:14" ht="13.5" customHeight="1">
      <c r="A3" s="4"/>
      <c r="B3" s="4" t="s">
        <v>30</v>
      </c>
      <c r="C3" s="1182" t="s">
        <v>34</v>
      </c>
      <c r="D3" s="4"/>
      <c r="E3" s="1182"/>
      <c r="F3" s="1190" t="s">
        <v>28</v>
      </c>
      <c r="N3" s="4"/>
    </row>
    <row r="4" spans="1:14" ht="13.5" customHeight="1">
      <c r="A4" s="4"/>
      <c r="B4" s="4"/>
      <c r="C4" s="4"/>
      <c r="D4" s="4"/>
      <c r="E4" s="1182"/>
      <c r="F4" s="1190" t="s">
        <v>59</v>
      </c>
      <c r="N4" s="1182"/>
    </row>
    <row r="5" spans="1:15" ht="13.5" customHeight="1">
      <c r="A5" s="4"/>
      <c r="B5" s="4"/>
      <c r="C5" s="4"/>
      <c r="D5" s="4"/>
      <c r="E5" s="1182"/>
      <c r="F5" s="3"/>
      <c r="M5" s="591" t="s">
        <v>38</v>
      </c>
      <c r="N5" s="4"/>
      <c r="O5" s="555"/>
    </row>
    <row r="6" spans="1:14" ht="13.5" customHeight="1">
      <c r="A6" s="6"/>
      <c r="F6" s="3"/>
      <c r="I6" s="8"/>
      <c r="J6" s="9"/>
      <c r="K6" s="8" t="s">
        <v>195</v>
      </c>
      <c r="L6" s="105" t="str">
        <f>IF('使い方'!$E$6="","",'使い方'!$E$6)</f>
        <v>Ｂ金属株式会社</v>
      </c>
      <c r="M6" s="626"/>
      <c r="N6" s="4"/>
    </row>
    <row r="7" spans="1:14" ht="13.5" customHeight="1" thickBot="1">
      <c r="A7" s="6"/>
      <c r="F7" s="3"/>
      <c r="I7" s="10"/>
      <c r="J7" s="10"/>
      <c r="N7" s="4"/>
    </row>
    <row r="8" spans="1:15" ht="27" customHeight="1">
      <c r="A8" s="1270" t="s">
        <v>13</v>
      </c>
      <c r="B8" s="1272" t="s">
        <v>14</v>
      </c>
      <c r="C8" s="1272"/>
      <c r="D8" s="1273"/>
      <c r="E8" s="12" t="s">
        <v>15</v>
      </c>
      <c r="F8" s="12" t="s">
        <v>16</v>
      </c>
      <c r="G8" s="12" t="s">
        <v>17</v>
      </c>
      <c r="H8" s="12" t="s">
        <v>18</v>
      </c>
      <c r="I8" s="12" t="s">
        <v>7</v>
      </c>
      <c r="J8" s="12" t="s">
        <v>7</v>
      </c>
      <c r="K8" s="1274" t="s">
        <v>19</v>
      </c>
      <c r="L8" s="1273"/>
      <c r="M8" s="1183" t="s">
        <v>20</v>
      </c>
      <c r="N8" s="1275" t="s">
        <v>13</v>
      </c>
      <c r="O8" s="1277" t="s">
        <v>227</v>
      </c>
    </row>
    <row r="9" spans="1:15" ht="42" customHeight="1" thickBot="1">
      <c r="A9" s="1271"/>
      <c r="B9" s="13" t="s">
        <v>21</v>
      </c>
      <c r="C9" s="13" t="s">
        <v>22</v>
      </c>
      <c r="D9" s="14" t="s">
        <v>23</v>
      </c>
      <c r="E9" s="102"/>
      <c r="F9" s="16"/>
      <c r="G9" s="17"/>
      <c r="H9" s="17"/>
      <c r="I9" s="17" t="s">
        <v>24</v>
      </c>
      <c r="J9" s="17" t="s">
        <v>44</v>
      </c>
      <c r="K9" s="17" t="s">
        <v>25</v>
      </c>
      <c r="L9" s="18" t="s">
        <v>42</v>
      </c>
      <c r="M9" s="18" t="s">
        <v>26</v>
      </c>
      <c r="N9" s="1276"/>
      <c r="O9" s="1278"/>
    </row>
    <row r="10" spans="1:15" ht="30.75" customHeight="1">
      <c r="A10" s="19">
        <v>1</v>
      </c>
      <c r="B10" s="1281"/>
      <c r="C10" s="1282"/>
      <c r="D10" s="1282"/>
      <c r="E10" s="954"/>
      <c r="F10" s="20"/>
      <c r="G10" s="366"/>
      <c r="H10" s="367" t="s">
        <v>312</v>
      </c>
      <c r="I10" s="335">
        <f>IF(G10="","",ROUNDDOWN(J10*(1+O10/100),0))</f>
      </c>
      <c r="J10" s="377"/>
      <c r="K10" s="335">
        <f>IF(I10="","",ROUNDDOWN(L10*(1+O10/100),0))</f>
      </c>
      <c r="L10" s="335">
        <f aca="true" t="shared" si="0" ref="L10:L29">IF(J10="","",ROUNDDOWN(J10*G10,0))</f>
      </c>
      <c r="M10" s="1040">
        <f aca="true" t="shared" si="1" ref="M10:M29">L10</f>
      </c>
      <c r="N10" s="1044">
        <v>1</v>
      </c>
      <c r="O10" s="1042">
        <v>8</v>
      </c>
    </row>
    <row r="11" spans="1:15" ht="30.75" customHeight="1">
      <c r="A11" s="21">
        <v>2</v>
      </c>
      <c r="B11" s="1263"/>
      <c r="C11" s="1264"/>
      <c r="D11" s="1264"/>
      <c r="E11" s="955"/>
      <c r="F11" s="25"/>
      <c r="G11" s="366"/>
      <c r="H11" s="367"/>
      <c r="I11" s="335">
        <f aca="true" t="shared" si="2" ref="I11:I29">IF(G11="","",ROUNDDOWN(J11*(1+O11/100),0))</f>
      </c>
      <c r="J11" s="377"/>
      <c r="K11" s="335">
        <f aca="true" t="shared" si="3" ref="K11:K29">IF(I11="","",ROUNDDOWN(L11*(1+O11/100),0))</f>
      </c>
      <c r="L11" s="335">
        <f t="shared" si="0"/>
      </c>
      <c r="M11" s="1040">
        <f t="shared" si="1"/>
      </c>
      <c r="N11" s="1045">
        <v>2</v>
      </c>
      <c r="O11" s="1042">
        <v>8</v>
      </c>
    </row>
    <row r="12" spans="1:15" ht="30.75" customHeight="1">
      <c r="A12" s="21">
        <v>3</v>
      </c>
      <c r="B12" s="1263"/>
      <c r="C12" s="1264"/>
      <c r="D12" s="1264"/>
      <c r="E12" s="955"/>
      <c r="F12" s="25"/>
      <c r="G12" s="366"/>
      <c r="H12" s="367"/>
      <c r="I12" s="335">
        <f t="shared" si="2"/>
      </c>
      <c r="J12" s="377"/>
      <c r="K12" s="335">
        <f t="shared" si="3"/>
      </c>
      <c r="L12" s="335">
        <f t="shared" si="0"/>
      </c>
      <c r="M12" s="1040">
        <f t="shared" si="1"/>
      </c>
      <c r="N12" s="1044">
        <v>3</v>
      </c>
      <c r="O12" s="1042">
        <v>8</v>
      </c>
    </row>
    <row r="13" spans="1:15" ht="30.75" customHeight="1">
      <c r="A13" s="21">
        <v>4</v>
      </c>
      <c r="B13" s="1263"/>
      <c r="C13" s="1264"/>
      <c r="D13" s="1264"/>
      <c r="E13" s="955"/>
      <c r="F13" s="25"/>
      <c r="G13" s="366"/>
      <c r="H13" s="367"/>
      <c r="I13" s="335">
        <f t="shared" si="2"/>
      </c>
      <c r="J13" s="377"/>
      <c r="K13" s="335">
        <f t="shared" si="3"/>
      </c>
      <c r="L13" s="335">
        <f t="shared" si="0"/>
      </c>
      <c r="M13" s="1040">
        <f t="shared" si="1"/>
      </c>
      <c r="N13" s="1045">
        <v>4</v>
      </c>
      <c r="O13" s="1042">
        <v>8</v>
      </c>
    </row>
    <row r="14" spans="1:15" ht="30.75" customHeight="1">
      <c r="A14" s="21">
        <v>5</v>
      </c>
      <c r="B14" s="1263"/>
      <c r="C14" s="1264"/>
      <c r="D14" s="1264"/>
      <c r="E14" s="956"/>
      <c r="F14" s="25"/>
      <c r="G14" s="366"/>
      <c r="H14" s="367"/>
      <c r="I14" s="335">
        <f t="shared" si="2"/>
      </c>
      <c r="J14" s="377"/>
      <c r="K14" s="335">
        <f t="shared" si="3"/>
      </c>
      <c r="L14" s="335">
        <f t="shared" si="0"/>
      </c>
      <c r="M14" s="1040">
        <f t="shared" si="1"/>
      </c>
      <c r="N14" s="1044">
        <v>5</v>
      </c>
      <c r="O14" s="1042">
        <v>8</v>
      </c>
    </row>
    <row r="15" spans="1:15" ht="30.75" customHeight="1">
      <c r="A15" s="21">
        <v>6</v>
      </c>
      <c r="B15" s="1263"/>
      <c r="C15" s="1264"/>
      <c r="D15" s="1264"/>
      <c r="E15" s="956"/>
      <c r="F15" s="25"/>
      <c r="G15" s="366"/>
      <c r="H15" s="367"/>
      <c r="I15" s="335">
        <f t="shared" si="2"/>
      </c>
      <c r="J15" s="377"/>
      <c r="K15" s="335">
        <f t="shared" si="3"/>
      </c>
      <c r="L15" s="335">
        <f t="shared" si="0"/>
      </c>
      <c r="M15" s="1040">
        <f t="shared" si="1"/>
      </c>
      <c r="N15" s="1045">
        <v>6</v>
      </c>
      <c r="O15" s="1042">
        <v>8</v>
      </c>
    </row>
    <row r="16" spans="1:15" ht="30.75" customHeight="1">
      <c r="A16" s="21">
        <v>7</v>
      </c>
      <c r="B16" s="1263"/>
      <c r="C16" s="1264"/>
      <c r="D16" s="1264"/>
      <c r="E16" s="956"/>
      <c r="F16" s="28"/>
      <c r="G16" s="366"/>
      <c r="H16" s="367"/>
      <c r="I16" s="335">
        <f t="shared" si="2"/>
      </c>
      <c r="J16" s="377"/>
      <c r="K16" s="335">
        <f t="shared" si="3"/>
      </c>
      <c r="L16" s="335">
        <f t="shared" si="0"/>
      </c>
      <c r="M16" s="1040">
        <f t="shared" si="1"/>
      </c>
      <c r="N16" s="1044">
        <v>7</v>
      </c>
      <c r="O16" s="1042">
        <v>8</v>
      </c>
    </row>
    <row r="17" spans="1:15" ht="30.75" customHeight="1">
      <c r="A17" s="21">
        <v>8</v>
      </c>
      <c r="B17" s="1263"/>
      <c r="C17" s="1264"/>
      <c r="D17" s="1264"/>
      <c r="E17" s="955"/>
      <c r="F17" s="337"/>
      <c r="G17" s="366"/>
      <c r="H17" s="367"/>
      <c r="I17" s="335">
        <f t="shared" si="2"/>
      </c>
      <c r="J17" s="377"/>
      <c r="K17" s="335">
        <f t="shared" si="3"/>
      </c>
      <c r="L17" s="335">
        <f t="shared" si="0"/>
      </c>
      <c r="M17" s="1040">
        <f t="shared" si="1"/>
      </c>
      <c r="N17" s="1045">
        <v>8</v>
      </c>
      <c r="O17" s="1042">
        <v>8</v>
      </c>
    </row>
    <row r="18" spans="1:15" ht="30.75" customHeight="1">
      <c r="A18" s="21">
        <v>9</v>
      </c>
      <c r="B18" s="1263"/>
      <c r="C18" s="1264"/>
      <c r="D18" s="1264"/>
      <c r="E18" s="956"/>
      <c r="F18" s="25"/>
      <c r="G18" s="366"/>
      <c r="H18" s="367"/>
      <c r="I18" s="335">
        <f t="shared" si="2"/>
      </c>
      <c r="J18" s="377"/>
      <c r="K18" s="335">
        <f t="shared" si="3"/>
      </c>
      <c r="L18" s="335">
        <f t="shared" si="0"/>
      </c>
      <c r="M18" s="1040">
        <f t="shared" si="1"/>
      </c>
      <c r="N18" s="1044">
        <v>9</v>
      </c>
      <c r="O18" s="1042">
        <v>8</v>
      </c>
    </row>
    <row r="19" spans="1:15" ht="30.75" customHeight="1">
      <c r="A19" s="21">
        <v>10</v>
      </c>
      <c r="B19" s="1263"/>
      <c r="C19" s="1264"/>
      <c r="D19" s="1264"/>
      <c r="E19" s="956"/>
      <c r="F19" s="25"/>
      <c r="G19" s="366"/>
      <c r="H19" s="367"/>
      <c r="I19" s="335">
        <f t="shared" si="2"/>
      </c>
      <c r="J19" s="377"/>
      <c r="K19" s="335">
        <f t="shared" si="3"/>
      </c>
      <c r="L19" s="335">
        <f t="shared" si="0"/>
      </c>
      <c r="M19" s="1040">
        <f t="shared" si="1"/>
      </c>
      <c r="N19" s="1045">
        <v>10</v>
      </c>
      <c r="O19" s="1042">
        <v>8</v>
      </c>
    </row>
    <row r="20" spans="1:15" ht="30.75" customHeight="1">
      <c r="A20" s="21">
        <v>11</v>
      </c>
      <c r="B20" s="1263"/>
      <c r="C20" s="1264"/>
      <c r="D20" s="1264"/>
      <c r="E20" s="956"/>
      <c r="F20" s="25"/>
      <c r="G20" s="366"/>
      <c r="H20" s="367"/>
      <c r="I20" s="335">
        <f t="shared" si="2"/>
      </c>
      <c r="J20" s="377"/>
      <c r="K20" s="335">
        <f t="shared" si="3"/>
      </c>
      <c r="L20" s="335">
        <f t="shared" si="0"/>
      </c>
      <c r="M20" s="1040">
        <f t="shared" si="1"/>
      </c>
      <c r="N20" s="1044">
        <v>11</v>
      </c>
      <c r="O20" s="1042">
        <v>8</v>
      </c>
    </row>
    <row r="21" spans="1:15" ht="30.75" customHeight="1">
      <c r="A21" s="21">
        <v>12</v>
      </c>
      <c r="B21" s="1263"/>
      <c r="C21" s="1264"/>
      <c r="D21" s="1264"/>
      <c r="E21" s="956"/>
      <c r="F21" s="25"/>
      <c r="G21" s="366"/>
      <c r="H21" s="367"/>
      <c r="I21" s="335">
        <f t="shared" si="2"/>
      </c>
      <c r="J21" s="377"/>
      <c r="K21" s="335">
        <f t="shared" si="3"/>
      </c>
      <c r="L21" s="335">
        <f t="shared" si="0"/>
      </c>
      <c r="M21" s="1040">
        <f t="shared" si="1"/>
      </c>
      <c r="N21" s="1045">
        <v>12</v>
      </c>
      <c r="O21" s="1042">
        <v>8</v>
      </c>
    </row>
    <row r="22" spans="1:15" ht="30.75" customHeight="1">
      <c r="A22" s="21">
        <v>13</v>
      </c>
      <c r="B22" s="1263"/>
      <c r="C22" s="1264"/>
      <c r="D22" s="1264"/>
      <c r="E22" s="956"/>
      <c r="F22" s="25"/>
      <c r="G22" s="366"/>
      <c r="H22" s="367"/>
      <c r="I22" s="335">
        <f t="shared" si="2"/>
      </c>
      <c r="J22" s="377"/>
      <c r="K22" s="335">
        <f t="shared" si="3"/>
      </c>
      <c r="L22" s="335">
        <f t="shared" si="0"/>
      </c>
      <c r="M22" s="1040">
        <f t="shared" si="1"/>
      </c>
      <c r="N22" s="1044">
        <v>13</v>
      </c>
      <c r="O22" s="1042">
        <v>8</v>
      </c>
    </row>
    <row r="23" spans="1:15" ht="30.75" customHeight="1">
      <c r="A23" s="21">
        <v>14</v>
      </c>
      <c r="B23" s="1263"/>
      <c r="C23" s="1264"/>
      <c r="D23" s="1264"/>
      <c r="E23" s="957"/>
      <c r="F23" s="25"/>
      <c r="G23" s="366"/>
      <c r="H23" s="367"/>
      <c r="I23" s="335">
        <f t="shared" si="2"/>
      </c>
      <c r="J23" s="377"/>
      <c r="K23" s="335">
        <f t="shared" si="3"/>
      </c>
      <c r="L23" s="335">
        <f t="shared" si="0"/>
      </c>
      <c r="M23" s="1040">
        <f t="shared" si="1"/>
      </c>
      <c r="N23" s="1045">
        <v>14</v>
      </c>
      <c r="O23" s="1042">
        <v>8</v>
      </c>
    </row>
    <row r="24" spans="1:15" ht="30.75" customHeight="1">
      <c r="A24" s="21">
        <v>15</v>
      </c>
      <c r="B24" s="1263"/>
      <c r="C24" s="1264"/>
      <c r="D24" s="1264"/>
      <c r="E24" s="957"/>
      <c r="F24" s="25"/>
      <c r="G24" s="366"/>
      <c r="H24" s="367"/>
      <c r="I24" s="335">
        <f t="shared" si="2"/>
      </c>
      <c r="J24" s="377"/>
      <c r="K24" s="335">
        <f t="shared" si="3"/>
      </c>
      <c r="L24" s="335">
        <f t="shared" si="0"/>
      </c>
      <c r="M24" s="1040">
        <f t="shared" si="1"/>
      </c>
      <c r="N24" s="1044">
        <v>15</v>
      </c>
      <c r="O24" s="1042">
        <v>8</v>
      </c>
    </row>
    <row r="25" spans="1:15" ht="30.75" customHeight="1">
      <c r="A25" s="21">
        <v>16</v>
      </c>
      <c r="B25" s="1263"/>
      <c r="C25" s="1264"/>
      <c r="D25" s="1264"/>
      <c r="E25" s="956"/>
      <c r="F25" s="25"/>
      <c r="G25" s="366"/>
      <c r="H25" s="367"/>
      <c r="I25" s="335">
        <f t="shared" si="2"/>
      </c>
      <c r="J25" s="377"/>
      <c r="K25" s="335">
        <f t="shared" si="3"/>
      </c>
      <c r="L25" s="335">
        <f t="shared" si="0"/>
      </c>
      <c r="M25" s="1040">
        <f t="shared" si="1"/>
      </c>
      <c r="N25" s="1045">
        <v>16</v>
      </c>
      <c r="O25" s="1042">
        <v>8</v>
      </c>
    </row>
    <row r="26" spans="1:15" ht="30.75" customHeight="1">
      <c r="A26" s="21">
        <v>17</v>
      </c>
      <c r="B26" s="1263"/>
      <c r="C26" s="1264"/>
      <c r="D26" s="1264"/>
      <c r="E26" s="956"/>
      <c r="F26" s="25"/>
      <c r="G26" s="366"/>
      <c r="H26" s="367"/>
      <c r="I26" s="335">
        <f t="shared" si="2"/>
      </c>
      <c r="J26" s="377"/>
      <c r="K26" s="335">
        <f t="shared" si="3"/>
      </c>
      <c r="L26" s="335">
        <f t="shared" si="0"/>
      </c>
      <c r="M26" s="1040">
        <f t="shared" si="1"/>
      </c>
      <c r="N26" s="1044">
        <v>17</v>
      </c>
      <c r="O26" s="1042">
        <v>8</v>
      </c>
    </row>
    <row r="27" spans="1:15" ht="30.75" customHeight="1">
      <c r="A27" s="21">
        <v>18</v>
      </c>
      <c r="B27" s="1263"/>
      <c r="C27" s="1264"/>
      <c r="D27" s="1264"/>
      <c r="E27" s="956"/>
      <c r="F27" s="25"/>
      <c r="G27" s="366"/>
      <c r="H27" s="367"/>
      <c r="I27" s="335">
        <f t="shared" si="2"/>
      </c>
      <c r="J27" s="377"/>
      <c r="K27" s="335">
        <f t="shared" si="3"/>
      </c>
      <c r="L27" s="335">
        <f t="shared" si="0"/>
      </c>
      <c r="M27" s="1040">
        <f t="shared" si="1"/>
      </c>
      <c r="N27" s="1045">
        <v>18</v>
      </c>
      <c r="O27" s="1042">
        <v>8</v>
      </c>
    </row>
    <row r="28" spans="1:15" ht="30.75" customHeight="1">
      <c r="A28" s="21">
        <v>19</v>
      </c>
      <c r="B28" s="1263"/>
      <c r="C28" s="1264"/>
      <c r="D28" s="1264"/>
      <c r="E28" s="957"/>
      <c r="F28" s="25"/>
      <c r="G28" s="366"/>
      <c r="H28" s="367"/>
      <c r="I28" s="335">
        <f t="shared" si="2"/>
      </c>
      <c r="J28" s="377"/>
      <c r="K28" s="335">
        <f t="shared" si="3"/>
      </c>
      <c r="L28" s="335">
        <f t="shared" si="0"/>
      </c>
      <c r="M28" s="1040">
        <f t="shared" si="1"/>
      </c>
      <c r="N28" s="1044">
        <v>19</v>
      </c>
      <c r="O28" s="1042">
        <v>8</v>
      </c>
    </row>
    <row r="29" spans="1:15" ht="30.75" customHeight="1" thickBot="1">
      <c r="A29" s="950">
        <v>20</v>
      </c>
      <c r="B29" s="1265"/>
      <c r="C29" s="1266"/>
      <c r="D29" s="1266"/>
      <c r="E29" s="958"/>
      <c r="F29" s="581"/>
      <c r="G29" s="951"/>
      <c r="H29" s="952"/>
      <c r="I29" s="942">
        <f t="shared" si="2"/>
      </c>
      <c r="J29" s="953"/>
      <c r="K29" s="942">
        <f t="shared" si="3"/>
      </c>
      <c r="L29" s="942">
        <f t="shared" si="0"/>
      </c>
      <c r="M29" s="1041">
        <f t="shared" si="1"/>
      </c>
      <c r="N29" s="1048">
        <v>20</v>
      </c>
      <c r="O29" s="1043">
        <v>8</v>
      </c>
    </row>
    <row r="30" spans="1:14" ht="21" customHeight="1" thickBot="1">
      <c r="A30" s="1283" t="s">
        <v>27</v>
      </c>
      <c r="B30" s="1284"/>
      <c r="C30" s="1284"/>
      <c r="D30" s="1284"/>
      <c r="E30" s="1284"/>
      <c r="F30" s="1284"/>
      <c r="G30" s="1284"/>
      <c r="H30" s="1284"/>
      <c r="I30" s="1284"/>
      <c r="J30" s="1185"/>
      <c r="K30" s="1038">
        <f>SUM(K10:K29)</f>
        <v>0</v>
      </c>
      <c r="L30" s="1037">
        <f>SUM(L10:L29)</f>
        <v>0</v>
      </c>
      <c r="M30" s="1036">
        <f>SUM(M10:M29)</f>
        <v>0</v>
      </c>
      <c r="N30" s="38"/>
    </row>
    <row r="31" spans="1:14" ht="13.5" customHeight="1">
      <c r="A31" s="6"/>
      <c r="N31" s="4"/>
    </row>
    <row r="32" spans="1:14" ht="13.5" customHeight="1">
      <c r="A32" s="6"/>
      <c r="B32" s="591" t="s">
        <v>35</v>
      </c>
      <c r="D32" s="6"/>
      <c r="E32" s="27" t="s">
        <v>196</v>
      </c>
      <c r="N32" s="4"/>
    </row>
    <row r="33" ht="13.5" customHeight="1">
      <c r="E33" s="27" t="s">
        <v>197</v>
      </c>
    </row>
    <row r="34" spans="2:5" ht="13.5" customHeight="1">
      <c r="B34" s="591" t="s">
        <v>36</v>
      </c>
      <c r="E34" s="27" t="s">
        <v>198</v>
      </c>
    </row>
    <row r="35" spans="2:5" ht="13.5" customHeight="1">
      <c r="B35" s="591" t="s">
        <v>37</v>
      </c>
      <c r="E35" s="27" t="s">
        <v>199</v>
      </c>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zoomScaleSheetLayoutView="100" zoomScalePageLayoutView="0" workbookViewId="0" topLeftCell="A16">
      <selection activeCell="M30" sqref="M30"/>
    </sheetView>
  </sheetViews>
  <sheetFormatPr defaultColWidth="9.140625" defaultRowHeight="15"/>
  <cols>
    <col min="1" max="1" width="3.140625" style="591" customWidth="1"/>
    <col min="2" max="3" width="2.57421875" style="591" customWidth="1"/>
    <col min="4" max="4" width="5.421875" style="591" customWidth="1"/>
    <col min="5" max="5" width="18.00390625" style="27" customWidth="1"/>
    <col min="6" max="6" width="17.7109375" style="27" customWidth="1"/>
    <col min="7" max="7" width="8.421875" style="591" customWidth="1"/>
    <col min="8" max="8" width="4.421875" style="591" bestFit="1" customWidth="1"/>
    <col min="9" max="9" width="12.00390625" style="591" customWidth="1"/>
    <col min="10" max="10" width="12.28125" style="591" customWidth="1"/>
    <col min="11" max="11" width="12.140625" style="591" customWidth="1"/>
    <col min="12" max="12" width="11.8515625" style="591" customWidth="1"/>
    <col min="13" max="13" width="12.00390625" style="591" customWidth="1"/>
    <col min="14" max="14" width="3.140625" style="3" customWidth="1"/>
    <col min="15" max="15" width="4.140625" style="3" customWidth="1"/>
    <col min="16" max="16384" width="9.00390625" style="591" customWidth="1"/>
  </cols>
  <sheetData>
    <row r="1" spans="1:6" ht="13.5" customHeight="1">
      <c r="A1" s="1269" t="s">
        <v>29</v>
      </c>
      <c r="B1" s="1269"/>
      <c r="C1" s="1269"/>
      <c r="D1" s="1269"/>
      <c r="E1" s="1269"/>
      <c r="F1" s="3"/>
    </row>
    <row r="2" spans="1:14" ht="13.5" customHeight="1">
      <c r="A2" s="4"/>
      <c r="B2" s="4"/>
      <c r="C2" s="4"/>
      <c r="D2" s="4"/>
      <c r="E2" s="1182"/>
      <c r="F2" s="3"/>
      <c r="N2" s="4"/>
    </row>
    <row r="3" spans="1:14" ht="13.5" customHeight="1">
      <c r="A3" s="4"/>
      <c r="B3" s="4" t="s">
        <v>30</v>
      </c>
      <c r="C3" s="1182" t="s">
        <v>34</v>
      </c>
      <c r="D3" s="4"/>
      <c r="E3" s="1182"/>
      <c r="F3" s="1190" t="s">
        <v>28</v>
      </c>
      <c r="N3" s="4"/>
    </row>
    <row r="4" spans="1:14" ht="13.5" customHeight="1">
      <c r="A4" s="4"/>
      <c r="B4" s="4"/>
      <c r="C4" s="4"/>
      <c r="D4" s="4"/>
      <c r="E4" s="1182"/>
      <c r="F4" s="914" t="s">
        <v>364</v>
      </c>
      <c r="N4" s="4"/>
    </row>
    <row r="5" spans="1:15" ht="13.5" customHeight="1">
      <c r="A5" s="4"/>
      <c r="B5" s="4"/>
      <c r="C5" s="4"/>
      <c r="D5" s="4"/>
      <c r="E5" s="1182"/>
      <c r="F5" s="3"/>
      <c r="M5" s="591" t="s">
        <v>38</v>
      </c>
      <c r="N5" s="4"/>
      <c r="O5" s="555"/>
    </row>
    <row r="6" spans="1:14" ht="13.5" customHeight="1">
      <c r="A6" s="6"/>
      <c r="F6" s="3"/>
      <c r="I6" s="8"/>
      <c r="J6" s="9"/>
      <c r="K6" s="8" t="s">
        <v>195</v>
      </c>
      <c r="L6" s="105" t="str">
        <f>IF('使い方'!$E$6="","",'使い方'!$E$6)</f>
        <v>Ｂ金属株式会社</v>
      </c>
      <c r="M6" s="626"/>
      <c r="N6" s="4"/>
    </row>
    <row r="7" spans="1:14" ht="13.5" customHeight="1" thickBot="1">
      <c r="A7" s="6"/>
      <c r="F7" s="3"/>
      <c r="I7" s="10"/>
      <c r="J7" s="10"/>
      <c r="N7" s="4"/>
    </row>
    <row r="8" spans="1:15" ht="27" customHeight="1">
      <c r="A8" s="1270" t="s">
        <v>13</v>
      </c>
      <c r="B8" s="1272" t="s">
        <v>14</v>
      </c>
      <c r="C8" s="1272"/>
      <c r="D8" s="1273"/>
      <c r="E8" s="12" t="s">
        <v>15</v>
      </c>
      <c r="F8" s="12" t="s">
        <v>16</v>
      </c>
      <c r="G8" s="12" t="s">
        <v>17</v>
      </c>
      <c r="H8" s="12" t="s">
        <v>18</v>
      </c>
      <c r="I8" s="12" t="s">
        <v>7</v>
      </c>
      <c r="J8" s="12" t="s">
        <v>7</v>
      </c>
      <c r="K8" s="1274" t="s">
        <v>19</v>
      </c>
      <c r="L8" s="1273"/>
      <c r="M8" s="1183" t="s">
        <v>20</v>
      </c>
      <c r="N8" s="1275" t="s">
        <v>13</v>
      </c>
      <c r="O8" s="1277" t="s">
        <v>227</v>
      </c>
    </row>
    <row r="9" spans="1:15" ht="42" customHeight="1" thickBot="1">
      <c r="A9" s="1271"/>
      <c r="B9" s="13" t="s">
        <v>21</v>
      </c>
      <c r="C9" s="13" t="s">
        <v>22</v>
      </c>
      <c r="D9" s="14" t="s">
        <v>23</v>
      </c>
      <c r="E9" s="102"/>
      <c r="F9" s="16"/>
      <c r="G9" s="17"/>
      <c r="H9" s="17"/>
      <c r="I9" s="17" t="s">
        <v>24</v>
      </c>
      <c r="J9" s="17" t="s">
        <v>44</v>
      </c>
      <c r="K9" s="17" t="s">
        <v>25</v>
      </c>
      <c r="L9" s="18" t="s">
        <v>42</v>
      </c>
      <c r="M9" s="18" t="s">
        <v>26</v>
      </c>
      <c r="N9" s="1276"/>
      <c r="O9" s="1278"/>
    </row>
    <row r="10" spans="1:15" ht="30.75" customHeight="1">
      <c r="A10" s="19">
        <v>1</v>
      </c>
      <c r="B10" s="1263"/>
      <c r="C10" s="1264"/>
      <c r="D10" s="1285"/>
      <c r="E10" s="580"/>
      <c r="F10" s="580"/>
      <c r="G10" s="963"/>
      <c r="H10" s="964"/>
      <c r="I10" s="965">
        <f>IF(G10="","",ROUNDDOWN(J10*(1+O10/100),0))</f>
      </c>
      <c r="J10" s="966"/>
      <c r="K10" s="965">
        <f>IF(I10="","",ROUNDDOWN(L10*(1+O10/100),0))</f>
      </c>
      <c r="L10" s="965">
        <f aca="true" t="shared" si="0" ref="L10:L29">IF(J10="","",ROUNDDOWN(J10*G10,0))</f>
      </c>
      <c r="M10" s="965">
        <f aca="true" t="shared" si="1" ref="M10:M29">L10</f>
      </c>
      <c r="N10" s="961">
        <v>1</v>
      </c>
      <c r="O10" s="938">
        <v>8</v>
      </c>
    </row>
    <row r="11" spans="1:15" ht="30.75" customHeight="1">
      <c r="A11" s="21">
        <v>2</v>
      </c>
      <c r="B11" s="1263"/>
      <c r="C11" s="1264"/>
      <c r="D11" s="1285"/>
      <c r="E11" s="337"/>
      <c r="F11" s="25"/>
      <c r="G11" s="366"/>
      <c r="H11" s="367"/>
      <c r="I11" s="335">
        <f aca="true" t="shared" si="2" ref="I11:I29">IF(G11="","",ROUNDDOWN(J11*(1+O11/100),0))</f>
      </c>
      <c r="J11" s="377"/>
      <c r="K11" s="335">
        <f aca="true" t="shared" si="3" ref="K11:K29">IF(I11="","",ROUNDDOWN(L11*(1+O11/100),0))</f>
      </c>
      <c r="L11" s="335">
        <f t="shared" si="0"/>
      </c>
      <c r="M11" s="343">
        <f t="shared" si="1"/>
      </c>
      <c r="N11" s="962">
        <v>2</v>
      </c>
      <c r="O11" s="938">
        <v>8</v>
      </c>
    </row>
    <row r="12" spans="1:15" ht="30.75" customHeight="1">
      <c r="A12" s="21">
        <v>3</v>
      </c>
      <c r="B12" s="1263"/>
      <c r="C12" s="1264"/>
      <c r="D12" s="1285"/>
      <c r="E12" s="337"/>
      <c r="F12" s="25"/>
      <c r="G12" s="366"/>
      <c r="H12" s="367"/>
      <c r="I12" s="335">
        <f t="shared" si="2"/>
      </c>
      <c r="J12" s="377"/>
      <c r="K12" s="335">
        <f t="shared" si="3"/>
      </c>
      <c r="L12" s="335">
        <f t="shared" si="0"/>
      </c>
      <c r="M12" s="343">
        <f t="shared" si="1"/>
      </c>
      <c r="N12" s="961">
        <v>3</v>
      </c>
      <c r="O12" s="938">
        <v>8</v>
      </c>
    </row>
    <row r="13" spans="1:15" ht="30.75" customHeight="1">
      <c r="A13" s="21">
        <v>4</v>
      </c>
      <c r="B13" s="1263"/>
      <c r="C13" s="1264"/>
      <c r="D13" s="1285"/>
      <c r="E13" s="337"/>
      <c r="F13" s="25"/>
      <c r="G13" s="366"/>
      <c r="H13" s="367"/>
      <c r="I13" s="335">
        <f t="shared" si="2"/>
      </c>
      <c r="J13" s="377"/>
      <c r="K13" s="335">
        <f t="shared" si="3"/>
      </c>
      <c r="L13" s="335">
        <f t="shared" si="0"/>
      </c>
      <c r="M13" s="343">
        <f t="shared" si="1"/>
      </c>
      <c r="N13" s="962">
        <v>4</v>
      </c>
      <c r="O13" s="938">
        <v>8</v>
      </c>
    </row>
    <row r="14" spans="1:15" ht="30.75" customHeight="1">
      <c r="A14" s="21">
        <v>5</v>
      </c>
      <c r="B14" s="1263"/>
      <c r="C14" s="1264"/>
      <c r="D14" s="1285"/>
      <c r="E14" s="25"/>
      <c r="F14" s="25"/>
      <c r="G14" s="366"/>
      <c r="H14" s="367"/>
      <c r="I14" s="335">
        <f t="shared" si="2"/>
      </c>
      <c r="J14" s="377"/>
      <c r="K14" s="335">
        <f t="shared" si="3"/>
      </c>
      <c r="L14" s="335">
        <f t="shared" si="0"/>
      </c>
      <c r="M14" s="343">
        <f t="shared" si="1"/>
      </c>
      <c r="N14" s="961">
        <v>5</v>
      </c>
      <c r="O14" s="938">
        <v>8</v>
      </c>
    </row>
    <row r="15" spans="1:15" ht="30.75" customHeight="1">
      <c r="A15" s="21">
        <v>6</v>
      </c>
      <c r="B15" s="1263"/>
      <c r="C15" s="1264"/>
      <c r="D15" s="1285"/>
      <c r="E15" s="25"/>
      <c r="F15" s="25"/>
      <c r="G15" s="366"/>
      <c r="H15" s="367"/>
      <c r="I15" s="335">
        <f t="shared" si="2"/>
      </c>
      <c r="J15" s="377"/>
      <c r="K15" s="335">
        <f t="shared" si="3"/>
      </c>
      <c r="L15" s="335">
        <f t="shared" si="0"/>
      </c>
      <c r="M15" s="343">
        <f t="shared" si="1"/>
      </c>
      <c r="N15" s="962">
        <v>6</v>
      </c>
      <c r="O15" s="938">
        <v>8</v>
      </c>
    </row>
    <row r="16" spans="1:15" ht="30.75" customHeight="1">
      <c r="A16" s="21">
        <v>7</v>
      </c>
      <c r="B16" s="1263"/>
      <c r="C16" s="1264"/>
      <c r="D16" s="1285"/>
      <c r="E16" s="25"/>
      <c r="F16" s="28"/>
      <c r="G16" s="366"/>
      <c r="H16" s="367"/>
      <c r="I16" s="335">
        <f t="shared" si="2"/>
      </c>
      <c r="J16" s="377"/>
      <c r="K16" s="335">
        <f t="shared" si="3"/>
      </c>
      <c r="L16" s="335">
        <f t="shared" si="0"/>
      </c>
      <c r="M16" s="343">
        <f t="shared" si="1"/>
      </c>
      <c r="N16" s="961">
        <v>7</v>
      </c>
      <c r="O16" s="938">
        <v>8</v>
      </c>
    </row>
    <row r="17" spans="1:15" ht="30.75" customHeight="1">
      <c r="A17" s="21">
        <v>8</v>
      </c>
      <c r="B17" s="1263"/>
      <c r="C17" s="1264"/>
      <c r="D17" s="1285"/>
      <c r="E17" s="337"/>
      <c r="F17" s="337"/>
      <c r="G17" s="366"/>
      <c r="H17" s="367"/>
      <c r="I17" s="335">
        <f t="shared" si="2"/>
      </c>
      <c r="J17" s="377"/>
      <c r="K17" s="335">
        <f t="shared" si="3"/>
      </c>
      <c r="L17" s="335">
        <f t="shared" si="0"/>
      </c>
      <c r="M17" s="343">
        <f t="shared" si="1"/>
      </c>
      <c r="N17" s="962">
        <v>8</v>
      </c>
      <c r="O17" s="938">
        <v>8</v>
      </c>
    </row>
    <row r="18" spans="1:15" ht="30.75" customHeight="1">
      <c r="A18" s="21">
        <v>9</v>
      </c>
      <c r="B18" s="1263"/>
      <c r="C18" s="1264"/>
      <c r="D18" s="1285"/>
      <c r="E18" s="25"/>
      <c r="F18" s="25"/>
      <c r="G18" s="366"/>
      <c r="H18" s="367"/>
      <c r="I18" s="335">
        <f t="shared" si="2"/>
      </c>
      <c r="J18" s="377"/>
      <c r="K18" s="335">
        <f t="shared" si="3"/>
      </c>
      <c r="L18" s="335">
        <f t="shared" si="0"/>
      </c>
      <c r="M18" s="343">
        <f t="shared" si="1"/>
      </c>
      <c r="N18" s="961">
        <v>9</v>
      </c>
      <c r="O18" s="938">
        <v>8</v>
      </c>
    </row>
    <row r="19" spans="1:15" ht="30.75" customHeight="1">
      <c r="A19" s="21">
        <v>10</v>
      </c>
      <c r="B19" s="1263"/>
      <c r="C19" s="1264"/>
      <c r="D19" s="1285"/>
      <c r="E19" s="25"/>
      <c r="F19" s="25"/>
      <c r="G19" s="366"/>
      <c r="H19" s="367"/>
      <c r="I19" s="335">
        <f t="shared" si="2"/>
      </c>
      <c r="J19" s="377"/>
      <c r="K19" s="335">
        <f t="shared" si="3"/>
      </c>
      <c r="L19" s="335">
        <f t="shared" si="0"/>
      </c>
      <c r="M19" s="343">
        <f t="shared" si="1"/>
      </c>
      <c r="N19" s="962">
        <v>10</v>
      </c>
      <c r="O19" s="938">
        <v>8</v>
      </c>
    </row>
    <row r="20" spans="1:15" ht="30.75" customHeight="1">
      <c r="A20" s="21">
        <v>11</v>
      </c>
      <c r="B20" s="1263"/>
      <c r="C20" s="1264"/>
      <c r="D20" s="1285"/>
      <c r="E20" s="25"/>
      <c r="F20" s="25"/>
      <c r="G20" s="366"/>
      <c r="H20" s="367"/>
      <c r="I20" s="335">
        <f t="shared" si="2"/>
      </c>
      <c r="J20" s="377"/>
      <c r="K20" s="335">
        <f t="shared" si="3"/>
      </c>
      <c r="L20" s="335">
        <f t="shared" si="0"/>
      </c>
      <c r="M20" s="343">
        <f t="shared" si="1"/>
      </c>
      <c r="N20" s="961">
        <v>11</v>
      </c>
      <c r="O20" s="938">
        <v>8</v>
      </c>
    </row>
    <row r="21" spans="1:15" ht="30.75" customHeight="1">
      <c r="A21" s="21">
        <v>12</v>
      </c>
      <c r="B21" s="1263"/>
      <c r="C21" s="1264"/>
      <c r="D21" s="1285"/>
      <c r="E21" s="25"/>
      <c r="F21" s="25"/>
      <c r="G21" s="366"/>
      <c r="H21" s="367"/>
      <c r="I21" s="335">
        <f t="shared" si="2"/>
      </c>
      <c r="J21" s="377"/>
      <c r="K21" s="335">
        <f t="shared" si="3"/>
      </c>
      <c r="L21" s="335">
        <f t="shared" si="0"/>
      </c>
      <c r="M21" s="343">
        <f t="shared" si="1"/>
      </c>
      <c r="N21" s="962">
        <v>12</v>
      </c>
      <c r="O21" s="938">
        <v>8</v>
      </c>
    </row>
    <row r="22" spans="1:15" ht="30.75" customHeight="1">
      <c r="A22" s="21">
        <v>13</v>
      </c>
      <c r="B22" s="1263"/>
      <c r="C22" s="1264"/>
      <c r="D22" s="1285"/>
      <c r="E22" s="25"/>
      <c r="F22" s="25"/>
      <c r="G22" s="366"/>
      <c r="H22" s="367"/>
      <c r="I22" s="335">
        <f t="shared" si="2"/>
      </c>
      <c r="J22" s="377"/>
      <c r="K22" s="335">
        <f t="shared" si="3"/>
      </c>
      <c r="L22" s="335">
        <f t="shared" si="0"/>
      </c>
      <c r="M22" s="343">
        <f t="shared" si="1"/>
      </c>
      <c r="N22" s="961">
        <v>13</v>
      </c>
      <c r="O22" s="938">
        <v>8</v>
      </c>
    </row>
    <row r="23" spans="1:15" ht="30.75" customHeight="1">
      <c r="A23" s="21">
        <v>14</v>
      </c>
      <c r="B23" s="1263"/>
      <c r="C23" s="1264"/>
      <c r="D23" s="1285"/>
      <c r="E23" s="579"/>
      <c r="F23" s="25"/>
      <c r="G23" s="366"/>
      <c r="H23" s="367"/>
      <c r="I23" s="335">
        <f t="shared" si="2"/>
      </c>
      <c r="J23" s="377"/>
      <c r="K23" s="335">
        <f t="shared" si="3"/>
      </c>
      <c r="L23" s="335">
        <f t="shared" si="0"/>
      </c>
      <c r="M23" s="343">
        <f t="shared" si="1"/>
      </c>
      <c r="N23" s="962">
        <v>14</v>
      </c>
      <c r="O23" s="938">
        <v>8</v>
      </c>
    </row>
    <row r="24" spans="1:15" ht="30.75" customHeight="1">
      <c r="A24" s="21">
        <v>15</v>
      </c>
      <c r="B24" s="1263"/>
      <c r="C24" s="1264"/>
      <c r="D24" s="1285"/>
      <c r="E24" s="579"/>
      <c r="F24" s="25"/>
      <c r="G24" s="366"/>
      <c r="H24" s="367"/>
      <c r="I24" s="335">
        <f t="shared" si="2"/>
      </c>
      <c r="J24" s="377"/>
      <c r="K24" s="335">
        <f t="shared" si="3"/>
      </c>
      <c r="L24" s="335">
        <f t="shared" si="0"/>
      </c>
      <c r="M24" s="343">
        <f t="shared" si="1"/>
      </c>
      <c r="N24" s="961">
        <v>15</v>
      </c>
      <c r="O24" s="938">
        <v>8</v>
      </c>
    </row>
    <row r="25" spans="1:15" ht="30.75" customHeight="1">
      <c r="A25" s="21">
        <v>16</v>
      </c>
      <c r="B25" s="1263"/>
      <c r="C25" s="1264"/>
      <c r="D25" s="1285"/>
      <c r="E25" s="25"/>
      <c r="F25" s="25"/>
      <c r="G25" s="366"/>
      <c r="H25" s="367"/>
      <c r="I25" s="335">
        <f t="shared" si="2"/>
      </c>
      <c r="J25" s="377"/>
      <c r="K25" s="335">
        <f t="shared" si="3"/>
      </c>
      <c r="L25" s="335">
        <f t="shared" si="0"/>
      </c>
      <c r="M25" s="343">
        <f t="shared" si="1"/>
      </c>
      <c r="N25" s="962">
        <v>16</v>
      </c>
      <c r="O25" s="938">
        <v>8</v>
      </c>
    </row>
    <row r="26" spans="1:15" ht="30.75" customHeight="1">
      <c r="A26" s="21">
        <v>17</v>
      </c>
      <c r="B26" s="1263"/>
      <c r="C26" s="1264"/>
      <c r="D26" s="1285"/>
      <c r="E26" s="25"/>
      <c r="F26" s="25"/>
      <c r="G26" s="366"/>
      <c r="H26" s="367"/>
      <c r="I26" s="335">
        <f t="shared" si="2"/>
      </c>
      <c r="J26" s="377"/>
      <c r="K26" s="335">
        <f t="shared" si="3"/>
      </c>
      <c r="L26" s="335">
        <f t="shared" si="0"/>
      </c>
      <c r="M26" s="343">
        <f t="shared" si="1"/>
      </c>
      <c r="N26" s="961">
        <v>17</v>
      </c>
      <c r="O26" s="938">
        <v>8</v>
      </c>
    </row>
    <row r="27" spans="1:15" ht="30.75" customHeight="1">
      <c r="A27" s="21">
        <v>18</v>
      </c>
      <c r="B27" s="1263"/>
      <c r="C27" s="1264"/>
      <c r="D27" s="1285"/>
      <c r="E27" s="25"/>
      <c r="F27" s="25"/>
      <c r="G27" s="366"/>
      <c r="H27" s="367"/>
      <c r="I27" s="335">
        <f t="shared" si="2"/>
      </c>
      <c r="J27" s="377"/>
      <c r="K27" s="335">
        <f t="shared" si="3"/>
      </c>
      <c r="L27" s="335">
        <f t="shared" si="0"/>
      </c>
      <c r="M27" s="343">
        <f t="shared" si="1"/>
      </c>
      <c r="N27" s="962">
        <v>18</v>
      </c>
      <c r="O27" s="938">
        <v>8</v>
      </c>
    </row>
    <row r="28" spans="1:15" ht="30.75" customHeight="1">
      <c r="A28" s="21">
        <v>19</v>
      </c>
      <c r="B28" s="1263"/>
      <c r="C28" s="1264"/>
      <c r="D28" s="1285"/>
      <c r="E28" s="579"/>
      <c r="F28" s="25"/>
      <c r="G28" s="366"/>
      <c r="H28" s="367"/>
      <c r="I28" s="335">
        <f t="shared" si="2"/>
      </c>
      <c r="J28" s="377"/>
      <c r="K28" s="335">
        <f t="shared" si="3"/>
      </c>
      <c r="L28" s="335">
        <f t="shared" si="0"/>
      </c>
      <c r="M28" s="343">
        <f t="shared" si="1"/>
      </c>
      <c r="N28" s="961">
        <v>19</v>
      </c>
      <c r="O28" s="938">
        <v>8</v>
      </c>
    </row>
    <row r="29" spans="1:15" ht="30.75" customHeight="1" thickBot="1">
      <c r="A29" s="950">
        <v>20</v>
      </c>
      <c r="B29" s="1286"/>
      <c r="C29" s="1287"/>
      <c r="D29" s="1287"/>
      <c r="E29" s="958"/>
      <c r="F29" s="581"/>
      <c r="G29" s="951"/>
      <c r="H29" s="952"/>
      <c r="I29" s="942">
        <f t="shared" si="2"/>
      </c>
      <c r="J29" s="953"/>
      <c r="K29" s="942">
        <f t="shared" si="3"/>
      </c>
      <c r="L29" s="942">
        <f t="shared" si="0"/>
      </c>
      <c r="M29" s="943">
        <f t="shared" si="1"/>
      </c>
      <c r="N29" s="971">
        <v>20</v>
      </c>
      <c r="O29" s="945">
        <v>8</v>
      </c>
    </row>
    <row r="30" spans="1:14" ht="21" customHeight="1" thickBot="1">
      <c r="A30" s="1283" t="s">
        <v>27</v>
      </c>
      <c r="B30" s="1284"/>
      <c r="C30" s="1284"/>
      <c r="D30" s="1284"/>
      <c r="E30" s="1284"/>
      <c r="F30" s="1284"/>
      <c r="G30" s="1284"/>
      <c r="H30" s="1284"/>
      <c r="I30" s="1284"/>
      <c r="J30" s="1185"/>
      <c r="K30" s="1038">
        <f>SUM(K10:K29)</f>
        <v>0</v>
      </c>
      <c r="L30" s="1037">
        <f>SUM(L10:L29)</f>
        <v>0</v>
      </c>
      <c r="M30" s="1036">
        <f>SUM(M10:M29)</f>
        <v>0</v>
      </c>
      <c r="N30" s="38"/>
    </row>
    <row r="31" spans="1:14" ht="13.5" customHeight="1">
      <c r="A31" s="6"/>
      <c r="N31" s="4"/>
    </row>
    <row r="32" spans="1:14" ht="13.5" customHeight="1">
      <c r="A32" s="6"/>
      <c r="B32" s="591" t="s">
        <v>35</v>
      </c>
      <c r="D32" s="6"/>
      <c r="E32" s="27" t="s">
        <v>196</v>
      </c>
      <c r="N32" s="4"/>
    </row>
    <row r="33" ht="13.5" customHeight="1">
      <c r="E33" s="27" t="s">
        <v>197</v>
      </c>
    </row>
    <row r="34" spans="2:5" ht="13.5" customHeight="1">
      <c r="B34" s="591" t="s">
        <v>36</v>
      </c>
      <c r="E34" s="27" t="s">
        <v>198</v>
      </c>
    </row>
    <row r="35" spans="2:5" ht="13.5" customHeight="1">
      <c r="B35" s="591" t="s">
        <v>37</v>
      </c>
      <c r="E35" s="27" t="s">
        <v>199</v>
      </c>
    </row>
  </sheetData>
  <sheetProtection/>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mono-29</cp:lastModifiedBy>
  <cp:lastPrinted>2014-07-29T09:53:28Z</cp:lastPrinted>
  <dcterms:created xsi:type="dcterms:W3CDTF">2013-05-03T10:01:41Z</dcterms:created>
  <dcterms:modified xsi:type="dcterms:W3CDTF">2015-02-23T00:47:27Z</dcterms:modified>
  <cp:category/>
  <cp:version/>
  <cp:contentType/>
  <cp:contentStatus/>
</cp:coreProperties>
</file>