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00" tabRatio="937" activeTab="0"/>
  </bookViews>
  <sheets>
    <sheet name="使い方" sheetId="1" r:id="rId1"/>
    <sheet name="(４)経費明細表チェックリスト" sheetId="2" r:id="rId2"/>
    <sheet name="(４)経費明細 (科目合計) 印刷用" sheetId="3" r:id="rId3"/>
    <sheet name="日本標準産業分類" sheetId="4" r:id="rId4"/>
    <sheet name="原材料費" sheetId="5" r:id="rId5"/>
    <sheet name="機械装置費" sheetId="6" r:id="rId6"/>
    <sheet name="技術導入費" sheetId="7" r:id="rId7"/>
    <sheet name="外注加工費" sheetId="8" r:id="rId8"/>
    <sheet name="委託費" sheetId="9" r:id="rId9"/>
    <sheet name="知的財産等関連経費" sheetId="10" r:id="rId10"/>
    <sheet name="運搬費" sheetId="11" r:id="rId11"/>
    <sheet name="専門家謝金" sheetId="12" r:id="rId12"/>
    <sheet name="専門家旅費" sheetId="13" r:id="rId13"/>
    <sheet name="雑役務費" sheetId="14" r:id="rId14"/>
    <sheet name="対象者一覧表" sheetId="15" r:id="rId15"/>
    <sheet name="総労働時間算定表(1)" sheetId="16" r:id="rId16"/>
    <sheet name="総労働時間算定表(2)" sheetId="17" r:id="rId17"/>
    <sheet name="様式第６の別紙２　直接人件費支出明細書(1)" sheetId="18" r:id="rId18"/>
    <sheet name="様式第６の別紙２　直接人件費支出明細書(2)" sheetId="19" r:id="rId19"/>
    <sheet name="賃金台帳(1)" sheetId="20" r:id="rId20"/>
    <sheet name="賃金台帳(2)" sheetId="21" r:id="rId21"/>
    <sheet name="賃金台帳(3)" sheetId="22" r:id="rId22"/>
    <sheet name="賃金台帳(4)" sheetId="23" r:id="rId23"/>
    <sheet name="賃金台帳(5)" sheetId="24" r:id="rId24"/>
    <sheet name="賃金台帳(6)" sheetId="25" r:id="rId25"/>
    <sheet name="賃金台帳(7)" sheetId="26" r:id="rId26"/>
    <sheet name="賃金台帳(8)" sheetId="27" r:id="rId27"/>
    <sheet name="賃金台帳(9)" sheetId="28" r:id="rId28"/>
    <sheet name="賃金台帳(10)" sheetId="29" r:id="rId29"/>
    <sheet name="賃金台帳(11)" sheetId="30" r:id="rId30"/>
    <sheet name="賃金台帳(12)" sheetId="31" r:id="rId31"/>
    <sheet name="2309" sheetId="32" r:id="rId32"/>
    <sheet name="2409" sheetId="33" r:id="rId33"/>
    <sheet name="2509" sheetId="34" r:id="rId34"/>
  </sheets>
  <externalReferences>
    <externalReference r:id="rId37"/>
  </externalReferences>
  <definedNames>
    <definedName name="_xlfn.IFERROR" hidden="1">#NAME?</definedName>
    <definedName name="_xlfn.SUMIFS" hidden="1">#NAME?</definedName>
    <definedName name="_xlnm.Print_Area" localSheetId="2">'(４)経費明細 (科目合計) 印刷用'!$A$1:$H$67</definedName>
    <definedName name="_xlnm.Print_Area" localSheetId="1">'(４)経費明細表チェックリスト'!$B$1:$N$54</definedName>
    <definedName name="_xlnm.Print_Area" localSheetId="31">'2309'!$A$1:$Z$86</definedName>
    <definedName name="_xlnm.Print_Area" localSheetId="32">'2409'!$A$1:$N$86</definedName>
    <definedName name="_xlnm.Print_Area" localSheetId="33">'2509'!$A$1:$Z$86</definedName>
    <definedName name="_xlnm.Print_Area" localSheetId="8">'委託費'!$A$1:$O$35</definedName>
    <definedName name="_xlnm.Print_Area" localSheetId="10">'運搬費'!$A$1:$O$35</definedName>
    <definedName name="_xlnm.Print_Area" localSheetId="7">'外注加工費'!$A$1:$O$35</definedName>
    <definedName name="_xlnm.Print_Area" localSheetId="5">'機械装置費'!$A$1:$O$35</definedName>
    <definedName name="_xlnm.Print_Area" localSheetId="6">'技術導入費'!$A$1:$O$35</definedName>
    <definedName name="_xlnm.Print_Area" localSheetId="4">'原材料費'!$A$1:$O$35</definedName>
    <definedName name="_xlnm.Print_Area" localSheetId="13">'雑役務費'!$A$1:$N$35</definedName>
    <definedName name="_xlnm.Print_Area" localSheetId="0">'使い方'!$A$1:$M$88</definedName>
    <definedName name="_xlnm.Print_Area" localSheetId="11">'専門家謝金'!$A$1:$O$35</definedName>
    <definedName name="_xlnm.Print_Area" localSheetId="12">'専門家旅費'!$A$1:$O$35</definedName>
    <definedName name="_xlnm.Print_Area" localSheetId="14">'対象者一覧表'!$B$1:$H$39</definedName>
    <definedName name="_xlnm.Print_Area" localSheetId="9">'知的財産等関連経費'!$A$1:$O$35</definedName>
    <definedName name="_xlnm.Print_Area" localSheetId="19">'賃金台帳(1)'!$A$1:$Y$51</definedName>
    <definedName name="_xlnm.Print_Area" localSheetId="28">'賃金台帳(10)'!$A$1:$Y$51</definedName>
    <definedName name="_xlnm.Print_Area" localSheetId="29">'賃金台帳(11)'!$A$1:$Y$51</definedName>
    <definedName name="_xlnm.Print_Area" localSheetId="30">'賃金台帳(12)'!$A$1:$Y$51</definedName>
    <definedName name="_xlnm.Print_Area" localSheetId="20">'賃金台帳(2)'!$A$1:$Y$51</definedName>
    <definedName name="_xlnm.Print_Area" localSheetId="21">'賃金台帳(3)'!$A$1:$Y$51</definedName>
    <definedName name="_xlnm.Print_Area" localSheetId="22">'賃金台帳(4)'!$A$1:$Y$51</definedName>
    <definedName name="_xlnm.Print_Area" localSheetId="23">'賃金台帳(5)'!$A$1:$Y$51</definedName>
    <definedName name="_xlnm.Print_Area" localSheetId="24">'賃金台帳(6)'!$A$1:$Y$51</definedName>
    <definedName name="_xlnm.Print_Area" localSheetId="25">'賃金台帳(7)'!$A$1:$Y$51</definedName>
    <definedName name="_xlnm.Print_Area" localSheetId="26">'賃金台帳(8)'!$A$1:$Y$51</definedName>
    <definedName name="_xlnm.Print_Area" localSheetId="27">'賃金台帳(9)'!$A$1:$Y$51</definedName>
    <definedName name="_xlnm.Print_Area" localSheetId="17">'様式第６の別紙２　直接人件費支出明細書(1)'!$A$1:$T$46</definedName>
    <definedName name="_xlnm.Print_Area" localSheetId="18">'様式第６の別紙２　直接人件費支出明細書(2)'!$A$1:$T$47</definedName>
    <definedName name="_xlnm.Print_Titles" localSheetId="1">'(４)経費明細表チェックリスト'!$2:$2</definedName>
    <definedName name="移動" localSheetId="32">#REF!,#REF!,#REF!,#REF!,#REF!,#REF!,#REF!,#REF!,#REF!,#REF!,#REF!,#REF!</definedName>
    <definedName name="移動" localSheetId="15">'総労働時間算定表(1)'!$C$8:$C$13,'総労働時間算定表(1)'!$F$8:$F$13,'総労働時間算定表(1)'!$E$16,'総労働時間算定表(1)'!$G$16,'総労働時間算定表(1)'!$E$18,'総労働時間算定表(1)'!$G$18,'総労働時間算定表(1)'!$E$19,'総労働時間算定表(1)'!$G$19,'総労働時間算定表(1)'!$E$20,'総労働時間算定表(1)'!$G$20,'総労働時間算定表(1)'!$F$24,'総労働時間算定表(1)'!$K$25</definedName>
    <definedName name="移動" localSheetId="16">'総労働時間算定表(2)'!$C$8:$C$13,'総労働時間算定表(2)'!$F$8:$F$13,'総労働時間算定表(2)'!$E$16,'総労働時間算定表(2)'!$G$16,'総労働時間算定表(2)'!$E$18,'総労働時間算定表(2)'!$G$18,'総労働時間算定表(2)'!$E$19,'総労働時間算定表(2)'!$G$19,'総労働時間算定表(2)'!$E$20,'総労働時間算定表(2)'!$G$20,'総労働時間算定表(2)'!$F$24,'総労働時間算定表(2)'!$K$25</definedName>
    <definedName name="移動" localSheetId="14">#REF!,#REF!,#REF!,#REF!,#REF!,#REF!,#REF!,#REF!,#REF!,#REF!,#REF!,#REF!</definedName>
    <definedName name="移動" localSheetId="19">#REF!,#REF!,#REF!,#REF!,#REF!,#REF!,#REF!,#REF!,#REF!,#REF!,#REF!,#REF!</definedName>
    <definedName name="移動" localSheetId="28">#REF!,#REF!,#REF!,#REF!,#REF!,#REF!,#REF!,#REF!,#REF!,#REF!,#REF!,#REF!</definedName>
    <definedName name="移動" localSheetId="29">#REF!,#REF!,#REF!,#REF!,#REF!,#REF!,#REF!,#REF!,#REF!,#REF!,#REF!,#REF!</definedName>
    <definedName name="移動" localSheetId="30">#REF!,#REF!,#REF!,#REF!,#REF!,#REF!,#REF!,#REF!,#REF!,#REF!,#REF!,#REF!</definedName>
    <definedName name="移動" localSheetId="20">#REF!,#REF!,#REF!,#REF!,#REF!,#REF!,#REF!,#REF!,#REF!,#REF!,#REF!,#REF!</definedName>
    <definedName name="移動" localSheetId="21">#REF!,#REF!,#REF!,#REF!,#REF!,#REF!,#REF!,#REF!,#REF!,#REF!,#REF!,#REF!</definedName>
    <definedName name="移動" localSheetId="22">#REF!,#REF!,#REF!,#REF!,#REF!,#REF!,#REF!,#REF!,#REF!,#REF!,#REF!,#REF!</definedName>
    <definedName name="移動" localSheetId="23">#REF!,#REF!,#REF!,#REF!,#REF!,#REF!,#REF!,#REF!,#REF!,#REF!,#REF!,#REF!</definedName>
    <definedName name="移動" localSheetId="24">#REF!,#REF!,#REF!,#REF!,#REF!,#REF!,#REF!,#REF!,#REF!,#REF!,#REF!,#REF!</definedName>
    <definedName name="移動" localSheetId="25">#REF!,#REF!,#REF!,#REF!,#REF!,#REF!,#REF!,#REF!,#REF!,#REF!,#REF!,#REF!</definedName>
    <definedName name="移動" localSheetId="26">#REF!,#REF!,#REF!,#REF!,#REF!,#REF!,#REF!,#REF!,#REF!,#REF!,#REF!,#REF!</definedName>
    <definedName name="移動" localSheetId="27">#REF!,#REF!,#REF!,#REF!,#REF!,#REF!,#REF!,#REF!,#REF!,#REF!,#REF!,#REF!</definedName>
    <definedName name="移動" localSheetId="17">#REF!,#REF!,#REF!,#REF!,#REF!,#REF!,#REF!,#REF!,#REF!,#REF!,#REF!,#REF!</definedName>
    <definedName name="移動" localSheetId="18">#REF!,#REF!,#REF!,#REF!,#REF!,#REF!,#REF!,#REF!,#REF!,#REF!,#REF!,#REF!</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comments2.xml><?xml version="1.0" encoding="utf-8"?>
<comments xmlns="http://schemas.openxmlformats.org/spreadsheetml/2006/main">
  <authors>
    <author>bara</author>
  </authors>
  <commentList>
    <comment ref="F16" authorId="0">
      <text>
        <r>
          <rPr>
            <b/>
            <sz val="9"/>
            <rFont val="ＭＳ Ｐゴシック"/>
            <family val="3"/>
          </rPr>
          <t>bara:</t>
        </r>
        <r>
          <rPr>
            <sz val="9"/>
            <rFont val="ＭＳ Ｐゴシック"/>
            <family val="3"/>
          </rPr>
          <t xml:space="preserve">
積み上げで一円は違う時があります。
</t>
        </r>
      </text>
    </comment>
  </commentList>
</comments>
</file>

<file path=xl/sharedStrings.xml><?xml version="1.0" encoding="utf-8"?>
<sst xmlns="http://schemas.openxmlformats.org/spreadsheetml/2006/main" count="3478" uniqueCount="1034">
  <si>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</si>
  <si>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</si>
  <si>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</si>
  <si>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</si>
  <si>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</si>
  <si>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</si>
  <si>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</si>
  <si>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</si>
  <si>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</si>
  <si>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</si>
  <si>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</si>
  <si>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</si>
  <si>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</si>
  <si>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</si>
  <si>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</si>
  <si>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</si>
  <si>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</si>
  <si>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</si>
  <si>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</si>
  <si>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</si>
  <si>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</si>
  <si>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</si>
  <si>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</si>
  <si>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</si>
  <si>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</si>
  <si>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</si>
  <si>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</si>
  <si>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</si>
  <si>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</si>
  <si>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</si>
  <si>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</si>
  <si>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</si>
  <si>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</si>
  <si>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t>直接人件費明細書</t>
  </si>
  <si>
    <t>　費目別経費支出明細書</t>
  </si>
  <si>
    <t>(注1)</t>
  </si>
  <si>
    <t>(注2)</t>
  </si>
  <si>
    <t>(注3)</t>
  </si>
  <si>
    <t>(単位:円)</t>
  </si>
  <si>
    <t>B×2/3以内</t>
  </si>
  <si>
    <t>按分計算　　　　　　　補助金交付申請額</t>
  </si>
  <si>
    <t>補助金交付申請額</t>
  </si>
  <si>
    <t>（税抜き）</t>
  </si>
  <si>
    <t>原材料費</t>
  </si>
  <si>
    <t>(税抜き)</t>
  </si>
  <si>
    <t>機械装置費</t>
  </si>
  <si>
    <t>＜事業全体に要する経費調達一覧＞</t>
  </si>
  <si>
    <t>区　　　　　分</t>
  </si>
  <si>
    <t>事業に要する経費(円)</t>
  </si>
  <si>
    <t>資金の調達先</t>
  </si>
  <si>
    <t>自　己　資　金</t>
  </si>
  <si>
    <t>そ　　の　　他</t>
  </si>
  <si>
    <t/>
  </si>
  <si>
    <t>職　種</t>
  </si>
  <si>
    <t>氏　名</t>
  </si>
  <si>
    <t>部　署</t>
  </si>
  <si>
    <t>役　職</t>
  </si>
  <si>
    <t>採用年月日</t>
  </si>
  <si>
    <t>年間
総支給額</t>
  </si>
  <si>
    <t>年間理論
総労働時間</t>
  </si>
  <si>
    <t>人件費
時間単価</t>
  </si>
  <si>
    <t>合計</t>
  </si>
  <si>
    <t>～</t>
  </si>
  <si>
    <t>技術導入費</t>
  </si>
  <si>
    <t>委託費</t>
  </si>
  <si>
    <t>専門家旅費</t>
  </si>
  <si>
    <t>専門家謝金</t>
  </si>
  <si>
    <t>外注加工費</t>
  </si>
  <si>
    <t>運搬費</t>
  </si>
  <si>
    <t>雑役務費</t>
  </si>
  <si>
    <t>☑</t>
  </si>
  <si>
    <t>A</t>
  </si>
  <si>
    <t>B</t>
  </si>
  <si>
    <t>直接人件費</t>
  </si>
  <si>
    <t>知的財産権関連経費</t>
  </si>
  <si>
    <t>【時間単価算出方法計算式】</t>
  </si>
  <si>
    <t>C</t>
  </si>
  <si>
    <r>
      <t>（A+B）</t>
    </r>
    <r>
      <rPr>
        <sz val="11"/>
        <rFont val="ＭＳ Ｐゴシック"/>
        <family val="3"/>
      </rPr>
      <t>÷C</t>
    </r>
  </si>
  <si>
    <t>補助事業計画書の別紙５　直接人件費支出対象者一覧表</t>
  </si>
  <si>
    <t>&lt;参考様式3&gt;</t>
  </si>
  <si>
    <t>時間単価算出のための人件費対象者賃金台帳　</t>
  </si>
  <si>
    <t>事業者名：</t>
  </si>
  <si>
    <t>所属：</t>
  </si>
  <si>
    <t>氏名：　　　　</t>
  </si>
  <si>
    <t>■　年間総支給額</t>
  </si>
  <si>
    <t>生年月日：</t>
  </si>
  <si>
    <t>直近１年（例）</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</si>
  <si>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</si>
  <si>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</si>
  <si>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</si>
  <si>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</si>
  <si>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</si>
  <si>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</si>
  <si>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</si>
  <si>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</si>
  <si>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</si>
  <si>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</si>
  <si>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</si>
  <si>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</si>
  <si>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</si>
  <si>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</si>
  <si>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</si>
  <si>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</si>
  <si>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</si>
  <si>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</si>
  <si>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</si>
  <si>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</si>
  <si>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</si>
  <si>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</si>
  <si>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平成24年9月分(10月納付分)からの健康保険・厚生年金保険の保険料額表</t>
  </si>
  <si>
    <t>（愛知県）</t>
  </si>
  <si>
    <t>標　準　報　酬</t>
  </si>
  <si>
    <t>報　酬　月　額</t>
  </si>
  <si>
    <t>全国健康保険協会管掌健康保険料</t>
  </si>
  <si>
    <t>厚生年金保険料（厚生年金基金加入員を除く）</t>
  </si>
  <si>
    <t>介護保険第２号被保険者
に該当しない場合</t>
  </si>
  <si>
    <t>介護保険第２号被保険者
に該当する場合</t>
  </si>
  <si>
    <t>一般の被保険者等</t>
  </si>
  <si>
    <t>坑内員・船員</t>
  </si>
  <si>
    <t>等級</t>
  </si>
  <si>
    <t>月　額</t>
  </si>
  <si>
    <t>日　額</t>
  </si>
  <si>
    <t>全　額</t>
  </si>
  <si>
    <t>折半額</t>
  </si>
  <si>
    <t>全　額</t>
  </si>
  <si>
    <t>折半額</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</si>
  <si>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</si>
  <si>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</si>
  <si>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</si>
  <si>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</si>
  <si>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</si>
  <si>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</si>
  <si>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</si>
  <si>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</si>
  <si>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</si>
  <si>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</si>
  <si>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</si>
  <si>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</si>
  <si>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</si>
  <si>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</si>
  <si>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</si>
  <si>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</si>
  <si>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</si>
  <si>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</si>
  <si>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</si>
  <si>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</si>
  <si>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</si>
  <si>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</si>
  <si>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</si>
  <si>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</si>
  <si>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</si>
  <si>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</si>
  <si>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</si>
  <si>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</si>
  <si>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</si>
  <si>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</si>
  <si>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</si>
  <si>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</si>
  <si>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・一般の被保険者の方…11.766%～14.366%
・坑内員の被保険者の方…12.192%～14.792%
加入する基金ごとに異なりますので、免除保険料率及び厚生年金基金の掛金については、加入する厚生年金基金にお問い合わせください。
</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</si>
  <si>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</si>
  <si>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</si>
  <si>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</si>
  <si>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◆平成24年度における協会けんぽの任意継続被保険者の標準報酬月額の上限は、280,000円です。</t>
  </si>
  <si>
    <t>○被保険者負担分（表の折半額の欄）に円未満の端数がある場合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</si>
  <si>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</si>
  <si>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</si>
  <si>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</si>
  <si>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</si>
  <si>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納入告知書の保険料額は、被保険者個々の保険料額を合算した金額になります。ただし、合算した金額に円未満の端数がある場合は、その端数を切り捨てた額となります。</t>
  </si>
  <si>
    <t>○賞与に係る保険料について</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</si>
  <si>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</si>
  <si>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</si>
  <si>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○児童手当拠出金について</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</si>
  <si>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</si>
  <si>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拠出金の額は、被保険者個々の厚生年金保険の標準報酬月額及び標準賞与額に、拠出金率（0.15%）を乗じて得た額の総額となります。</t>
  </si>
  <si>
    <t>平成25年9月分(10月納付分)からの健康保険・厚生年金保険の保険料額表</t>
  </si>
  <si>
    <t xml:space="preserve">     ‣健康保険料率：平成24年3月分～　適用　　‣厚生年金保険料率：平成25年9月分～平成26年8月分　適用
     ‣介護保険料率：平成24年3月分～　適用　　‣児童手当拠出金率：平成24年4月分～　適用
</t>
  </si>
  <si>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</si>
  <si>
    <t>◆平成25年度における協会けんぽの任意継続被保険者の標準報酬月額の上限は、280,000円です。</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</si>
  <si>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</si>
  <si>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</si>
  <si>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</si>
  <si>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</si>
  <si>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</si>
  <si>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</si>
  <si>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</si>
  <si>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</si>
  <si>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</si>
  <si>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</si>
  <si>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</si>
  <si>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日</t>
  </si>
  <si>
    <t>所定内労働勤務時間　</t>
  </si>
  <si>
    <t>　・所定内の休憩時間 ①</t>
  </si>
  <si>
    <t>　・所定内の休憩時間 ②</t>
  </si>
  <si>
    <t>　・所定内の休憩時間 ③</t>
  </si>
  <si>
    <t>参考</t>
  </si>
  <si>
    <t>休日</t>
  </si>
  <si>
    <t>年末・年始その他休日</t>
  </si>
  <si>
    <t>年間カレンダーによる</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</si>
  <si>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</si>
  <si>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</si>
  <si>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</si>
  <si>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</si>
  <si>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</si>
  <si>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</si>
  <si>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</si>
  <si>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</si>
  <si>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</si>
  <si>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合計は自動計算します。</t>
  </si>
  <si>
    <t>ＳＴＥＰ　1</t>
  </si>
  <si>
    <t>ＳＴＥＰ　2</t>
  </si>
  <si>
    <t>ＳＴＥＰ　3</t>
  </si>
  <si>
    <t>各人の賃金台帳を作成します。</t>
  </si>
  <si>
    <t>■　はじめに</t>
  </si>
  <si>
    <t>自動計算で保護をかけてあります。パスワードはかけていません。</t>
  </si>
  <si>
    <t>児童手当拠出金</t>
  </si>
  <si>
    <t>それに対応する法定福利費をもとに簡易に自動計算して算出する仕組みとなっています。</t>
  </si>
  <si>
    <t xml:space="preserve">  </t>
  </si>
  <si>
    <t>標準報酬月額</t>
  </si>
  <si>
    <t>+</t>
  </si>
  <si>
    <t>÷</t>
  </si>
  <si>
    <t>＝</t>
  </si>
  <si>
    <t xml:space="preserve">‣健康保険料率：平成24年3月分～　適用　　‣厚生年金保険料率：平成24年9月分～平成25年8月分　適用
‣介護保険料率：平成24年3月分～　適用　　‣児童手当拠出金率：平成24年4月分～　適用
</t>
  </si>
  <si>
    <t>平成23年9月分(10月納付分)からの健康保険・厚生年金保険の保険料額表</t>
  </si>
  <si>
    <t xml:space="preserve">     ‣健康保険料率：平成23年3月分～　適用　　‣厚生年金保険料率：平成23年9月分～平成24年8月分　適用
     ‣介護保険料率：平成23年3月分～　適用　　‣児童手当拠出金率：平成19年4月分～　適用
</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</si>
  <si>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・一般の被保険者の方…11.412%～14.012%
・坑内員の被保険者の方…11.944%～14.544%
加入する基金ごとに異なりますので、免除保険料率及び厚生年金基金の掛金については、加入する厚生年金基金にお問い合わせください。
</t>
  </si>
  <si>
    <t>◆平成23年度における協会けんぽの任意継続被保険者の標準報酬月額の上限は、280,000円です。</t>
  </si>
  <si>
    <t>　 厚生年金保険の被保険者を使用する事業主の方は、子ども手当等の支給に要する費用の一部として児童手当拠出金を全額負担いただくことになります。この児童手当</t>
  </si>
  <si>
    <t>　 拠出金の額は、被保険者個々の厚生年金保険の標準報酬月額及び標準賞与額に、拠出金率（0.13%）を乗じて得た額の総額となります。</t>
  </si>
  <si>
    <t>通勤手当</t>
  </si>
  <si>
    <t>健康保険(12年3月から)</t>
  </si>
  <si>
    <t>介護保険(12年3月から)</t>
  </si>
  <si>
    <t>健康保険料</t>
  </si>
  <si>
    <t>厚生年金保険料</t>
  </si>
  <si>
    <t>皆勤手当</t>
  </si>
  <si>
    <t>順位</t>
  </si>
  <si>
    <t>判定</t>
  </si>
  <si>
    <t>加算する金額</t>
  </si>
  <si>
    <t>消費税率(%)</t>
  </si>
  <si>
    <t>①</t>
  </si>
  <si>
    <t>Ｈ</t>
  </si>
  <si>
    <t>ｋｇ</t>
  </si>
  <si>
    <t>人件費の計算の準備</t>
  </si>
  <si>
    <t>能率手当</t>
  </si>
  <si>
    <t>2月</t>
  </si>
  <si>
    <t>3月</t>
  </si>
  <si>
    <t>4月</t>
  </si>
  <si>
    <t>厚生年金保険(13年8月まで)</t>
  </si>
  <si>
    <t>基本給・賞与</t>
  </si>
  <si>
    <t>基本給・賞与</t>
  </si>
  <si>
    <t>使い方</t>
  </si>
  <si>
    <t>対象者一覧表</t>
  </si>
  <si>
    <t>ＥＸＣＥＬファイルのタブの構成</t>
  </si>
  <si>
    <t>総労働時間算定表(1)～(2)</t>
  </si>
  <si>
    <t>原材料費</t>
  </si>
  <si>
    <t>機械装置費</t>
  </si>
  <si>
    <t>技術導入費</t>
  </si>
  <si>
    <t>外注加工費</t>
  </si>
  <si>
    <t>委託費</t>
  </si>
  <si>
    <t>知的財産関連経費</t>
  </si>
  <si>
    <t>運搬費</t>
  </si>
  <si>
    <t>専門家謝金</t>
  </si>
  <si>
    <t>専門家旅費</t>
  </si>
  <si>
    <t>雑役務費</t>
  </si>
  <si>
    <t>(</t>
  </si>
  <si>
    <t>）</t>
  </si>
  <si>
    <t>(５）資金調達内訳</t>
  </si>
  <si>
    <t xml:space="preserve">補助対象経費
</t>
  </si>
  <si>
    <t>（事業者名：</t>
  </si>
  <si>
    <t>交付申請額等を算定する際に、経費区分ごとに生じる１円未満の金額は切り捨て処理して積算してください。</t>
  </si>
  <si>
    <t>(４)経費明細表</t>
  </si>
  <si>
    <t>補助金交付申請額</t>
  </si>
  <si>
    <t>そ　の　他</t>
  </si>
  <si>
    <t>借　入　金</t>
  </si>
  <si>
    <t>自　己　資　金</t>
  </si>
  <si>
    <t>（消費税込みの額）</t>
  </si>
  <si>
    <t>（消費税抜きの額）</t>
  </si>
  <si>
    <t>(Ｃ)</t>
  </si>
  <si>
    <t>「小規模事業者型」で「機械装置費」を計上する場合、補助対象経費で総額５０万円(税抜き)未満に限り対象とします。</t>
  </si>
  <si>
    <t>合　計　額</t>
  </si>
  <si>
    <t>TEL　052-561-8261</t>
  </si>
  <si>
    <t>合　　計　　額</t>
  </si>
  <si>
    <t>(（Ｂ)×２／３以内)</t>
  </si>
  <si>
    <t>賃金台帳(1)～賃金台帳(12)</t>
  </si>
  <si>
    <t>月</t>
  </si>
  <si>
    <t>○</t>
  </si>
  <si>
    <t>様式第６の別紙２　直接人件費支出明細書(1)～(2)</t>
  </si>
  <si>
    <t>機械装置費を優先した残りの補助金交付申請額</t>
  </si>
  <si>
    <t>(Ａ)</t>
  </si>
  <si>
    <t>(Ｂ)</t>
  </si>
  <si>
    <t>(Ｃ)</t>
  </si>
  <si>
    <t>補助上限額</t>
  </si>
  <si>
    <t>借　　入　　金</t>
  </si>
  <si>
    <t>この申請の事業類型は</t>
  </si>
  <si>
    <t>-</t>
  </si>
  <si>
    <t>-</t>
  </si>
  <si>
    <t>成長分野型　</t>
  </si>
  <si>
    <t>一般型</t>
  </si>
  <si>
    <t>小規模事業者型</t>
  </si>
  <si>
    <t>(a)</t>
  </si>
  <si>
    <t>試作開発+設備投資</t>
  </si>
  <si>
    <t>(c)</t>
  </si>
  <si>
    <t>試作開発のみ</t>
  </si>
  <si>
    <t>(b)</t>
  </si>
  <si>
    <t>設備投資</t>
  </si>
  <si>
    <t>一般型</t>
  </si>
  <si>
    <t>小規模事業者型</t>
  </si>
  <si>
    <t>設備投資の制限</t>
  </si>
  <si>
    <t>設備投資の制限</t>
  </si>
  <si>
    <t>その他経費の制限</t>
  </si>
  <si>
    <t>その他の経費の制限</t>
  </si>
  <si>
    <t>機械装置費以外の経費の補助金交付申請額は５００万円以下</t>
  </si>
  <si>
    <t>総額のチェックのため単価は積算明細で確認すること</t>
  </si>
  <si>
    <t>設備投資にウエイトをおいて補助金額を按分しています。</t>
  </si>
  <si>
    <t>なし</t>
  </si>
  <si>
    <t>判定50</t>
  </si>
  <si>
    <t>判定500</t>
  </si>
  <si>
    <t>機械装置費で補助対象経費にして単価５０万円以上の設備投資が必要</t>
  </si>
  <si>
    <t>機械装置費は補助対象経費の総額５０万円未満にすること</t>
  </si>
  <si>
    <t>○</t>
  </si>
  <si>
    <t>計算結果</t>
  </si>
  <si>
    <t>照合金額</t>
  </si>
  <si>
    <t>－</t>
  </si>
  <si>
    <t>成長分野型</t>
  </si>
  <si>
    <t>＜補助金を受けるまでの資金＞</t>
  </si>
  <si>
    <t>総務部長　経済洋子</t>
  </si>
  <si>
    <t>外注加工費+委託費</t>
  </si>
  <si>
    <t>知的財産権等関連経費</t>
  </si>
  <si>
    <t>上記の合計額が補助対象経費の1/2を超えていないか。</t>
  </si>
  <si>
    <t>外注加工費は補助対象経費の1/2を超えていないか</t>
  </si>
  <si>
    <t>共通事項</t>
  </si>
  <si>
    <t>知的財産権関連経費が補助対象経費の1/3を超えていないか。</t>
  </si>
  <si>
    <t>委託費は補助対象経費の1/2を超えていないか</t>
  </si>
  <si>
    <t>補助金交付申請限度額</t>
  </si>
  <si>
    <t>補助対象経費</t>
  </si>
  <si>
    <t>→</t>
  </si>
  <si>
    <t>事業に要する経費</t>
  </si>
  <si>
    <t>愛知県中小企業団体中央会</t>
  </si>
  <si>
    <t>事業に要する経費</t>
  </si>
  <si>
    <t>（消費税抜きの額）</t>
  </si>
  <si>
    <t>以下の判定結果をもとに数値を見直してください。</t>
  </si>
  <si>
    <t>(４)経費明細表のチェックリスト・申請の前にお手元の経費明細表の数値を入力して誤りがないかチェックしてください。</t>
  </si>
  <si>
    <t>)</t>
  </si>
  <si>
    <t>消費税は8％で計算してください。</t>
  </si>
  <si>
    <t>積算基礎　</t>
  </si>
  <si>
    <t>注．事業に要する経費(税込み)</t>
  </si>
  <si>
    <t>仮計算　補助金交付申請額</t>
  </si>
  <si>
    <t>経理担当者の</t>
  </si>
  <si>
    <t>役職氏名</t>
  </si>
  <si>
    <t>連絡先(TEL)</t>
  </si>
  <si>
    <t>注.「成長分野型」、「一般型」については、「機械装置費」で補助対象経費で単価５０万円(税抜き)以上を計上する必要があります。</t>
  </si>
  <si>
    <t>経費区分ごとの金額は一行にしてください。</t>
  </si>
  <si>
    <t>順位２</t>
  </si>
  <si>
    <t>順位２の合計額</t>
  </si>
  <si>
    <t>按分する件数</t>
  </si>
  <si>
    <t>優先される数値</t>
  </si>
  <si>
    <t>按分される補助金の額</t>
  </si>
  <si>
    <t>機械装置費を除く補助金申請額の合計額(修正前)</t>
  </si>
  <si>
    <t xml:space="preserve">機械装置費を除く合計額の補助金交付申請額の上限 </t>
  </si>
  <si>
    <t>Ｂ金属株式会社</t>
  </si>
  <si>
    <t>件</t>
  </si>
  <si>
    <t>別紙　　費目別経費支出明細書のとおり</t>
  </si>
  <si>
    <t>微修正してください。</t>
  </si>
  <si>
    <t>「成長分野型」「一般型」については、設備投資が必要です。また、「機械装置費」以外の経費については、合計で５００万円（税抜き）までを補助上限額とします。</t>
  </si>
  <si>
    <t>試作開発+設備投資と設備投資を同時に○にした場合は設備投資を選択したとみなします。</t>
  </si>
  <si>
    <t>介護保険(14年3月から)</t>
  </si>
  <si>
    <t>(単位:円)</t>
  </si>
  <si>
    <t>（注3）月毎の従事時間は給与〆日にあわせてください。</t>
  </si>
  <si>
    <t>人件費の円未満は切り捨てしてください。</t>
  </si>
  <si>
    <t>（注5）本様式は、日本工業規格Ａ４判としてください。</t>
  </si>
  <si>
    <t>（注2）月毎の従事時間は給与〆日にあわせてください。例、２０日締めの２５日払いの場合、原則７月２５日に支払ったものは７月に記載してください。</t>
  </si>
  <si>
    <t>総務部長</t>
  </si>
  <si>
    <t>平成26</t>
  </si>
  <si>
    <t>＜経費明細総括表＞</t>
  </si>
  <si>
    <t>申請者名</t>
  </si>
  <si>
    <t>A</t>
  </si>
  <si>
    <t>B</t>
  </si>
  <si>
    <t>補助事業に要する経費</t>
  </si>
  <si>
    <t>補助対象
経費</t>
  </si>
  <si>
    <t>（税込み）</t>
  </si>
  <si>
    <t>＜代表者＞</t>
  </si>
  <si>
    <t>　補助事業者名</t>
  </si>
  <si>
    <t>＜連携者１＞</t>
  </si>
  <si>
    <t>＜連携者２＞</t>
  </si>
  <si>
    <t>本事業の</t>
  </si>
  <si>
    <t>＜補助金相当額の手当方法＞</t>
  </si>
  <si>
    <t>&lt;経費明細表&gt;</t>
  </si>
  <si>
    <t>月</t>
  </si>
  <si>
    <t>4月</t>
  </si>
  <si>
    <t>7月</t>
  </si>
  <si>
    <t>8月</t>
  </si>
  <si>
    <t>9月</t>
  </si>
  <si>
    <t>4月</t>
  </si>
  <si>
    <t>5月</t>
  </si>
  <si>
    <t>年齢は左端の月末時点</t>
  </si>
  <si>
    <t>機械設計</t>
  </si>
  <si>
    <t>プログラマー</t>
  </si>
  <si>
    <t>甲　太郎</t>
  </si>
  <si>
    <t>人件費小計</t>
  </si>
  <si>
    <t>人件費累計</t>
  </si>
  <si>
    <t>Ａ株式会社</t>
  </si>
  <si>
    <t>鋼材　g-3050</t>
  </si>
  <si>
    <t>ＡＡ株式会社</t>
  </si>
  <si>
    <t>○○装置　(型番１２３型番TK)</t>
  </si>
  <si>
    <t>(４)経費支出明細</t>
  </si>
  <si>
    <t>Ｂ×２／３以内</t>
  </si>
  <si>
    <t>Ｂ</t>
  </si>
  <si>
    <t>Ａ</t>
  </si>
  <si>
    <t>原材料費(注９)</t>
  </si>
  <si>
    <t>直接人件費(注９)</t>
  </si>
  <si>
    <t>外注加工費(注９)</t>
  </si>
  <si>
    <t>委託費(注９)</t>
  </si>
  <si>
    <t>知的財産権等関連経費(注９)</t>
  </si>
  <si>
    <t>雑役務費(注９)</t>
  </si>
  <si>
    <t>②</t>
  </si>
  <si>
    <t>従事者氏名</t>
  </si>
  <si>
    <t>開発設計</t>
  </si>
  <si>
    <t>チーフ</t>
  </si>
  <si>
    <t>事業に要する経費(円)</t>
  </si>
  <si>
    <t>資金の調達先</t>
  </si>
  <si>
    <t>（税抜き）</t>
  </si>
  <si>
    <t>積算基礎　(Ａ.税込み)</t>
  </si>
  <si>
    <t>※連携体の場合、補助事業者ごとに作成してください。（単位：円）</t>
  </si>
  <si>
    <t>Ｄ会社</t>
  </si>
  <si>
    <t>○○技術指導</t>
  </si>
  <si>
    <t>Ａ工業株式会社</t>
  </si>
  <si>
    <t>切削加工</t>
  </si>
  <si>
    <t>○○市工業研究所</t>
  </si>
  <si>
    <t>○○の委託研究開発</t>
  </si>
  <si>
    <t>このエクセルは事務処理の手引き５４頁の交付申請書様式第一の別紙補助事業計画書(４)</t>
  </si>
  <si>
    <t>要対応は　　× 並びに色の変わったセル(総額違反)</t>
  </si>
  <si>
    <t>これで準備は終了しました。</t>
  </si>
  <si>
    <t>なお、このＥＸＣＥＬのフォーマットは計算式に保護をかけています。</t>
  </si>
  <si>
    <t>消費税は切り捨てにしてありますので微調整は必要です。</t>
  </si>
  <si>
    <t>税抜き見積書をもとに各経費のそれぞれの単価・数量・内容を入力すれば、(4)経費明細のドラフトは完成する形になっています。</t>
  </si>
  <si>
    <t>次に、直接人件費を補助対象とする場合の作業について説明します。</t>
  </si>
  <si>
    <t>この補助金では人件費の時間単価の計算については年間理論総労働時間に対応する超過勤務を含まない人件費と</t>
  </si>
  <si>
    <t>○　or　　-</t>
  </si>
  <si>
    <t>○　or　　-</t>
  </si>
  <si>
    <t>差額（単位：円）</t>
  </si>
  <si>
    <t>(B×2/3以内)（税抜き）</t>
  </si>
  <si>
    <t>別紙　費目別経費支出明細書のとおり</t>
  </si>
  <si>
    <t>△○信用金庫　○○支店</t>
  </si>
  <si>
    <t>経費支出明細と関連書類をもれなく作成するために用意したものです。</t>
  </si>
  <si>
    <t>本ワークシートの使い方について</t>
  </si>
  <si>
    <t>時間</t>
  </si>
  <si>
    <t>円</t>
  </si>
  <si>
    <t>乙　次郎</t>
  </si>
  <si>
    <t>)</t>
  </si>
  <si>
    <t>一般型</t>
  </si>
  <si>
    <t>小規模事業者型</t>
  </si>
  <si>
    <t>自　己　資　金(税込み)</t>
  </si>
  <si>
    <t>補助金交付申請額(税抜き)</t>
  </si>
  <si>
    <t>借　入　金(税込み)</t>
  </si>
  <si>
    <t>そ　の　他(税込み)</t>
  </si>
  <si>
    <t>合　計　額(税込み)</t>
  </si>
  <si>
    <t>(注)</t>
  </si>
  <si>
    <t>事業類型</t>
  </si>
  <si>
    <t>知的財産等関連経費</t>
  </si>
  <si>
    <t>5月</t>
  </si>
  <si>
    <t>5月</t>
  </si>
  <si>
    <t>6月</t>
  </si>
  <si>
    <t>6月</t>
  </si>
  <si>
    <t>7月</t>
  </si>
  <si>
    <t>7月</t>
  </si>
  <si>
    <t>8月</t>
  </si>
  <si>
    <t>9月</t>
  </si>
  <si>
    <t>10月</t>
  </si>
  <si>
    <t>11月</t>
  </si>
  <si>
    <t>11月</t>
  </si>
  <si>
    <t>12月</t>
  </si>
  <si>
    <t>12月</t>
  </si>
  <si>
    <t>　に給与および賞与等の文字・データを入力して下さい。</t>
  </si>
  <si>
    <t>㊞</t>
  </si>
  <si>
    <t>右記の通り</t>
  </si>
  <si>
    <t>5,000円超の場合は</t>
  </si>
  <si>
    <t>様式第６の別紙２</t>
  </si>
  <si>
    <t>事業者名　：　</t>
  </si>
  <si>
    <t>まずは右に企業名を入力して下さい。</t>
  </si>
  <si>
    <t>次に、補助金の上限を設定するため下記のいずれかのうち、プルダウンで○を選択して下さい。(事業類型の選択、必須)</t>
  </si>
  <si>
    <t>事業類型を選択して下さい。必須</t>
  </si>
  <si>
    <t>資金の調達先を入力して下さい。例:</t>
  </si>
  <si>
    <t>経理担当者の役職氏名TELを入力して下さい。</t>
  </si>
  <si>
    <t>原材料から雑役務費まで使用する費目を別経費支出明細書に見積書をもとに入力して下さい。</t>
  </si>
  <si>
    <t>保護を解除する場合は校閲のタブをクリックしてシート保護の解除をして下さい。パスワードはかけていません。</t>
  </si>
  <si>
    <t>費目別支出明細では原則円未満切り捨てで計算しています。微調整は保護を解除して行って下さい。</t>
  </si>
  <si>
    <t>※　連携体での申請の場合は事業者ごとに作成して下さい。</t>
  </si>
  <si>
    <t>台</t>
  </si>
  <si>
    <t>件</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</si>
  <si>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</si>
  <si>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</si>
  <si>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</si>
  <si>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</si>
  <si>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</si>
  <si>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</si>
  <si>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</si>
  <si>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</si>
  <si>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</si>
  <si>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</si>
  <si>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</si>
  <si>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</si>
  <si>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</si>
  <si>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</si>
  <si>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</si>
  <si>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</si>
  <si>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</si>
  <si>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</si>
  <si>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</si>
  <si>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</si>
  <si>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</si>
  <si>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</si>
  <si>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</si>
  <si>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</si>
  <si>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</si>
  <si>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</si>
  <si>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</si>
  <si>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</si>
  <si>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</si>
  <si>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</si>
  <si>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</si>
  <si>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</si>
  <si>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</si>
  <si>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</si>
  <si>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</si>
  <si>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</si>
  <si>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</si>
  <si>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</si>
  <si>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</si>
  <si>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</si>
  <si>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</si>
  <si>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</si>
  <si>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</si>
  <si>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</si>
  <si>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</si>
  <si>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</si>
  <si>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</si>
  <si>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</si>
  <si>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</si>
  <si>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</si>
  <si>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</si>
  <si>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</si>
  <si>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</si>
  <si>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</si>
  <si>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</si>
  <si>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</si>
  <si>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</si>
  <si>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</si>
  <si>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</si>
  <si>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</si>
  <si>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</si>
  <si>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</si>
  <si>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</si>
  <si>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</si>
  <si>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</si>
  <si>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</si>
  <si>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</si>
  <si>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</si>
  <si>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</si>
  <si>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</si>
  <si>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</si>
  <si>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</si>
  <si>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</si>
  <si>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</si>
  <si>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</si>
  <si>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</si>
  <si>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</si>
  <si>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</si>
  <si>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</si>
  <si>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</si>
  <si>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</si>
  <si>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</si>
  <si>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</si>
  <si>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</si>
  <si>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</si>
  <si>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</si>
  <si>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</si>
  <si>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</si>
  <si>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</si>
  <si>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</si>
  <si>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</si>
  <si>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</si>
  <si>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</si>
  <si>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</si>
  <si>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</si>
  <si>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</si>
  <si>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</si>
  <si>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</si>
  <si>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</si>
  <si>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</si>
  <si>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</si>
  <si>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</si>
  <si>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</si>
  <si>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</si>
  <si>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</si>
  <si>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</si>
  <si>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</si>
  <si>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</si>
  <si>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</si>
  <si>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</si>
  <si>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</si>
  <si>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</si>
  <si>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</si>
  <si>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</si>
  <si>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</si>
  <si>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</si>
  <si>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</si>
  <si>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</si>
  <si>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</si>
  <si>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</si>
  <si>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</si>
  <si>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</si>
  <si>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</si>
  <si>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</si>
  <si>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</si>
  <si>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</si>
  <si>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</si>
  <si>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</si>
  <si>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</si>
  <si>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</si>
  <si>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</si>
  <si>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</si>
  <si>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</si>
  <si>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</si>
  <si>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</si>
  <si>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</si>
  <si>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</si>
  <si>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</si>
  <si>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</si>
  <si>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</si>
  <si>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</si>
  <si>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</si>
  <si>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</si>
  <si>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</si>
  <si>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</si>
  <si>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</si>
  <si>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</si>
  <si>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</si>
  <si>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</si>
  <si>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</si>
  <si>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</si>
  <si>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</si>
  <si>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</si>
  <si>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</si>
  <si>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</si>
  <si>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</si>
  <si>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</si>
  <si>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</si>
  <si>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</si>
  <si>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</si>
  <si>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</si>
  <si>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</si>
  <si>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</si>
  <si>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</si>
  <si>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</si>
  <si>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</si>
  <si>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</si>
  <si>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</si>
  <si>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</si>
  <si>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</si>
  <si>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</si>
  <si>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</si>
  <si>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</si>
  <si>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</si>
  <si>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</si>
  <si>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</si>
  <si>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</si>
  <si>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</si>
  <si>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</si>
  <si>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</si>
  <si>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</si>
  <si>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</si>
  <si>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</si>
  <si>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</si>
  <si>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</si>
  <si>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</si>
  <si>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</si>
  <si>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</si>
  <si>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</si>
  <si>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</si>
  <si>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</si>
  <si>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</si>
  <si>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</si>
  <si>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</si>
  <si>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</si>
  <si>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</si>
  <si>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</si>
  <si>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</si>
  <si>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</si>
  <si>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</si>
  <si>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</si>
  <si>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</si>
  <si>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</si>
  <si>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</si>
  <si>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</si>
  <si>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</si>
  <si>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</si>
  <si>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</si>
  <si>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</si>
  <si>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</si>
  <si>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</si>
  <si>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</si>
  <si>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</si>
  <si>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</si>
  <si>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</si>
  <si>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</si>
  <si>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</si>
  <si>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</si>
  <si>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</si>
  <si>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</si>
  <si>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</si>
  <si>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</si>
  <si>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</si>
  <si>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</si>
  <si>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</si>
  <si>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</si>
  <si>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</si>
  <si>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</si>
  <si>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</si>
  <si>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</si>
  <si>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</si>
  <si>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</si>
  <si>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</si>
  <si>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</si>
  <si>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</si>
  <si>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</si>
  <si>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</si>
  <si>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</si>
  <si>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</si>
  <si>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</si>
  <si>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</si>
  <si>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</si>
  <si>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</si>
  <si>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</si>
  <si>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</si>
  <si>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</si>
  <si>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</si>
  <si>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</si>
  <si>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</si>
  <si>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</si>
  <si>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</si>
  <si>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</si>
  <si>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</si>
  <si>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</si>
  <si>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</si>
  <si>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</si>
  <si>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</si>
  <si>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</si>
  <si>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</si>
  <si>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</si>
  <si>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</si>
  <si>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</si>
  <si>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</si>
  <si>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</si>
  <si>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</si>
  <si>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</si>
  <si>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</si>
  <si>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</si>
  <si>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</si>
  <si>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</si>
  <si>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</si>
  <si>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</si>
  <si>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</si>
  <si>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</si>
  <si>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</si>
  <si>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</si>
  <si>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</si>
  <si>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</si>
  <si>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</si>
  <si>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</si>
  <si>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</si>
  <si>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</si>
  <si>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</si>
  <si>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</si>
  <si>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</si>
  <si>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</si>
  <si>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</si>
  <si>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</si>
  <si>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</si>
  <si>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</si>
  <si>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</si>
  <si>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</si>
  <si>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</si>
  <si>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</si>
  <si>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</si>
  <si>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</si>
  <si>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</si>
  <si>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</si>
  <si>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</si>
  <si>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</si>
  <si>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</si>
  <si>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</si>
  <si>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</si>
  <si>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</si>
  <si>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</si>
  <si>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</si>
  <si>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</si>
  <si>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</si>
  <si>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</si>
  <si>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</si>
  <si>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</si>
  <si>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</si>
  <si>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</si>
  <si>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</si>
  <si>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</si>
  <si>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</si>
  <si>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</si>
  <si>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</si>
  <si>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</si>
  <si>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</si>
  <si>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</si>
  <si>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</si>
  <si>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</si>
  <si>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</si>
  <si>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</si>
  <si>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</si>
  <si>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</si>
  <si>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</si>
  <si>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</si>
  <si>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</si>
  <si>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</si>
  <si>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</si>
  <si>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</si>
  <si>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</si>
  <si>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</si>
  <si>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</si>
  <si>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</si>
  <si>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</si>
  <si>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</si>
  <si>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</si>
  <si>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</si>
  <si>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</si>
  <si>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</si>
  <si>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</si>
  <si>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</si>
  <si>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</si>
  <si>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</si>
  <si>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</si>
  <si>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</si>
  <si>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</si>
  <si>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</si>
  <si>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</si>
  <si>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</si>
  <si>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</si>
  <si>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</si>
  <si>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</si>
  <si>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</si>
  <si>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</si>
  <si>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</si>
  <si>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</si>
  <si>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</si>
  <si>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</si>
  <si>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</si>
  <si>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</si>
  <si>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</si>
  <si>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</si>
  <si>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</si>
  <si>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</si>
  <si>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</si>
  <si>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</si>
  <si>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</si>
  <si>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</si>
  <si>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</si>
  <si>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</si>
  <si>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</si>
  <si>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</si>
  <si>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</si>
  <si>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</si>
  <si>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</si>
  <si>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</si>
  <si>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</si>
  <si>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</si>
  <si>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</si>
  <si>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</si>
  <si>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</si>
  <si>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</si>
  <si>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</si>
  <si>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</si>
  <si>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</si>
  <si>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</si>
  <si>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</si>
  <si>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</si>
  <si>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</si>
  <si>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</si>
  <si>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</si>
  <si>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</si>
  <si>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</si>
  <si>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</si>
  <si>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</si>
  <si>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</si>
  <si>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</si>
  <si>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</si>
  <si>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</si>
  <si>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</si>
  <si>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</si>
  <si>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</si>
  <si>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</si>
  <si>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</si>
  <si>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</si>
  <si>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</si>
  <si>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</si>
  <si>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</si>
  <si>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</si>
  <si>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</si>
  <si>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</si>
  <si>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</si>
  <si>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</si>
  <si>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</si>
  <si>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</si>
  <si>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</si>
  <si>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</si>
  <si>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</si>
  <si>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</si>
  <si>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</si>
  <si>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</si>
  <si>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</si>
  <si>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</si>
  <si>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</si>
  <si>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</si>
  <si>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</si>
  <si>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</si>
  <si>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</si>
  <si>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</si>
  <si>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</si>
  <si>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</si>
  <si>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</si>
  <si>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</si>
  <si>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</si>
  <si>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</si>
  <si>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</si>
  <si>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</si>
  <si>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</si>
  <si>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</si>
  <si>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</si>
  <si>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</si>
  <si>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</si>
  <si>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</si>
  <si>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</si>
  <si>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</si>
  <si>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</si>
  <si>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</si>
  <si>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</si>
  <si>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</si>
  <si>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</si>
  <si>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</si>
  <si>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</si>
  <si>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</si>
  <si>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</si>
  <si>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</si>
  <si>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</si>
  <si>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</si>
  <si>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</si>
  <si>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</si>
  <si>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</si>
  <si>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</si>
  <si>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</si>
  <si>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</si>
  <si>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</si>
  <si>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</si>
  <si>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</si>
  <si>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</si>
  <si>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</si>
  <si>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</si>
  <si>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</si>
  <si>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</si>
  <si>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</si>
  <si>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</si>
  <si>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</si>
  <si>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</si>
  <si>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6月</t>
  </si>
  <si>
    <t>7月</t>
  </si>
  <si>
    <t>8月</t>
  </si>
  <si>
    <t>日本標準産業分類</t>
  </si>
  <si>
    <t>(４)経費明細表チェックリスト</t>
  </si>
  <si>
    <t>(４)経費明細 (科目合計) 印刷用</t>
  </si>
  <si>
    <t>(注2)　人件費時間単価は5,000円が上限です。また、１日40,000円、及び毎月の給与総支給額が上限です。</t>
  </si>
  <si>
    <t>毎月の
給与総支給額</t>
  </si>
  <si>
    <r>
      <t xml:space="preserve">人件費
</t>
    </r>
    <r>
      <rPr>
        <sz val="8"/>
        <color indexed="8"/>
        <rFont val="ＭＳ ゴシック"/>
        <family val="3"/>
      </rPr>
      <t>（毎月の給与総支給額
上限適用後）</t>
    </r>
  </si>
  <si>
    <t>（注4）人件費対象者に支払われる人件費の上限は、１時間5,000円以内かつ１日40,000円以内であり、毎月の給与総支給額となります。</t>
  </si>
  <si>
    <t>厚生年金保険(13年9月から)</t>
  </si>
  <si>
    <t>※このファイルでは、一般的な料率として、健康保険：協会けんぽ（愛知県）、厚生年金基金：加入なしの場合の料率を設定。</t>
  </si>
  <si>
    <t>←</t>
  </si>
  <si>
    <t>健康保険組合並びに厚生年金基金については、所定の料率と置き換えて下さい。</t>
  </si>
  <si>
    <t>「厚生年金基金：加入あり」の場合、厚生年金基金と厚生年金保険は別々に計算して下さい。</t>
  </si>
  <si>
    <t>※この場合、厚生年金の料率も、厚生年金基金発行の料率表を確認願います。</t>
  </si>
  <si>
    <t>介護保険・雇用保険は年齢によって適用の有無が変わります。</t>
  </si>
  <si>
    <t>雇用保険・労災保険は業種によって料率が異なります。</t>
  </si>
  <si>
    <t>介護・雇用・労災保険については料率に値を入れていないため、適用期間に注意して入力願います。</t>
  </si>
  <si>
    <t>（注：健康保険は協会けんぽでも県ごとに保険料率がちがいます。）</t>
  </si>
  <si>
    <t>総労働時間を毎月の労働日数と１日の就業時間や休憩時間を入力して計算します。</t>
  </si>
  <si>
    <t>月をSTEP3の賃金台帳の期間にあわせて修正し、黒枠に入力します。</t>
  </si>
  <si>
    <t>対象者一覧表に氏名等を入力して下さい。</t>
  </si>
  <si>
    <t>【対象者一覧表】</t>
  </si>
  <si>
    <t>【総労働時間算定表(1)】</t>
  </si>
  <si>
    <t>【総労働時間算定表(2)】は予備</t>
  </si>
  <si>
    <t>【賃金台帳】</t>
  </si>
  <si>
    <t>【様式第６の別紙２　直接人件費支出明細書】</t>
  </si>
  <si>
    <t>【賃金台帳】年間法定福利費の保険料率部分を抜粋</t>
  </si>
  <si>
    <t>【青字】はシート名</t>
  </si>
  <si>
    <t>年齢で自動計算されないため、調整（手入力等）が必要な場合があります。ご注意ください。</t>
  </si>
  <si>
    <t>ＳＴＥＰ　4</t>
  </si>
  <si>
    <t>これで人件費の計算は確定します。</t>
  </si>
  <si>
    <t>各人の本事業従事時間(B)と毎月の給与総支給額を直接人件費支出明細書にそれぞれ入力します。</t>
  </si>
  <si>
    <t>ＳＴＥＰ　3の補足</t>
  </si>
  <si>
    <t>労災保険率は各事業所の労災保険料率を記載すること。厚生年金保険料率も同様(毎年9月に料率変更)</t>
  </si>
  <si>
    <t>介護保険は40歳以上65歳未満が対象。協会けんぽの場合、2014年2月まで：7.75/1000、2014年3月から：8.6/1000　（※健康保険組合の場合はそれぞれ料率が異なるので確認の上、入力願います。）</t>
  </si>
  <si>
    <t>×   (</t>
  </si>
  <si>
    <t xml:space="preserve">×    </t>
  </si>
  <si>
    <t>※（　）内：小数点以下第３位未満切捨</t>
  </si>
  <si>
    <t>※月の欄は賃金台帳作成期間にあわせて</t>
  </si>
  <si>
    <t>　修正してください（例．6月～翌年5月）</t>
  </si>
  <si>
    <t>60進法→10進法</t>
  </si>
  <si>
    <t>役付手当</t>
  </si>
  <si>
    <t xml:space="preserve">        =</t>
  </si>
  <si>
    <t>中小企業・小規模事業者ものづくり・商業・サービス革新事業補助金に係わる標記の研究開発従事者の給与実績は上記の通りであることを証明します。</t>
  </si>
  <si>
    <t xml:space="preserve">   分 ) =</t>
  </si>
  <si>
    <t>10月</t>
  </si>
  <si>
    <t>11月</t>
  </si>
  <si>
    <t>賃金台帳の項目を入力し、それぞれの毎月の金額を入力します。残業代は入力しないでください。</t>
  </si>
  <si>
    <t>12月</t>
  </si>
  <si>
    <t>1月</t>
  </si>
  <si>
    <t>2月</t>
  </si>
  <si>
    <t>3月</t>
  </si>
  <si>
    <t>介護保険については４０歳以上６５歳未満の方が対象です。</t>
  </si>
  <si>
    <t>この【使い方】シート上の保険料率を変更しても賃金台帳には反映しません。各【賃金台帳】シート上で修正願います。</t>
  </si>
  <si>
    <r>
      <t>保険料率は一般的な料率を入れてありますので、</t>
    </r>
    <r>
      <rPr>
        <b/>
        <u val="single"/>
        <sz val="11"/>
        <color indexed="10"/>
        <rFont val="ＭＳ Ｐゴシック"/>
        <family val="3"/>
      </rPr>
      <t>各事業者の料率に応じて変更して下さい。</t>
    </r>
  </si>
  <si>
    <t>以上の入力が終われば時間単価が計算されます。時間単価の上限は5,000円です。</t>
  </si>
  <si>
    <t>厚生年金基金への加入の有無によらず、厚生年金保険部分は毎年9月に料率変更します。</t>
  </si>
  <si>
    <r>
      <t>年間法定
福利費</t>
    </r>
    <r>
      <rPr>
        <sz val="11"/>
        <rFont val="ＭＳ Ｐゴシック"/>
        <family val="3"/>
      </rPr>
      <t xml:space="preserve">
</t>
    </r>
    <r>
      <rPr>
        <sz val="10"/>
        <rFont val="ＭＳ Ｐゴシック"/>
        <family val="3"/>
      </rPr>
      <t>（事業者負担分）</t>
    </r>
  </si>
  <si>
    <t>年　　　月　　　日</t>
  </si>
  <si>
    <t>４月１日の時点で６４歳以上の方はその年度の雇用保険の事業主負担はありません。（４月から０になります。）</t>
  </si>
  <si>
    <t>（注1）直接人件費の補助対象者は、交付申請書または計画変更承認申請書にて対象と認められた方のみとなります。それ以外は補助対象とはなりません。</t>
  </si>
  <si>
    <t>（注1）直接人件費の補助対象者は、交付申請書または計画変更承認申請書にて対象と認められた方のみとなります。それ以外は補助対象とはなりません。</t>
  </si>
  <si>
    <t>チェックが複数の事業類型にわたる場合一番上側の類型とみなしています。チェックがないものは小規模事業者型とみなします。</t>
  </si>
  <si>
    <t>ver.4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</si>
</sst>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s>
  <fonts count="174">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4"/>
      <color indexed="8"/>
      <name val="ＭＳ Ｐゴシック"/>
      <family val="3"/>
    </font>
    <font>
      <b/>
      <sz val="18"/>
      <name val="ＭＳ ゴシック"/>
      <family val="3"/>
    </font>
    <font>
      <sz val="18"/>
      <name val="ＭＳ Ｐ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u val="single"/>
      <sz val="10"/>
      <name val="ＭＳ ゴシック"/>
      <family val="3"/>
    </font>
    <font>
      <sz val="9"/>
      <name val="HGPｺﾞｼｯｸM"/>
      <family val="3"/>
    </font>
    <font>
      <sz val="11"/>
      <name val="HGPｺﾞｼｯｸM"/>
      <family val="3"/>
    </font>
    <font>
      <b/>
      <sz val="9"/>
      <name val="ＭＳ Ｐゴシック"/>
      <family val="3"/>
    </font>
    <font>
      <sz val="9"/>
      <name val="ＭＳ Ｐゴシック"/>
      <family val="3"/>
    </font>
    <font>
      <b/>
      <sz val="9"/>
      <name val="ＭＳ ゴシック"/>
      <family val="3"/>
    </font>
    <font>
      <sz val="14"/>
      <name val="ＭＳ 明朝"/>
      <family val="1"/>
    </font>
    <font>
      <sz val="14"/>
      <name val="ＭＳ Ｐゴシック"/>
      <family val="3"/>
    </font>
    <font>
      <sz val="18"/>
      <name val="ＭＳ ゴシック"/>
      <family val="3"/>
    </font>
    <font>
      <sz val="18"/>
      <name val="ＭＳ 明朝"/>
      <family val="1"/>
    </font>
    <font>
      <b/>
      <sz val="18"/>
      <name val="ＭＳ 明朝"/>
      <family val="1"/>
    </font>
    <font>
      <sz val="16"/>
      <name val="ＭＳ ゴシック"/>
      <family val="3"/>
    </font>
    <font>
      <sz val="8"/>
      <color indexed="8"/>
      <name val="ＭＳ 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9"/>
      <color indexed="8"/>
      <name val="ＭＳ 明朝"/>
      <family val="1"/>
    </font>
    <font>
      <sz val="11"/>
      <color indexed="8"/>
      <name val="ＭＳ ゴシック"/>
      <family val="3"/>
    </font>
    <font>
      <sz val="11"/>
      <color indexed="8"/>
      <name val="ＭＳ 明朝"/>
      <family val="1"/>
    </font>
    <font>
      <sz val="10"/>
      <color indexed="8"/>
      <name val="ＭＳ ゴシック"/>
      <family val="3"/>
    </font>
    <font>
      <b/>
      <sz val="12"/>
      <color indexed="8"/>
      <name val="ＭＳ Ｐゴシック"/>
      <family val="3"/>
    </font>
    <font>
      <sz val="14"/>
      <color indexed="8"/>
      <name val="ＭＳ Ｐ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u val="single"/>
      <sz val="11"/>
      <color indexed="8"/>
      <name val="ＭＳ Ｐゴシック"/>
      <family val="3"/>
    </font>
    <font>
      <sz val="10.5"/>
      <color indexed="8"/>
      <name val="ＭＳ ゴシック"/>
      <family val="3"/>
    </font>
    <font>
      <sz val="8"/>
      <color indexed="8"/>
      <name val="ＭＳ Ｐゴシック"/>
      <family val="3"/>
    </font>
    <font>
      <sz val="10"/>
      <color indexed="8"/>
      <name val="ＭＳ 明朝"/>
      <family val="1"/>
    </font>
    <font>
      <b/>
      <sz val="10"/>
      <color indexed="8"/>
      <name val="ＭＳ Ｐゴシック"/>
      <family val="3"/>
    </font>
    <font>
      <sz val="18"/>
      <color indexed="8"/>
      <name val="ＭＳ Ｐゴシック"/>
      <family val="3"/>
    </font>
    <font>
      <sz val="12"/>
      <color indexed="8"/>
      <name val="ＭＳ Ｐゴシック"/>
      <family val="3"/>
    </font>
    <font>
      <sz val="12"/>
      <name val="ＭＳ Ｐゴシック"/>
      <family val="3"/>
    </font>
    <font>
      <sz val="11"/>
      <color indexed="53"/>
      <name val="ＭＳ Ｐゴシック"/>
      <family val="3"/>
    </font>
    <font>
      <b/>
      <sz val="18"/>
      <name val="ＭＳ Ｐゴシック"/>
      <family val="3"/>
    </font>
    <font>
      <b/>
      <sz val="14"/>
      <name val="ＭＳ Ｐゴシック"/>
      <family val="3"/>
    </font>
    <font>
      <sz val="11"/>
      <color indexed="10"/>
      <name val="ＭＳ ゴシック"/>
      <family val="3"/>
    </font>
    <font>
      <sz val="14"/>
      <color indexed="8"/>
      <name val="ＭＳ ゴシック"/>
      <family val="3"/>
    </font>
    <font>
      <b/>
      <sz val="14"/>
      <color indexed="10"/>
      <name val="ＭＳ 明朝"/>
      <family val="1"/>
    </font>
    <font>
      <b/>
      <sz val="14"/>
      <color indexed="10"/>
      <name val="ＭＳ Ｐゴシック"/>
      <family val="3"/>
    </font>
    <font>
      <sz val="14"/>
      <color indexed="63"/>
      <name val="Arial"/>
      <family val="2"/>
    </font>
    <font>
      <u val="single"/>
      <sz val="14"/>
      <color indexed="8"/>
      <name val="ＭＳ ゴシック"/>
      <family val="3"/>
    </font>
    <font>
      <b/>
      <sz val="22"/>
      <name val="ＭＳ Ｐゴシック"/>
      <family val="3"/>
    </font>
    <font>
      <b/>
      <sz val="18"/>
      <color indexed="8"/>
      <name val="ＭＳ ゴシック"/>
      <family val="3"/>
    </font>
    <font>
      <b/>
      <sz val="18"/>
      <color indexed="10"/>
      <name val="ＭＳ Ｐゴシック"/>
      <family val="3"/>
    </font>
    <font>
      <sz val="14"/>
      <color indexed="10"/>
      <name val="ＭＳ Ｐゴシック"/>
      <family val="3"/>
    </font>
    <font>
      <b/>
      <sz val="18"/>
      <color indexed="10"/>
      <name val="ＭＳ ゴシック"/>
      <family val="3"/>
    </font>
    <font>
      <b/>
      <sz val="11"/>
      <name val="ＭＳ Ｐゴシック"/>
      <family val="3"/>
    </font>
    <font>
      <sz val="14"/>
      <color indexed="8"/>
      <name val="ＭＳ 明朝"/>
      <family val="1"/>
    </font>
    <font>
      <sz val="16"/>
      <color indexed="8"/>
      <name val="ＭＳ Ｐゴシック"/>
      <family val="3"/>
    </font>
    <font>
      <u val="single"/>
      <sz val="11"/>
      <color indexed="8"/>
      <name val="ＭＳ ゴシック"/>
      <family val="3"/>
    </font>
    <font>
      <b/>
      <sz val="16"/>
      <name val="ＭＳ Ｐゴシック"/>
      <family val="3"/>
    </font>
    <font>
      <b/>
      <u val="single"/>
      <sz val="14"/>
      <color indexed="8"/>
      <name val="ＭＳ Ｐゴシック"/>
      <family val="3"/>
    </font>
    <font>
      <b/>
      <sz val="11"/>
      <color indexed="8"/>
      <name val="ＭＳ ゴシック"/>
      <family val="3"/>
    </font>
    <font>
      <b/>
      <sz val="9"/>
      <color indexed="8"/>
      <name val="ＭＳ ゴシック"/>
      <family val="3"/>
    </font>
    <font>
      <b/>
      <sz val="10"/>
      <color indexed="8"/>
      <name val="ＭＳ ゴシック"/>
      <family val="3"/>
    </font>
    <font>
      <b/>
      <sz val="8"/>
      <color indexed="3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1"/>
      <name val="Calibri"/>
      <family val="3"/>
    </font>
    <font>
      <sz val="9"/>
      <color theme="1"/>
      <name val="ＭＳ ゴシック"/>
      <family val="3"/>
    </font>
    <font>
      <sz val="10"/>
      <color theme="1"/>
      <name val="Calibri"/>
      <family val="3"/>
    </font>
    <font>
      <sz val="9"/>
      <color theme="1"/>
      <name val="ＭＳ 明朝"/>
      <family val="1"/>
    </font>
    <font>
      <sz val="11"/>
      <color theme="1"/>
      <name val="ＭＳ ゴシック"/>
      <family val="3"/>
    </font>
    <font>
      <sz val="11"/>
      <color theme="1"/>
      <name val="ＭＳ 明朝"/>
      <family val="1"/>
    </font>
    <font>
      <sz val="10"/>
      <color theme="1"/>
      <name val="ＭＳ ゴシック"/>
      <family val="3"/>
    </font>
    <font>
      <sz val="10"/>
      <name val="Calibri"/>
      <family val="3"/>
    </font>
    <font>
      <b/>
      <sz val="12"/>
      <color theme="1"/>
      <name val="Calibri"/>
      <family val="3"/>
    </font>
    <font>
      <b/>
      <sz val="14"/>
      <color theme="1"/>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u val="single"/>
      <sz val="11"/>
      <color theme="1"/>
      <name val="Calibri"/>
      <family val="3"/>
    </font>
    <font>
      <sz val="10.5"/>
      <color theme="1"/>
      <name val="ＭＳ ゴシック"/>
      <family val="3"/>
    </font>
    <font>
      <sz val="8"/>
      <color theme="1"/>
      <name val="ＭＳ Ｐゴシック"/>
      <family val="3"/>
    </font>
    <font>
      <sz val="10"/>
      <color theme="1"/>
      <name val="ＭＳ 明朝"/>
      <family val="1"/>
    </font>
    <font>
      <sz val="14"/>
      <name val="Calibri"/>
      <family val="3"/>
    </font>
    <font>
      <sz val="11"/>
      <color theme="1"/>
      <name val="ＭＳ Ｐゴシック"/>
      <family val="3"/>
    </font>
    <font>
      <sz val="11"/>
      <color rgb="FF000000"/>
      <name val="ＭＳ Ｐゴシック"/>
      <family val="3"/>
    </font>
    <font>
      <b/>
      <sz val="10"/>
      <color theme="1"/>
      <name val="Calibri"/>
      <family val="3"/>
    </font>
    <font>
      <sz val="18"/>
      <color theme="1"/>
      <name val="Calibri"/>
      <family val="3"/>
    </font>
    <font>
      <sz val="12"/>
      <color theme="1"/>
      <name val="ＭＳ Ｐゴシック"/>
      <family val="3"/>
    </font>
    <font>
      <sz val="12"/>
      <name val="Calibri"/>
      <family val="3"/>
    </font>
    <font>
      <sz val="11"/>
      <color theme="9" tint="-0.24997000396251678"/>
      <name val="Calibri"/>
      <family val="3"/>
    </font>
    <font>
      <b/>
      <sz val="18"/>
      <name val="Calibri"/>
      <family val="3"/>
    </font>
    <font>
      <b/>
      <sz val="14"/>
      <name val="Calibri"/>
      <family val="3"/>
    </font>
    <font>
      <sz val="11"/>
      <color rgb="FFFF0000"/>
      <name val="ＭＳ ゴシック"/>
      <family val="3"/>
    </font>
    <font>
      <sz val="14"/>
      <color theme="1"/>
      <name val="ＭＳ ゴシック"/>
      <family val="3"/>
    </font>
    <font>
      <b/>
      <sz val="14"/>
      <color rgb="FFFF0000"/>
      <name val="ＭＳ 明朝"/>
      <family val="1"/>
    </font>
    <font>
      <b/>
      <sz val="14"/>
      <color rgb="FFFF0000"/>
      <name val="Calibri"/>
      <family val="3"/>
    </font>
    <font>
      <sz val="14"/>
      <color rgb="FF333333"/>
      <name val="Arial"/>
      <family val="2"/>
    </font>
    <font>
      <sz val="14"/>
      <color theme="1"/>
      <name val="ＭＳ Ｐゴシック"/>
      <family val="3"/>
    </font>
    <font>
      <u val="single"/>
      <sz val="14"/>
      <color theme="1"/>
      <name val="ＭＳ ゴシック"/>
      <family val="3"/>
    </font>
    <font>
      <sz val="18"/>
      <color theme="1"/>
      <name val="ＭＳ Ｐゴシック"/>
      <family val="3"/>
    </font>
    <font>
      <sz val="18"/>
      <name val="Calibri"/>
      <family val="3"/>
    </font>
    <font>
      <b/>
      <sz val="22"/>
      <name val="Calibri"/>
      <family val="3"/>
    </font>
    <font>
      <b/>
      <sz val="18"/>
      <color theme="1"/>
      <name val="ＭＳ ゴシック"/>
      <family val="3"/>
    </font>
    <font>
      <b/>
      <sz val="18"/>
      <color rgb="FFFF0000"/>
      <name val="Calibri"/>
      <family val="3"/>
    </font>
    <font>
      <sz val="14"/>
      <color rgb="FFFF0000"/>
      <name val="Calibri"/>
      <family val="3"/>
    </font>
    <font>
      <b/>
      <sz val="18"/>
      <color rgb="FFFF0000"/>
      <name val="ＭＳ ゴシック"/>
      <family val="3"/>
    </font>
    <font>
      <b/>
      <sz val="11"/>
      <name val="Calibri"/>
      <family val="3"/>
    </font>
    <font>
      <sz val="8"/>
      <color theme="1"/>
      <name val="Calibri"/>
      <family val="3"/>
    </font>
    <font>
      <sz val="14"/>
      <color theme="1"/>
      <name val="ＭＳ 明朝"/>
      <family val="1"/>
    </font>
    <font>
      <sz val="16"/>
      <color theme="1"/>
      <name val="Calibri"/>
      <family val="3"/>
    </font>
    <font>
      <sz val="12"/>
      <color theme="1"/>
      <name val="Calibri"/>
      <family val="3"/>
    </font>
    <font>
      <u val="single"/>
      <sz val="11"/>
      <color theme="1"/>
      <name val="ＭＳ ゴシック"/>
      <family val="3"/>
    </font>
    <font>
      <b/>
      <sz val="16"/>
      <name val="Calibri"/>
      <family val="3"/>
    </font>
    <font>
      <sz val="16"/>
      <name val="Calibri"/>
      <family val="3"/>
    </font>
    <font>
      <b/>
      <u val="single"/>
      <sz val="14"/>
      <color theme="1"/>
      <name val="Calibri"/>
      <family val="3"/>
    </font>
    <font>
      <b/>
      <sz val="11"/>
      <color theme="1"/>
      <name val="ＭＳ ゴシック"/>
      <family val="3"/>
    </font>
    <font>
      <b/>
      <sz val="9"/>
      <color theme="1"/>
      <name val="ＭＳ ゴシック"/>
      <family val="3"/>
    </font>
    <font>
      <b/>
      <sz val="10"/>
      <color theme="1"/>
      <name val="ＭＳ ゴシック"/>
      <family val="3"/>
    </font>
    <font>
      <b/>
      <sz val="8"/>
      <color rgb="FF0070C0"/>
      <name val="ＭＳ ゴシック"/>
      <family val="3"/>
    </font>
    <font>
      <b/>
      <sz val="14"/>
      <color indexed="8"/>
      <name val="Calibri"/>
      <family val="3"/>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theme="1" tint="0.15000000596046448"/>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6036D8"/>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medium"/>
      <right style="thin"/>
      <top>
        <color indexed="63"/>
      </top>
      <bottom style="thin"/>
    </border>
    <border>
      <left style="medium"/>
      <right style="thin"/>
      <top style="thin"/>
      <bottom style="thin"/>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medium"/>
      <right/>
      <top/>
      <bottom style="hair"/>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thin"/>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style="thin"/>
      <bottom/>
    </border>
    <border>
      <left/>
      <right style="hair"/>
      <top/>
      <bottom/>
    </border>
    <border>
      <left/>
      <right style="thin"/>
      <top/>
      <bottom/>
    </border>
    <border>
      <left/>
      <right style="double"/>
      <top/>
      <bottom/>
    </border>
    <border>
      <left style="double"/>
      <right/>
      <top/>
      <bottom/>
    </border>
    <border>
      <left style="thin">
        <color indexed="8"/>
      </left>
      <right/>
      <top/>
      <bottom/>
    </border>
    <border>
      <left/>
      <right style="thin">
        <color indexed="8"/>
      </right>
      <top/>
      <bottom/>
    </border>
    <border>
      <left style="double"/>
      <right/>
      <top style="hair"/>
      <bottom style="hair"/>
    </border>
    <border>
      <left/>
      <right style="thin"/>
      <top style="hair"/>
      <bottom style="hair"/>
    </border>
    <border>
      <left/>
      <right>
        <color indexed="63"/>
      </right>
      <top style="hair"/>
      <bottom style="hair"/>
    </border>
    <border>
      <left style="thin">
        <color indexed="8"/>
      </left>
      <right/>
      <top style="hair"/>
      <bottom style="hair"/>
    </border>
    <border>
      <left/>
      <right style="thin">
        <color indexed="8"/>
      </right>
      <top style="hair"/>
      <bottom style="hair"/>
    </border>
    <border>
      <left/>
      <right style="hair"/>
      <top style="hair"/>
      <bottom style="hair"/>
    </border>
    <border>
      <left/>
      <right style="double"/>
      <top style="hair"/>
      <bottom style="hair"/>
    </border>
    <border>
      <left style="thin"/>
      <right/>
      <top style="hair"/>
      <bottom style="hair"/>
    </border>
    <border>
      <left/>
      <right style="hair"/>
      <top/>
      <bottom style="hair"/>
    </border>
    <border>
      <left/>
      <right style="thin"/>
      <top/>
      <bottom style="hair"/>
    </border>
    <border>
      <left/>
      <right style="double"/>
      <top/>
      <bottom style="hair"/>
    </border>
    <border>
      <left/>
      <right/>
      <top/>
      <bottom style="hair">
        <color indexed="8"/>
      </bottom>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style="hair"/>
      <top/>
      <bottom style="hair">
        <color indexed="8"/>
      </bottom>
    </border>
    <border>
      <left/>
      <right style="thin"/>
      <top/>
      <bottom style="hair">
        <color indexed="8"/>
      </bottom>
    </border>
    <border>
      <left/>
      <right style="double"/>
      <top/>
      <bottom style="hair">
        <color indexed="8"/>
      </bottom>
    </border>
    <border>
      <left/>
      <right style="thin">
        <color indexed="8"/>
      </right>
      <top/>
      <bottom style="hair">
        <color indexed="8"/>
      </bottom>
    </border>
    <border>
      <left/>
      <right style="double">
        <color indexed="8"/>
      </right>
      <top/>
      <bottom style="hair">
        <color indexed="8"/>
      </bottom>
    </border>
    <border>
      <left style="double"/>
      <right style="thin"/>
      <top/>
      <bottom style="hair">
        <color indexed="8"/>
      </bottom>
    </border>
    <border>
      <left/>
      <right style="double">
        <color indexed="8"/>
      </right>
      <top style="hair">
        <color indexed="8"/>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right style="double">
        <color indexed="8"/>
      </right>
      <top/>
      <bottom style="hair"/>
    </border>
    <border>
      <left style="double"/>
      <right style="thin"/>
      <top style="hair">
        <color indexed="8"/>
      </top>
      <bottom/>
    </border>
    <border>
      <left/>
      <right style="double">
        <color indexed="8"/>
      </right>
      <top style="hair"/>
      <bottom style="hair"/>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right style="hair"/>
      <top style="hair"/>
      <bottom style="double"/>
    </border>
    <border>
      <left/>
      <right style="double"/>
      <top style="hair"/>
      <bottom style="double"/>
    </border>
    <border>
      <left/>
      <right/>
      <top/>
      <bottom style="hair"/>
    </border>
    <border>
      <left style="thin"/>
      <right/>
      <top/>
      <bottom style="hair">
        <color indexed="8"/>
      </bottom>
    </border>
    <border>
      <left style="thin"/>
      <right/>
      <top style="hair"/>
      <bottom style="double"/>
    </border>
    <border>
      <left style="hair"/>
      <right/>
      <top/>
      <bottom style="hair">
        <color indexed="8"/>
      </bottom>
    </border>
    <border>
      <left style="hair"/>
      <right/>
      <top/>
      <bottom/>
    </border>
    <border>
      <left style="hair"/>
      <right/>
      <top style="hair"/>
      <bottom style="hair"/>
    </border>
    <border>
      <left style="hair"/>
      <right/>
      <top style="hair"/>
      <bottom style="double"/>
    </border>
    <border>
      <left style="thin"/>
      <right/>
      <top style="thin"/>
      <bottom style="thin"/>
    </border>
    <border>
      <left style="medium"/>
      <right style="thin">
        <color rgb="FF000000"/>
      </right>
      <top style="medium">
        <color rgb="FF000000"/>
      </top>
      <bottom/>
    </border>
    <border>
      <left style="medium"/>
      <right style="thin">
        <color rgb="FF000000"/>
      </right>
      <top/>
      <bottom/>
    </border>
    <border>
      <left style="thin"/>
      <right style="thin"/>
      <top style="medium"/>
      <bottom style="thin"/>
    </border>
    <border>
      <left style="medium"/>
      <right/>
      <top style="medium"/>
      <bottom style="medium"/>
    </border>
    <border>
      <left>
        <color indexed="63"/>
      </left>
      <right style="medium"/>
      <top style="medium"/>
      <bottom style="medium"/>
    </border>
    <border>
      <left style="thin"/>
      <right style="thin"/>
      <top style="thin"/>
      <bottom style="medium"/>
    </border>
    <border>
      <left/>
      <right/>
      <top style="thin"/>
      <bottom style="thin"/>
    </border>
    <border>
      <left style="medium"/>
      <right style="medium"/>
      <top style="thin"/>
      <bottom style="thin"/>
    </border>
    <border>
      <left style="medium"/>
      <right style="medium"/>
      <top/>
      <bottom style="thin"/>
    </border>
    <border>
      <left>
        <color indexed="63"/>
      </left>
      <right style="medium"/>
      <top/>
      <bottom style="thin"/>
    </border>
    <border>
      <left style="thin"/>
      <right style="thin"/>
      <top/>
      <bottom style="medium"/>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thin"/>
    </border>
    <border>
      <left style="medium"/>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right style="thin"/>
      <top style="thin"/>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style="thin"/>
    </border>
    <border>
      <left/>
      <right/>
      <top/>
      <bottom style="thin"/>
    </border>
    <border>
      <left/>
      <right style="thin"/>
      <top/>
      <bottom style="thin"/>
    </border>
    <border diagonalUp="1">
      <left>
        <color indexed="63"/>
      </left>
      <right style="thin"/>
      <top style="thin"/>
      <bottom style="thin"/>
      <diagonal style="thin"/>
    </border>
    <border diagonalUp="1">
      <left style="thin"/>
      <right style="thin"/>
      <top style="thin"/>
      <bottom style="thin"/>
      <diagonal style="thin"/>
    </border>
    <border>
      <left style="medium"/>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style="thin"/>
      <right/>
      <top style="medium"/>
      <bottom/>
    </border>
    <border>
      <left style="thin"/>
      <right/>
      <top style="thin"/>
      <bottom style="medium"/>
    </border>
    <border>
      <left style="thin"/>
      <right/>
      <top/>
      <bottom style="medium"/>
    </border>
    <border>
      <left>
        <color indexed="63"/>
      </left>
      <right style="thin"/>
      <top style="medium"/>
      <bottom style="medium"/>
    </border>
    <border>
      <left/>
      <right style="thin"/>
      <top style="medium"/>
      <bottom style="thin"/>
    </border>
    <border>
      <left>
        <color indexed="63"/>
      </left>
      <right style="thin"/>
      <top style="thin"/>
      <bottom style="medium"/>
    </border>
    <border>
      <left/>
      <right/>
      <top style="medium"/>
      <botto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left style="thin">
        <color rgb="FF000000"/>
      </left>
      <right style="medium"/>
      <top/>
      <bottom style="medium"/>
    </border>
    <border>
      <left>
        <color indexed="63"/>
      </left>
      <right style="medium"/>
      <top style="thin"/>
      <bottom style="thin"/>
    </border>
    <border>
      <left/>
      <right/>
      <top style="medium"/>
      <bottom style="medium"/>
    </border>
    <border>
      <left/>
      <right style="medium"/>
      <top style="medium"/>
      <bottom style="thin"/>
    </border>
    <border>
      <left style="medium"/>
      <right/>
      <top style="medium">
        <color rgb="FF000000"/>
      </top>
      <bottom style="thin"/>
    </border>
    <border>
      <left style="medium"/>
      <right/>
      <top>
        <color indexed="63"/>
      </top>
      <bottom style="thin"/>
    </border>
    <border>
      <left/>
      <right/>
      <top style="thin"/>
      <bottom style="medium"/>
    </border>
    <border>
      <left style="medium"/>
      <right/>
      <top/>
      <bottom style="medium"/>
    </border>
    <border>
      <left/>
      <right/>
      <top/>
      <bottom style="medium"/>
    </border>
    <border>
      <left style="medium">
        <color rgb="FF000000"/>
      </left>
      <right/>
      <top/>
      <bottom style="medium">
        <color rgb="FF000000"/>
      </bottom>
    </border>
    <border>
      <left/>
      <right/>
      <top/>
      <bottom style="medium">
        <color rgb="FF000000"/>
      </bottom>
    </border>
    <border>
      <left style="medium"/>
      <right/>
      <top/>
      <bottom/>
    </border>
    <border>
      <left>
        <color indexed="63"/>
      </left>
      <right style="medium"/>
      <top>
        <color indexed="63"/>
      </top>
      <bottom>
        <color indexed="63"/>
      </bottom>
    </border>
    <border>
      <left style="thin"/>
      <right>
        <color indexed="63"/>
      </right>
      <top style="medium"/>
      <bottom style="medium"/>
    </border>
    <border>
      <left>
        <color indexed="63"/>
      </left>
      <right style="medium"/>
      <top>
        <color indexed="63"/>
      </top>
      <bottom style="medium"/>
    </border>
    <border>
      <left style="medium"/>
      <right style="thin"/>
      <top/>
      <bottom style="medium"/>
    </border>
    <border>
      <left style="medium"/>
      <right style="thin"/>
      <top style="medium"/>
      <bottom style="medium"/>
    </border>
    <border>
      <left/>
      <right>
        <color indexed="63"/>
      </right>
      <top style="medium"/>
      <bottom style="thin"/>
    </border>
    <border>
      <left>
        <color indexed="63"/>
      </left>
      <right style="medium"/>
      <top style="thin"/>
      <bottom style="medium"/>
    </border>
    <border>
      <left style="medium"/>
      <right style="medium"/>
      <top style="thin"/>
      <bottom style="medium"/>
    </border>
    <border>
      <left style="thin"/>
      <right style="thin"/>
      <top/>
      <bottom/>
    </border>
    <border>
      <left style="medium"/>
      <right>
        <color indexed="63"/>
      </right>
      <top style="medium"/>
      <bottom>
        <color indexed="63"/>
      </bottom>
    </border>
    <border>
      <left style="medium"/>
      <right>
        <color indexed="63"/>
      </right>
      <top style="thin"/>
      <bottom/>
    </border>
    <border>
      <left/>
      <right style="medium"/>
      <top style="thin"/>
      <bottom/>
    </border>
    <border>
      <left/>
      <right style="thin"/>
      <top/>
      <bottom style="medium"/>
    </border>
    <border>
      <left>
        <color indexed="63"/>
      </left>
      <right style="medium"/>
      <top style="medium"/>
      <bottom>
        <color indexed="63"/>
      </bottom>
    </border>
    <border>
      <left>
        <color indexed="63"/>
      </left>
      <right style="thin">
        <color rgb="FF000000"/>
      </right>
      <top style="medium">
        <color rgb="FF000000"/>
      </top>
      <bottom/>
    </border>
    <border>
      <left/>
      <right style="thin">
        <color rgb="FF000000"/>
      </right>
      <top/>
      <bottom/>
    </border>
    <border diagonalUp="1">
      <left>
        <color indexed="63"/>
      </left>
      <right style="thin">
        <color rgb="FF000000"/>
      </right>
      <top>
        <color indexed="63"/>
      </top>
      <bottom style="medium"/>
      <diagonal style="thin">
        <color rgb="FF000000"/>
      </diagonal>
    </border>
    <border>
      <left/>
      <right style="medium"/>
      <top style="medium">
        <color rgb="FF000000"/>
      </top>
      <bottom/>
    </border>
    <border>
      <left style="thin"/>
      <right style="medium"/>
      <top/>
      <bottom style="thin"/>
    </border>
    <border>
      <left style="thin"/>
      <right style="medium"/>
      <top style="medium"/>
      <bottom/>
    </border>
    <border>
      <left style="thin"/>
      <right style="medium"/>
      <top/>
      <bottom style="medium"/>
    </border>
    <border>
      <left style="thin"/>
      <right style="medium"/>
      <top style="thin"/>
      <bottom/>
    </border>
    <border>
      <left style="thin">
        <color rgb="FF000000"/>
      </left>
      <right>
        <color indexed="63"/>
      </right>
      <top style="medium">
        <color rgb="FF000000"/>
      </top>
      <bottom/>
    </border>
    <border>
      <left style="thin">
        <color rgb="FF000000"/>
      </left>
      <right/>
      <top/>
      <bottom/>
    </border>
    <border>
      <left style="thin">
        <color rgb="FF000000"/>
      </left>
      <right>
        <color indexed="63"/>
      </right>
      <top/>
      <bottom style="medium"/>
    </border>
    <border>
      <left style="medium">
        <color rgb="FF000000"/>
      </left>
      <right style="medium">
        <color rgb="FF000000"/>
      </right>
      <top/>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color rgb="FF000000"/>
      </left>
      <right>
        <color indexed="63"/>
      </right>
      <top style="medium"/>
      <bottom/>
    </border>
    <border>
      <left>
        <color indexed="63"/>
      </left>
      <right style="thin">
        <color rgb="FF000000"/>
      </right>
      <top style="medium"/>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style="hair"/>
      <bottom style="hair"/>
    </border>
    <border>
      <left style="thin">
        <color indexed="8"/>
      </left>
      <right style="thin">
        <color indexed="8"/>
      </right>
      <top/>
      <bottom style="hair">
        <color indexed="8"/>
      </bottom>
    </border>
    <border>
      <left/>
      <right style="thin">
        <color indexed="8"/>
      </right>
      <top style="hair"/>
      <bottom style="double"/>
    </border>
    <border>
      <left style="thin"/>
      <right style="hair"/>
      <top/>
      <bottom/>
    </border>
    <border>
      <left style="thin"/>
      <right style="hair"/>
      <top style="hair"/>
      <bottom style="hair"/>
    </border>
    <border>
      <left style="thin"/>
      <right style="hair"/>
      <top/>
      <bottom style="hair">
        <color indexed="8"/>
      </bottom>
    </border>
    <border>
      <left style="thin"/>
      <right style="hair"/>
      <top style="hair"/>
      <bottom style="double"/>
    </border>
    <border>
      <left style="thin"/>
      <right style="hair"/>
      <top style="thin"/>
      <bottom/>
    </border>
    <border>
      <left style="double"/>
      <right style="hair"/>
      <top>
        <color indexed="63"/>
      </top>
      <bottom>
        <color indexed="63"/>
      </bottom>
    </border>
    <border>
      <left style="double"/>
      <right style="hair"/>
      <top/>
      <bottom style="hair"/>
    </border>
    <border>
      <left style="double"/>
      <right style="hair"/>
      <top style="hair"/>
      <bottom style="hair"/>
    </border>
    <border>
      <left style="double"/>
      <right style="hair"/>
      <top style="hair"/>
      <bottom style="double"/>
    </border>
    <border>
      <left style="thin"/>
      <right style="hair"/>
      <top/>
      <bottom style="hair"/>
    </border>
    <border>
      <left style="medium"/>
      <right/>
      <top style="hair"/>
      <bottom style="hair"/>
    </border>
    <border>
      <left style="medium"/>
      <right/>
      <top style="hair"/>
      <bottom>
        <color indexed="63"/>
      </bottom>
    </border>
    <border>
      <left/>
      <right style="thin"/>
      <top style="medium"/>
      <bottom/>
    </border>
    <border>
      <left style="medium"/>
      <right style="thin"/>
      <top style="medium"/>
      <bottom>
        <color indexed="63"/>
      </bottom>
    </border>
    <border>
      <left style="thin"/>
      <right style="medium"/>
      <top/>
      <bottom>
        <color indexed="63"/>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border>
    <border>
      <left style="medium">
        <color rgb="FF000000"/>
      </left>
      <right/>
      <top style="medium">
        <color rgb="FF000000"/>
      </top>
      <bottom/>
    </border>
    <border>
      <left style="medium">
        <color rgb="FF000000"/>
      </left>
      <right/>
      <top/>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right style="medium">
        <color rgb="FF000000"/>
      </right>
      <top style="medium"/>
      <bottom>
        <color indexed="63"/>
      </bottom>
    </border>
    <border>
      <left/>
      <right style="medium"/>
      <top style="medium"/>
      <bottom style="medium">
        <color rgb="FF000000"/>
      </bottom>
    </border>
    <border>
      <left style="medium">
        <color rgb="FF000000"/>
      </left>
      <right/>
      <top style="medium"/>
      <bottom>
        <color indexed="63"/>
      </bottom>
    </border>
    <border>
      <left/>
      <right style="medium"/>
      <top style="hair"/>
      <bottom style="hair"/>
    </border>
    <border>
      <left style="medium"/>
      <right/>
      <top style="hair"/>
      <bottom style="medium"/>
    </border>
    <border>
      <left/>
      <right style="medium"/>
      <top style="hair"/>
      <bottom style="medium"/>
    </border>
    <border>
      <left/>
      <right style="medium"/>
      <top/>
      <bottom style="hair"/>
    </border>
    <border>
      <left/>
      <right/>
      <top style="double"/>
      <bottom/>
    </border>
    <border>
      <left/>
      <right style="hair"/>
      <top/>
      <bottom style="thin"/>
    </border>
    <border>
      <left style="hair"/>
      <right/>
      <top/>
      <bottom style="thin"/>
    </border>
    <border>
      <left/>
      <right style="double"/>
      <top/>
      <bottom style="thin"/>
    </border>
    <border>
      <left style="thin"/>
      <right/>
      <top style="hair"/>
      <bottom/>
    </border>
    <border>
      <left/>
      <right/>
      <top style="hair"/>
      <bottom/>
    </border>
    <border>
      <left/>
      <right style="thin"/>
      <top style="hair"/>
      <bottom/>
    </border>
    <border>
      <left/>
      <right style="double"/>
      <top style="hair"/>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right/>
      <top/>
      <bottom style="double"/>
    </border>
    <border>
      <left style="double"/>
      <right/>
      <top style="double"/>
      <bottom/>
    </border>
    <border>
      <left/>
      <right style="thin"/>
      <top style="double"/>
      <bottom/>
    </border>
    <border>
      <left style="thin">
        <color indexed="8"/>
      </left>
      <right/>
      <top style="double"/>
      <bottom style="thin"/>
    </border>
    <border>
      <left/>
      <right/>
      <top style="double"/>
      <bottom style="thin"/>
    </border>
    <border>
      <left/>
      <right style="double"/>
      <top style="double"/>
      <bottom style="thin"/>
    </border>
    <border>
      <left/>
      <right style="thin">
        <color indexed="8"/>
      </right>
      <top/>
      <bottom style="thin"/>
    </border>
    <border>
      <left style="double"/>
      <right/>
      <top style="thin"/>
      <bottom/>
    </border>
    <border>
      <left style="double"/>
      <right/>
      <top/>
      <bottom style="thin"/>
    </border>
    <border>
      <left style="double"/>
      <right style="hair"/>
      <top style="thin"/>
      <bottom/>
    </border>
    <border>
      <left style="double"/>
      <right style="hair"/>
      <top/>
      <bottom style="thin"/>
    </border>
    <border>
      <left style="thin"/>
      <right style="hair"/>
      <top/>
      <bottom style="thin"/>
    </border>
    <border>
      <left style="thin"/>
      <right/>
      <top style="double"/>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1"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3" fillId="0" borderId="0" applyNumberFormat="0" applyFill="0" applyBorder="0" applyAlignment="0" applyProtection="0"/>
    <xf numFmtId="0" fontId="114" fillId="32" borderId="0" applyNumberFormat="0" applyBorder="0" applyAlignment="0" applyProtection="0"/>
  </cellStyleXfs>
  <cellXfs count="1609">
    <xf numFmtId="0" fontId="0" fillId="0" borderId="0" xfId="0" applyFont="1" applyAlignment="1">
      <alignment vertical="center"/>
    </xf>
    <xf numFmtId="0" fontId="115" fillId="0" borderId="0" xfId="0" applyFont="1" applyAlignment="1" applyProtection="1">
      <alignment vertical="center"/>
      <protection locked="0"/>
    </xf>
    <xf numFmtId="0" fontId="116"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117" fillId="0" borderId="0" xfId="0" applyFont="1" applyAlignment="1" applyProtection="1">
      <alignment horizontal="center" vertical="center"/>
      <protection locked="0"/>
    </xf>
    <xf numFmtId="0" fontId="117" fillId="0" borderId="0" xfId="0" applyFont="1" applyAlignment="1" applyProtection="1">
      <alignment horizontal="left" vertical="center" shrinkToFit="1"/>
      <protection locked="0"/>
    </xf>
    <xf numFmtId="0" fontId="117"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118" fillId="0" borderId="0" xfId="0" applyFont="1" applyAlignment="1" applyProtection="1">
      <alignment horizontal="right" vertical="center"/>
      <protection locked="0"/>
    </xf>
    <xf numFmtId="0" fontId="118" fillId="0" borderId="0" xfId="0" applyFont="1" applyAlignment="1" applyProtection="1">
      <alignment horizontal="left" vertical="center"/>
      <protection locked="0"/>
    </xf>
    <xf numFmtId="0" fontId="118" fillId="0" borderId="0" xfId="0" applyFont="1" applyAlignment="1" applyProtection="1">
      <alignment vertical="center"/>
      <protection locked="0"/>
    </xf>
    <xf numFmtId="0" fontId="117" fillId="0" borderId="10" xfId="0" applyFont="1" applyBorder="1" applyAlignment="1" applyProtection="1">
      <alignment horizontal="center" vertical="top" shrinkToFit="1"/>
      <protection locked="0"/>
    </xf>
    <xf numFmtId="0" fontId="117" fillId="0" borderId="10" xfId="0" applyFont="1" applyBorder="1" applyAlignment="1" applyProtection="1">
      <alignment horizontal="center" vertical="top" wrapText="1"/>
      <protection locked="0"/>
    </xf>
    <xf numFmtId="0" fontId="117" fillId="0" borderId="11" xfId="0" applyFont="1" applyBorder="1" applyAlignment="1" applyProtection="1">
      <alignment horizontal="right" vertical="center" wrapText="1"/>
      <protection locked="0"/>
    </xf>
    <xf numFmtId="0" fontId="117" fillId="0" borderId="12" xfId="0" applyFont="1" applyBorder="1" applyAlignment="1" applyProtection="1">
      <alignment horizontal="right" vertical="center" wrapText="1"/>
      <protection locked="0"/>
    </xf>
    <xf numFmtId="0" fontId="0" fillId="33" borderId="0" xfId="0" applyFill="1" applyAlignment="1" applyProtection="1">
      <alignment vertical="center"/>
      <protection locked="0"/>
    </xf>
    <xf numFmtId="0" fontId="119" fillId="0" borderId="13" xfId="0" applyFont="1" applyBorder="1" applyAlignment="1" applyProtection="1">
      <alignment horizontal="left" vertical="center" wrapText="1"/>
      <protection locked="0"/>
    </xf>
    <xf numFmtId="178" fontId="119" fillId="33" borderId="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xf>
    <xf numFmtId="0" fontId="10" fillId="0" borderId="13"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xf>
    <xf numFmtId="0" fontId="0" fillId="0" borderId="0" xfId="0" applyFont="1" applyAlignment="1" applyProtection="1">
      <alignment horizontal="left" vertical="center"/>
      <protection locked="0"/>
    </xf>
    <xf numFmtId="0" fontId="120" fillId="0" borderId="10" xfId="0" applyFont="1" applyBorder="1" applyAlignment="1" applyProtection="1">
      <alignment horizontal="center" vertical="top" wrapText="1"/>
      <protection locked="0"/>
    </xf>
    <xf numFmtId="176" fontId="121" fillId="0" borderId="14" xfId="0" applyNumberFormat="1" applyFont="1" applyBorder="1" applyAlignment="1" applyProtection="1">
      <alignment horizontal="right" vertical="center" wrapText="1"/>
      <protection/>
    </xf>
    <xf numFmtId="178" fontId="121" fillId="33" borderId="15" xfId="0" applyNumberFormat="1" applyFont="1" applyFill="1" applyBorder="1" applyAlignment="1" applyProtection="1">
      <alignment horizontal="right" vertical="center" wrapText="1"/>
      <protection/>
    </xf>
    <xf numFmtId="0" fontId="122" fillId="0" borderId="11" xfId="0" applyFont="1" applyBorder="1" applyAlignment="1" applyProtection="1">
      <alignment horizontal="right" vertical="center" wrapText="1"/>
      <protection locked="0"/>
    </xf>
    <xf numFmtId="0" fontId="122" fillId="0" borderId="12" xfId="0" applyFont="1" applyBorder="1" applyAlignment="1" applyProtection="1">
      <alignment horizontal="right" vertical="center" wrapText="1"/>
      <protection locked="0"/>
    </xf>
    <xf numFmtId="178" fontId="119" fillId="33" borderId="0"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123"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78" fontId="121" fillId="33" borderId="16" xfId="0" applyNumberFormat="1" applyFont="1" applyFill="1" applyBorder="1" applyAlignment="1" applyProtection="1">
      <alignment horizontal="right" vertical="center" wrapText="1"/>
      <protection/>
    </xf>
    <xf numFmtId="0" fontId="124" fillId="0" borderId="0" xfId="0" applyFont="1" applyAlignment="1" applyProtection="1">
      <alignment vertical="center"/>
      <protection locked="0"/>
    </xf>
    <xf numFmtId="0" fontId="125" fillId="0" borderId="0" xfId="0" applyFont="1" applyAlignment="1" applyProtection="1">
      <alignment vertical="center"/>
      <protection locked="0"/>
    </xf>
    <xf numFmtId="0" fontId="126" fillId="0" borderId="0" xfId="0" applyFont="1" applyAlignment="1" applyProtection="1">
      <alignment vertical="center"/>
      <protection locked="0"/>
    </xf>
    <xf numFmtId="0" fontId="0" fillId="0" borderId="0" xfId="0" applyAlignment="1" applyProtection="1">
      <alignment vertical="center"/>
      <protection locked="0"/>
    </xf>
    <xf numFmtId="0" fontId="127" fillId="0" borderId="17" xfId="0" applyFont="1" applyBorder="1" applyAlignment="1" applyProtection="1">
      <alignment horizontal="center"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horizontal="center" vertical="center"/>
      <protection locked="0"/>
    </xf>
    <xf numFmtId="0" fontId="127" fillId="0" borderId="0" xfId="0" applyFont="1" applyBorder="1" applyAlignment="1" applyProtection="1">
      <alignment horizontal="center" vertical="center"/>
      <protection locked="0"/>
    </xf>
    <xf numFmtId="0" fontId="126" fillId="0" borderId="0" xfId="0" applyFont="1" applyBorder="1" applyAlignment="1" applyProtection="1">
      <alignment vertical="center"/>
      <protection locked="0"/>
    </xf>
    <xf numFmtId="0" fontId="128"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38" fontId="0" fillId="0" borderId="0" xfId="50" applyFont="1" applyFill="1" applyBorder="1" applyAlignment="1" applyProtection="1">
      <alignment horizontal="right" vertical="center"/>
      <protection locked="0"/>
    </xf>
    <xf numFmtId="0" fontId="124"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right" vertical="center"/>
      <protection locked="0"/>
    </xf>
    <xf numFmtId="0" fontId="126" fillId="33" borderId="0" xfId="0" applyFont="1" applyFill="1" applyAlignment="1" applyProtection="1">
      <alignment vertical="center"/>
      <protection locked="0"/>
    </xf>
    <xf numFmtId="0" fontId="129" fillId="33" borderId="0" xfId="0" applyFont="1" applyFill="1" applyAlignment="1" applyProtection="1">
      <alignment horizontal="center" vertical="center"/>
      <protection locked="0"/>
    </xf>
    <xf numFmtId="0" fontId="130" fillId="33" borderId="0" xfId="0" applyFont="1" applyFill="1" applyAlignment="1" applyProtection="1">
      <alignment horizontal="left" vertical="center"/>
      <protection locked="0"/>
    </xf>
    <xf numFmtId="0" fontId="130" fillId="33" borderId="0" xfId="0" applyFont="1" applyFill="1" applyAlignment="1" applyProtection="1">
      <alignment horizontal="center" vertical="center"/>
      <protection locked="0"/>
    </xf>
    <xf numFmtId="0" fontId="131" fillId="33" borderId="0" xfId="0" applyFont="1" applyFill="1" applyAlignment="1" applyProtection="1">
      <alignment vertical="center"/>
      <protection locked="0"/>
    </xf>
    <xf numFmtId="0" fontId="132" fillId="33" borderId="0" xfId="0" applyFont="1" applyFill="1" applyAlignment="1" applyProtection="1">
      <alignment horizontal="justify" vertical="center"/>
      <protection locked="0"/>
    </xf>
    <xf numFmtId="0" fontId="118"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17" fillId="33" borderId="18" xfId="0" applyFont="1" applyFill="1" applyBorder="1" applyAlignment="1" applyProtection="1">
      <alignment horizontal="justify" vertical="center" wrapText="1"/>
      <protection locked="0"/>
    </xf>
    <xf numFmtId="0" fontId="117" fillId="33" borderId="19" xfId="0" applyFont="1" applyFill="1" applyBorder="1" applyAlignment="1" applyProtection="1">
      <alignment horizontal="justify" vertical="center" wrapText="1"/>
      <protection locked="0"/>
    </xf>
    <xf numFmtId="0" fontId="117" fillId="33" borderId="20" xfId="0" applyFont="1" applyFill="1" applyBorder="1" applyAlignment="1" applyProtection="1">
      <alignment horizontal="center" vertical="center" wrapText="1"/>
      <protection locked="0"/>
    </xf>
    <xf numFmtId="0" fontId="117" fillId="33" borderId="21" xfId="0" applyFont="1" applyFill="1" applyBorder="1" applyAlignment="1" applyProtection="1">
      <alignment horizontal="center" vertical="center" wrapText="1"/>
      <protection locked="0"/>
    </xf>
    <xf numFmtId="0" fontId="117" fillId="33" borderId="22" xfId="0" applyFont="1" applyFill="1" applyBorder="1" applyAlignment="1" applyProtection="1">
      <alignment horizontal="center" vertical="center" wrapText="1"/>
      <protection locked="0"/>
    </xf>
    <xf numFmtId="0" fontId="117" fillId="33" borderId="23"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justify" vertical="center" wrapText="1"/>
      <protection locked="0"/>
    </xf>
    <xf numFmtId="0" fontId="117" fillId="33" borderId="24" xfId="0" applyFont="1" applyFill="1" applyBorder="1" applyAlignment="1" applyProtection="1">
      <alignment horizontal="justify" vertical="center" wrapText="1"/>
      <protection locked="0"/>
    </xf>
    <xf numFmtId="0" fontId="117" fillId="33" borderId="25" xfId="0" applyFont="1" applyFill="1" applyBorder="1" applyAlignment="1" applyProtection="1">
      <alignment horizontal="center" vertical="center" wrapText="1"/>
      <protection locked="0"/>
    </xf>
    <xf numFmtId="0" fontId="117" fillId="33" borderId="26" xfId="0" applyFont="1" applyFill="1" applyBorder="1" applyAlignment="1" applyProtection="1">
      <alignment horizontal="center" vertical="center" wrapText="1"/>
      <protection locked="0"/>
    </xf>
    <xf numFmtId="0" fontId="117" fillId="33" borderId="27" xfId="0" applyFont="1" applyFill="1" applyBorder="1" applyAlignment="1" applyProtection="1">
      <alignment horizontal="center" vertical="center" wrapText="1"/>
      <protection locked="0"/>
    </xf>
    <xf numFmtId="0" fontId="117" fillId="33" borderId="28" xfId="0" applyFont="1" applyFill="1" applyBorder="1" applyAlignment="1" applyProtection="1">
      <alignment horizontal="center" vertical="center" wrapText="1"/>
      <protection locked="0"/>
    </xf>
    <xf numFmtId="0" fontId="133" fillId="33" borderId="0" xfId="0" applyFont="1" applyFill="1" applyAlignment="1" applyProtection="1">
      <alignment horizontal="justify" vertical="center"/>
      <protection locked="0"/>
    </xf>
    <xf numFmtId="0" fontId="122" fillId="33" borderId="0" xfId="0" applyFont="1" applyFill="1" applyAlignment="1" applyProtection="1">
      <alignment horizontal="justify" vertical="center"/>
      <protection locked="0"/>
    </xf>
    <xf numFmtId="0" fontId="117" fillId="33" borderId="0" xfId="0" applyFont="1" applyFill="1" applyBorder="1" applyAlignment="1" applyProtection="1">
      <alignment horizontal="center" vertical="center" wrapText="1"/>
      <protection locked="0"/>
    </xf>
    <xf numFmtId="176" fontId="119" fillId="33" borderId="0" xfId="0" applyNumberFormat="1" applyFont="1" applyFill="1" applyBorder="1" applyAlignment="1" applyProtection="1">
      <alignment vertical="center" wrapText="1"/>
      <protection locked="0"/>
    </xf>
    <xf numFmtId="0" fontId="119" fillId="33" borderId="0" xfId="0" applyFont="1" applyFill="1" applyBorder="1" applyAlignment="1" applyProtection="1">
      <alignment vertical="center" wrapText="1"/>
      <protection locked="0"/>
    </xf>
    <xf numFmtId="0" fontId="116"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116" fillId="33" borderId="0" xfId="0" applyFont="1" applyFill="1" applyAlignment="1" applyProtection="1">
      <alignment horizontal="right" vertical="center"/>
      <protection locked="0"/>
    </xf>
    <xf numFmtId="0" fontId="7" fillId="33" borderId="13" xfId="0" applyFont="1" applyFill="1" applyBorder="1" applyAlignment="1" applyProtection="1">
      <alignment horizontal="center" vertical="center"/>
      <protection locked="0"/>
    </xf>
    <xf numFmtId="0" fontId="7" fillId="33" borderId="13" xfId="0" applyFont="1" applyFill="1" applyBorder="1" applyAlignment="1" applyProtection="1">
      <alignment horizontal="left" vertical="center"/>
      <protection locked="0"/>
    </xf>
    <xf numFmtId="58" fontId="7" fillId="33" borderId="13"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6" fillId="0" borderId="13" xfId="0" applyFont="1" applyBorder="1" applyAlignment="1" applyProtection="1">
      <alignment horizontal="center" vertical="center"/>
      <protection locked="0"/>
    </xf>
    <xf numFmtId="0" fontId="116"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16" fillId="0" borderId="13" xfId="0" applyFont="1" applyBorder="1" applyAlignment="1" applyProtection="1">
      <alignment horizontal="center" vertical="top" wrapText="1"/>
      <protection locked="0"/>
    </xf>
    <xf numFmtId="0" fontId="123" fillId="33" borderId="0" xfId="0" applyFont="1" applyFill="1" applyAlignment="1" applyProtection="1">
      <alignmen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117" fillId="0" borderId="0" xfId="0" applyFont="1" applyBorder="1" applyAlignment="1" applyProtection="1">
      <alignment horizontal="center" vertical="top" wrapText="1"/>
      <protection locked="0"/>
    </xf>
    <xf numFmtId="0" fontId="117" fillId="0" borderId="0" xfId="0" applyFont="1" applyBorder="1" applyAlignment="1" applyProtection="1">
      <alignment horizontal="center" vertical="center" wrapText="1"/>
      <protection locked="0"/>
    </xf>
    <xf numFmtId="176" fontId="119" fillId="0" borderId="0" xfId="0" applyNumberFormat="1" applyFont="1" applyBorder="1" applyAlignment="1" applyProtection="1">
      <alignment horizontal="right" vertical="center" wrapText="1"/>
      <protection locked="0"/>
    </xf>
    <xf numFmtId="178" fontId="134" fillId="33" borderId="15" xfId="0" applyNumberFormat="1" applyFont="1" applyFill="1" applyBorder="1" applyAlignment="1" applyProtection="1">
      <alignment horizontal="right" vertical="center" wrapText="1"/>
      <protection/>
    </xf>
    <xf numFmtId="178" fontId="134" fillId="33" borderId="16" xfId="0" applyNumberFormat="1" applyFont="1" applyFill="1" applyBorder="1" applyAlignment="1" applyProtection="1">
      <alignment horizontal="right" vertical="center" wrapText="1"/>
      <protection/>
    </xf>
    <xf numFmtId="0" fontId="118"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125" fillId="0" borderId="0" xfId="0" applyFont="1" applyAlignment="1" applyProtection="1">
      <alignment vertical="center"/>
      <protection locked="0"/>
    </xf>
    <xf numFmtId="0" fontId="126" fillId="0" borderId="0" xfId="0" applyFont="1" applyAlignment="1" applyProtection="1">
      <alignment vertical="center"/>
      <protection locked="0"/>
    </xf>
    <xf numFmtId="187" fontId="126" fillId="0" borderId="0" xfId="0" applyNumberFormat="1" applyFont="1" applyAlignment="1" applyProtection="1">
      <alignment horizontal="left" vertical="center"/>
      <protection locked="0"/>
    </xf>
    <xf numFmtId="0" fontId="126" fillId="0" borderId="30" xfId="0" applyFont="1" applyBorder="1" applyAlignment="1" applyProtection="1">
      <alignment vertical="center"/>
      <protection locked="0"/>
    </xf>
    <xf numFmtId="0" fontId="126" fillId="0" borderId="31" xfId="0" applyFont="1" applyBorder="1" applyAlignment="1" applyProtection="1">
      <alignment vertical="center"/>
      <protection locked="0"/>
    </xf>
    <xf numFmtId="0" fontId="126" fillId="0" borderId="32" xfId="0" applyFont="1" applyBorder="1" applyAlignment="1" applyProtection="1">
      <alignment vertical="center"/>
      <protection locked="0"/>
    </xf>
    <xf numFmtId="0" fontId="126" fillId="0" borderId="0" xfId="0" applyFont="1" applyBorder="1" applyAlignment="1" applyProtection="1">
      <alignment vertical="center"/>
      <protection locked="0"/>
    </xf>
    <xf numFmtId="0" fontId="126" fillId="0" borderId="14" xfId="0" applyFont="1" applyBorder="1" applyAlignment="1" applyProtection="1">
      <alignment vertical="center"/>
      <protection/>
    </xf>
    <xf numFmtId="0" fontId="126"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35" fillId="0" borderId="0" xfId="0" applyFont="1" applyAlignment="1" applyProtection="1">
      <alignment vertical="center"/>
      <protection locked="0"/>
    </xf>
    <xf numFmtId="20" fontId="135" fillId="0" borderId="33" xfId="0" applyNumberFormat="1" applyFont="1" applyBorder="1" applyAlignment="1" applyProtection="1">
      <alignment vertical="center"/>
      <protection locked="0"/>
    </xf>
    <xf numFmtId="0" fontId="135" fillId="0" borderId="0" xfId="0" applyFont="1" applyBorder="1" applyAlignment="1" applyProtection="1">
      <alignment horizontal="center" vertical="center"/>
      <protection locked="0"/>
    </xf>
    <xf numFmtId="20" fontId="135" fillId="0" borderId="33"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xf>
    <xf numFmtId="0" fontId="116" fillId="0" borderId="0" xfId="0" applyFont="1" applyAlignment="1" applyProtection="1">
      <alignment horizontal="center" vertical="center"/>
      <protection locked="0"/>
    </xf>
    <xf numFmtId="20" fontId="135" fillId="0" borderId="30" xfId="0" applyNumberFormat="1" applyFont="1" applyBorder="1" applyAlignment="1" applyProtection="1">
      <alignment vertical="center"/>
      <protection locked="0"/>
    </xf>
    <xf numFmtId="20" fontId="116" fillId="0" borderId="0" xfId="0" applyNumberFormat="1" applyFont="1" applyAlignment="1" applyProtection="1">
      <alignment vertical="center"/>
      <protection/>
    </xf>
    <xf numFmtId="20" fontId="135" fillId="0" borderId="31" xfId="0" applyNumberFormat="1" applyFont="1" applyBorder="1" applyAlignment="1" applyProtection="1">
      <alignment vertical="center"/>
      <protection locked="0"/>
    </xf>
    <xf numFmtId="20" fontId="135" fillId="0" borderId="32" xfId="0" applyNumberFormat="1" applyFont="1" applyBorder="1" applyAlignment="1" applyProtection="1">
      <alignment vertical="center"/>
      <protection locked="0"/>
    </xf>
    <xf numFmtId="20" fontId="135" fillId="0" borderId="0" xfId="0" applyNumberFormat="1" applyFont="1" applyAlignment="1" applyProtection="1">
      <alignment vertical="center"/>
      <protection locked="0"/>
    </xf>
    <xf numFmtId="0" fontId="135" fillId="0" borderId="0" xfId="0" applyFont="1" applyBorder="1" applyAlignment="1" applyProtection="1">
      <alignment vertical="center"/>
      <protection locked="0"/>
    </xf>
    <xf numFmtId="0" fontId="126" fillId="0" borderId="33" xfId="0" applyFont="1" applyBorder="1" applyAlignment="1" applyProtection="1">
      <alignment vertical="center"/>
      <protection locked="0"/>
    </xf>
    <xf numFmtId="0" fontId="126" fillId="0" borderId="0" xfId="0" applyFont="1" applyBorder="1" applyAlignment="1" applyProtection="1">
      <alignment vertical="center"/>
      <protection/>
    </xf>
    <xf numFmtId="0" fontId="126" fillId="0" borderId="0" xfId="0" applyFont="1" applyAlignment="1" applyProtection="1">
      <alignment horizontal="center" vertical="center"/>
      <protection/>
    </xf>
    <xf numFmtId="0" fontId="126" fillId="0" borderId="0" xfId="0" applyFont="1" applyAlignment="1" applyProtection="1" quotePrefix="1">
      <alignment horizontal="center" vertical="center"/>
      <protection locked="0"/>
    </xf>
    <xf numFmtId="187" fontId="126" fillId="0" borderId="0" xfId="0" applyNumberFormat="1" applyFont="1" applyAlignment="1" applyProtection="1">
      <alignment horizontal="left" vertical="center"/>
      <protection/>
    </xf>
    <xf numFmtId="0" fontId="136" fillId="0" borderId="0" xfId="0" applyFont="1" applyAlignment="1" applyProtection="1">
      <alignment horizontal="left" vertical="center"/>
      <protection locked="0"/>
    </xf>
    <xf numFmtId="188" fontId="125" fillId="0" borderId="0" xfId="0" applyNumberFormat="1" applyFont="1" applyBorder="1" applyAlignment="1" applyProtection="1">
      <alignment horizontal="left" vertical="center"/>
      <protection locked="0"/>
    </xf>
    <xf numFmtId="38" fontId="11" fillId="0" borderId="0" xfId="53" applyFont="1" applyAlignment="1" applyProtection="1">
      <alignment vertical="center"/>
      <protection locked="0"/>
    </xf>
    <xf numFmtId="38" fontId="15" fillId="0" borderId="0" xfId="53" applyFont="1" applyFill="1" applyBorder="1" applyAlignment="1" applyProtection="1">
      <alignment vertical="center" wrapText="1"/>
      <protection locked="0"/>
    </xf>
    <xf numFmtId="0" fontId="17" fillId="0" borderId="0" xfId="65" applyFont="1" applyAlignment="1" applyProtection="1">
      <alignment horizontal="center" vertical="top" wrapText="1"/>
      <protection locked="0"/>
    </xf>
    <xf numFmtId="38" fontId="18" fillId="0" borderId="0" xfId="53" applyFont="1" applyAlignment="1" applyProtection="1">
      <alignment vertical="center"/>
      <protection locked="0"/>
    </xf>
    <xf numFmtId="38" fontId="19" fillId="0" borderId="0" xfId="53" applyFont="1" applyFill="1" applyBorder="1" applyAlignment="1" applyProtection="1">
      <alignment horizontal="center" vertical="center" wrapText="1"/>
      <protection locked="0"/>
    </xf>
    <xf numFmtId="38" fontId="6" fillId="0" borderId="0" xfId="53" applyFont="1" applyFill="1" applyBorder="1" applyAlignment="1" applyProtection="1">
      <alignment horizontal="left" vertical="center" wrapText="1"/>
      <protection locked="0"/>
    </xf>
    <xf numFmtId="0" fontId="137" fillId="0" borderId="0" xfId="65" applyFont="1" applyProtection="1">
      <alignment/>
      <protection locked="0"/>
    </xf>
    <xf numFmtId="38" fontId="3" fillId="0" borderId="0" xfId="53" applyFont="1" applyAlignment="1" applyProtection="1">
      <alignment vertical="center"/>
      <protection locked="0"/>
    </xf>
    <xf numFmtId="38" fontId="3" fillId="0" borderId="0" xfId="53" applyFont="1" applyBorder="1" applyAlignment="1" applyProtection="1">
      <alignment vertical="center"/>
      <protection locked="0"/>
    </xf>
    <xf numFmtId="38" fontId="3" fillId="0" borderId="34" xfId="53" applyFont="1" applyFill="1" applyBorder="1" applyAlignment="1" applyProtection="1">
      <alignment horizontal="center" vertical="center"/>
      <protection locked="0"/>
    </xf>
    <xf numFmtId="38" fontId="3" fillId="0" borderId="35" xfId="53" applyFont="1" applyFill="1" applyBorder="1" applyAlignment="1" applyProtection="1">
      <alignment horizontal="right" vertical="center"/>
      <protection locked="0"/>
    </xf>
    <xf numFmtId="38" fontId="3" fillId="0" borderId="36" xfId="53" applyFont="1" applyFill="1" applyBorder="1" applyAlignment="1" applyProtection="1">
      <alignment horizontal="right" vertical="center"/>
      <protection locked="0"/>
    </xf>
    <xf numFmtId="38" fontId="3" fillId="0" borderId="37" xfId="53" applyFont="1" applyFill="1" applyBorder="1" applyAlignment="1" applyProtection="1">
      <alignment vertical="center"/>
      <protection locked="0"/>
    </xf>
    <xf numFmtId="38" fontId="3" fillId="0" borderId="0" xfId="53" applyFont="1" applyFill="1" applyBorder="1" applyAlignment="1" applyProtection="1">
      <alignment horizontal="right" vertical="center"/>
      <protection locked="0"/>
    </xf>
    <xf numFmtId="38" fontId="3" fillId="0" borderId="0" xfId="53" applyFont="1" applyFill="1" applyBorder="1" applyAlignment="1" applyProtection="1">
      <alignment vertical="center"/>
      <protection locked="0"/>
    </xf>
    <xf numFmtId="38" fontId="3" fillId="0" borderId="38" xfId="53" applyFont="1" applyFill="1" applyBorder="1" applyAlignment="1" applyProtection="1">
      <alignment horizontal="centerContinuous" vertical="center"/>
      <protection locked="0"/>
    </xf>
    <xf numFmtId="38" fontId="3" fillId="0" borderId="0" xfId="53" applyFont="1" applyFill="1" applyBorder="1" applyAlignment="1" applyProtection="1">
      <alignment horizontal="centerContinuous" vertical="center"/>
      <protection locked="0"/>
    </xf>
    <xf numFmtId="38" fontId="3" fillId="0" borderId="39" xfId="53" applyFont="1" applyFill="1" applyBorder="1" applyAlignment="1" applyProtection="1">
      <alignment horizontal="centerContinuous" vertical="center"/>
      <protection locked="0"/>
    </xf>
    <xf numFmtId="38" fontId="3" fillId="0" borderId="37" xfId="53" applyFont="1" applyFill="1" applyBorder="1" applyAlignment="1" applyProtection="1">
      <alignment horizontal="centerContinuous" vertical="center"/>
      <protection locked="0"/>
    </xf>
    <xf numFmtId="38" fontId="3" fillId="0" borderId="40" xfId="53" applyFont="1" applyFill="1" applyBorder="1" applyAlignment="1" applyProtection="1">
      <alignment horizontal="centerContinuous" vertical="center"/>
      <protection locked="0"/>
    </xf>
    <xf numFmtId="38" fontId="3" fillId="0" borderId="41" xfId="53" applyFont="1" applyFill="1" applyBorder="1" applyAlignment="1" applyProtection="1">
      <alignment horizontal="centerContinuous" vertical="center"/>
      <protection locked="0"/>
    </xf>
    <xf numFmtId="38" fontId="3" fillId="0" borderId="42" xfId="53" applyFont="1" applyFill="1" applyBorder="1" applyAlignment="1" applyProtection="1">
      <alignment horizontal="centerContinuous" vertical="center"/>
      <protection locked="0"/>
    </xf>
    <xf numFmtId="38" fontId="3" fillId="0" borderId="43" xfId="53" applyFont="1" applyFill="1" applyBorder="1" applyAlignment="1" applyProtection="1">
      <alignment horizontal="centerContinuous" vertical="center"/>
      <protection locked="0"/>
    </xf>
    <xf numFmtId="38" fontId="3" fillId="0" borderId="44" xfId="53" applyFont="1" applyFill="1" applyBorder="1" applyAlignment="1" applyProtection="1">
      <alignment horizontal="centerContinuous" vertical="center"/>
      <protection locked="0"/>
    </xf>
    <xf numFmtId="38" fontId="3" fillId="0" borderId="45" xfId="53" applyFont="1" applyFill="1" applyBorder="1" applyAlignment="1" applyProtection="1">
      <alignment horizontal="centerContinuous" vertical="center"/>
      <protection locked="0"/>
    </xf>
    <xf numFmtId="38" fontId="3" fillId="0" borderId="46" xfId="53" applyFont="1" applyFill="1" applyBorder="1" applyAlignment="1" applyProtection="1">
      <alignment horizontal="centerContinuous" vertical="center"/>
      <protection locked="0"/>
    </xf>
    <xf numFmtId="38" fontId="3" fillId="0" borderId="47" xfId="53" applyFont="1" applyFill="1" applyBorder="1" applyAlignment="1" applyProtection="1">
      <alignment horizontal="center" vertical="center" shrinkToFit="1"/>
      <protection locked="0"/>
    </xf>
    <xf numFmtId="38" fontId="3" fillId="0" borderId="48" xfId="53" applyFont="1" applyFill="1" applyBorder="1" applyAlignment="1" applyProtection="1">
      <alignment horizontal="right" vertical="center" shrinkToFit="1"/>
      <protection locked="0"/>
    </xf>
    <xf numFmtId="38" fontId="3" fillId="0" borderId="49" xfId="53" applyFont="1" applyFill="1" applyBorder="1" applyAlignment="1" applyProtection="1">
      <alignment horizontal="right" vertical="center" shrinkToFit="1"/>
      <protection locked="0"/>
    </xf>
    <xf numFmtId="38" fontId="3" fillId="0" borderId="45" xfId="53" applyFont="1" applyFill="1" applyBorder="1" applyAlignment="1" applyProtection="1">
      <alignment vertical="center" shrinkToFit="1"/>
      <protection locked="0"/>
    </xf>
    <xf numFmtId="38" fontId="3" fillId="0" borderId="0" xfId="53" applyFont="1" applyFill="1" applyBorder="1" applyAlignment="1" applyProtection="1">
      <alignment horizontal="right" vertical="center" shrinkToFit="1"/>
      <protection locked="0"/>
    </xf>
    <xf numFmtId="38" fontId="3" fillId="0" borderId="0" xfId="53" applyFont="1" applyFill="1" applyBorder="1" applyAlignment="1" applyProtection="1">
      <alignment horizontal="center" vertical="center" shrinkToFit="1"/>
      <protection locked="0"/>
    </xf>
    <xf numFmtId="38" fontId="3" fillId="0" borderId="44" xfId="53" applyFont="1" applyFill="1" applyBorder="1" applyAlignment="1" applyProtection="1">
      <alignment vertical="center" shrinkToFit="1"/>
      <protection locked="0"/>
    </xf>
    <xf numFmtId="38" fontId="3" fillId="0" borderId="46" xfId="53" applyFont="1" applyFill="1" applyBorder="1" applyAlignment="1" applyProtection="1">
      <alignment horizontal="center" vertical="center" shrinkToFit="1"/>
      <protection locked="0"/>
    </xf>
    <xf numFmtId="38" fontId="3" fillId="0" borderId="44" xfId="53" applyFont="1" applyFill="1" applyBorder="1" applyAlignment="1" applyProtection="1">
      <alignment horizontal="center" vertical="center" shrinkToFit="1"/>
      <protection locked="0"/>
    </xf>
    <xf numFmtId="38" fontId="3" fillId="0" borderId="45" xfId="53" applyFont="1" applyFill="1" applyBorder="1" applyAlignment="1" applyProtection="1">
      <alignment horizontal="center" vertical="center" shrinkToFit="1"/>
      <protection locked="0"/>
    </xf>
    <xf numFmtId="38" fontId="3" fillId="0" borderId="0" xfId="53" applyFont="1" applyFill="1" applyAlignment="1" applyProtection="1">
      <alignment vertical="center"/>
      <protection locked="0"/>
    </xf>
    <xf numFmtId="38" fontId="3" fillId="34" borderId="50" xfId="53" applyFont="1" applyFill="1" applyBorder="1" applyAlignment="1" applyProtection="1">
      <alignment horizontal="center" vertical="center" shrinkToFit="1"/>
      <protection locked="0"/>
    </xf>
    <xf numFmtId="38" fontId="3" fillId="34" borderId="51" xfId="53" applyFont="1" applyFill="1" applyBorder="1" applyAlignment="1" applyProtection="1">
      <alignment vertical="center" shrinkToFit="1"/>
      <protection locked="0"/>
    </xf>
    <xf numFmtId="38" fontId="3" fillId="34" borderId="52" xfId="53" applyFont="1" applyFill="1" applyBorder="1" applyAlignment="1" applyProtection="1">
      <alignment horizontal="right" vertical="center" shrinkToFit="1"/>
      <protection locked="0"/>
    </xf>
    <xf numFmtId="38" fontId="3" fillId="0" borderId="50" xfId="53" applyFont="1" applyFill="1" applyBorder="1" applyAlignment="1" applyProtection="1">
      <alignment horizontal="center" vertical="center" shrinkToFit="1"/>
      <protection locked="0"/>
    </xf>
    <xf numFmtId="38" fontId="3" fillId="0" borderId="53" xfId="53" applyFont="1" applyFill="1" applyBorder="1" applyAlignment="1" applyProtection="1">
      <alignment horizontal="right" vertical="center" shrinkToFit="1"/>
      <protection locked="0"/>
    </xf>
    <xf numFmtId="38" fontId="3" fillId="0" borderId="54" xfId="53" applyFont="1" applyFill="1" applyBorder="1" applyAlignment="1" applyProtection="1">
      <alignment horizontal="right" vertical="center" shrinkToFit="1"/>
      <protection locked="0"/>
    </xf>
    <xf numFmtId="38" fontId="3" fillId="0" borderId="51" xfId="53" applyFont="1" applyFill="1" applyBorder="1" applyAlignment="1" applyProtection="1">
      <alignment vertical="center" shrinkToFit="1"/>
      <protection locked="0"/>
    </xf>
    <xf numFmtId="38" fontId="3" fillId="0" borderId="52" xfId="53" applyFont="1" applyFill="1" applyBorder="1" applyAlignment="1" applyProtection="1">
      <alignment horizontal="right" vertical="center" shrinkToFit="1"/>
      <protection locked="0"/>
    </xf>
    <xf numFmtId="38" fontId="3" fillId="0" borderId="52" xfId="53" applyFont="1" applyFill="1" applyBorder="1" applyAlignment="1" applyProtection="1">
      <alignment horizontal="center" vertical="center" shrinkToFit="1"/>
      <protection locked="0"/>
    </xf>
    <xf numFmtId="38" fontId="3" fillId="0" borderId="55" xfId="53" applyFont="1" applyFill="1" applyBorder="1" applyAlignment="1" applyProtection="1">
      <alignment horizontal="center" vertical="center" shrinkToFit="1"/>
      <protection locked="0"/>
    </xf>
    <xf numFmtId="38" fontId="3" fillId="0" borderId="51" xfId="53" applyFont="1" applyFill="1" applyBorder="1" applyAlignment="1" applyProtection="1">
      <alignment horizontal="center" vertical="center" shrinkToFit="1"/>
      <protection locked="0"/>
    </xf>
    <xf numFmtId="38" fontId="3" fillId="0" borderId="56" xfId="53" applyFont="1" applyFill="1" applyBorder="1" applyAlignment="1" applyProtection="1">
      <alignment horizontal="center" vertical="center" shrinkToFit="1"/>
      <protection locked="0"/>
    </xf>
    <xf numFmtId="38" fontId="3" fillId="0" borderId="57" xfId="53" applyFont="1" applyFill="1" applyBorder="1" applyAlignment="1" applyProtection="1">
      <alignment horizontal="right" vertical="center" shrinkToFit="1"/>
      <protection locked="0"/>
    </xf>
    <xf numFmtId="38" fontId="3" fillId="0" borderId="52" xfId="53" applyFont="1" applyFill="1" applyBorder="1" applyAlignment="1" applyProtection="1">
      <alignment vertical="center" shrinkToFit="1"/>
      <protection locked="0"/>
    </xf>
    <xf numFmtId="38" fontId="3" fillId="0" borderId="55" xfId="53" applyFont="1" applyFill="1" applyBorder="1" applyAlignment="1" applyProtection="1">
      <alignment horizontal="right" vertical="center" shrinkToFit="1"/>
      <protection locked="0"/>
    </xf>
    <xf numFmtId="38" fontId="3" fillId="0" borderId="51" xfId="53" applyFont="1" applyFill="1" applyBorder="1" applyAlignment="1" applyProtection="1">
      <alignment horizontal="right" vertical="center" shrinkToFit="1"/>
      <protection locked="0"/>
    </xf>
    <xf numFmtId="190" fontId="3" fillId="0" borderId="56" xfId="53" applyNumberFormat="1" applyFont="1" applyFill="1" applyBorder="1" applyAlignment="1" applyProtection="1">
      <alignment horizontal="right" vertical="center" shrinkToFit="1"/>
      <protection locked="0"/>
    </xf>
    <xf numFmtId="190" fontId="3" fillId="0" borderId="58" xfId="53" applyNumberFormat="1" applyFont="1" applyFill="1" applyBorder="1" applyAlignment="1" applyProtection="1">
      <alignment horizontal="right" vertical="center" shrinkToFit="1"/>
      <protection locked="0"/>
    </xf>
    <xf numFmtId="190" fontId="3" fillId="0" borderId="59" xfId="53" applyNumberFormat="1" applyFont="1" applyFill="1" applyBorder="1" applyAlignment="1" applyProtection="1">
      <alignment horizontal="right" vertical="center" shrinkToFit="1"/>
      <protection locked="0"/>
    </xf>
    <xf numFmtId="190" fontId="3" fillId="0" borderId="60" xfId="53" applyNumberFormat="1" applyFont="1" applyFill="1" applyBorder="1" applyAlignment="1" applyProtection="1">
      <alignment horizontal="right" vertical="center" shrinkToFit="1"/>
      <protection locked="0"/>
    </xf>
    <xf numFmtId="38" fontId="3" fillId="34" borderId="52" xfId="53" applyFont="1" applyFill="1" applyBorder="1" applyAlignment="1" applyProtection="1">
      <alignment vertical="center" shrinkToFit="1"/>
      <protection locked="0"/>
    </xf>
    <xf numFmtId="190" fontId="3" fillId="0" borderId="55" xfId="53" applyNumberFormat="1" applyFont="1" applyFill="1" applyBorder="1" applyAlignment="1" applyProtection="1">
      <alignment horizontal="right" vertical="center" shrinkToFit="1"/>
      <protection locked="0"/>
    </xf>
    <xf numFmtId="190" fontId="3" fillId="0" borderId="51" xfId="53" applyNumberFormat="1" applyFont="1" applyFill="1" applyBorder="1" applyAlignment="1" applyProtection="1">
      <alignment horizontal="right" vertical="center" shrinkToFit="1"/>
      <protection locked="0"/>
    </xf>
    <xf numFmtId="38" fontId="3" fillId="34" borderId="61" xfId="53" applyFont="1" applyFill="1" applyBorder="1" applyAlignment="1" applyProtection="1">
      <alignment vertical="center" shrinkToFit="1"/>
      <protection locked="0"/>
    </xf>
    <xf numFmtId="38" fontId="3" fillId="0" borderId="62" xfId="53" applyFont="1" applyFill="1" applyBorder="1" applyAlignment="1" applyProtection="1">
      <alignment horizontal="right" vertical="center" shrinkToFit="1"/>
      <protection locked="0"/>
    </xf>
    <xf numFmtId="38" fontId="3" fillId="0" borderId="63" xfId="53" applyFont="1" applyFill="1" applyBorder="1" applyAlignment="1" applyProtection="1">
      <alignment horizontal="right" vertical="center" shrinkToFit="1"/>
      <protection locked="0"/>
    </xf>
    <xf numFmtId="38" fontId="3" fillId="0" borderId="64" xfId="53" applyFont="1" applyFill="1" applyBorder="1" applyAlignment="1" applyProtection="1">
      <alignment horizontal="center" vertical="center" shrinkToFit="1"/>
      <protection locked="0"/>
    </xf>
    <xf numFmtId="38" fontId="3" fillId="0" borderId="65" xfId="53" applyFont="1" applyFill="1" applyBorder="1" applyAlignment="1" applyProtection="1">
      <alignment horizontal="right" vertical="center" shrinkToFit="1"/>
      <protection locked="0"/>
    </xf>
    <xf numFmtId="38" fontId="3" fillId="0" borderId="61" xfId="53" applyFont="1" applyFill="1" applyBorder="1" applyAlignment="1" applyProtection="1">
      <alignment vertical="center" shrinkToFit="1"/>
      <protection locked="0"/>
    </xf>
    <xf numFmtId="38" fontId="3" fillId="0" borderId="66" xfId="53" applyFont="1" applyFill="1" applyBorder="1" applyAlignment="1" applyProtection="1">
      <alignment horizontal="right" vertical="center" shrinkToFit="1"/>
      <protection locked="0"/>
    </xf>
    <xf numFmtId="38" fontId="3" fillId="0" borderId="67" xfId="53" applyFont="1" applyFill="1" applyBorder="1" applyAlignment="1" applyProtection="1">
      <alignment horizontal="right" vertical="center" shrinkToFit="1"/>
      <protection locked="0"/>
    </xf>
    <xf numFmtId="190" fontId="3" fillId="0" borderId="68" xfId="53" applyNumberFormat="1" applyFont="1" applyFill="1" applyBorder="1" applyAlignment="1" applyProtection="1">
      <alignment horizontal="right" vertical="center" shrinkToFit="1"/>
      <protection locked="0"/>
    </xf>
    <xf numFmtId="38" fontId="3" fillId="0" borderId="61" xfId="53" applyFont="1" applyFill="1" applyBorder="1" applyAlignment="1" applyProtection="1">
      <alignment horizontal="right" vertical="center" shrinkToFit="1"/>
      <protection locked="0"/>
    </xf>
    <xf numFmtId="38" fontId="3" fillId="0" borderId="69" xfId="53" applyFont="1" applyFill="1" applyBorder="1" applyAlignment="1" applyProtection="1">
      <alignment horizontal="right" vertical="center" shrinkToFit="1"/>
      <protection locked="0"/>
    </xf>
    <xf numFmtId="38" fontId="3" fillId="0" borderId="61" xfId="53" applyFont="1" applyFill="1" applyBorder="1" applyAlignment="1" applyProtection="1">
      <alignment horizontal="center" vertical="center" shrinkToFit="1"/>
      <protection locked="0"/>
    </xf>
    <xf numFmtId="190" fontId="3" fillId="0" borderId="70" xfId="53" applyNumberFormat="1" applyFont="1" applyFill="1" applyBorder="1" applyAlignment="1" applyProtection="1">
      <alignment horizontal="right" vertical="center" shrinkToFit="1"/>
      <protection locked="0"/>
    </xf>
    <xf numFmtId="38" fontId="3" fillId="0" borderId="71" xfId="53" applyFont="1" applyFill="1" applyBorder="1" applyAlignment="1" applyProtection="1">
      <alignment horizontal="center" vertical="center" shrinkToFit="1"/>
      <protection locked="0"/>
    </xf>
    <xf numFmtId="190" fontId="3" fillId="0" borderId="72" xfId="53" applyNumberFormat="1" applyFont="1" applyFill="1" applyBorder="1" applyAlignment="1" applyProtection="1">
      <alignment horizontal="right" vertical="center" shrinkToFit="1"/>
      <protection locked="0"/>
    </xf>
    <xf numFmtId="38" fontId="3" fillId="34" borderId="71" xfId="53" applyFont="1" applyFill="1" applyBorder="1" applyAlignment="1" applyProtection="1">
      <alignment horizontal="center" vertical="center" shrinkToFit="1"/>
      <protection locked="0"/>
    </xf>
    <xf numFmtId="38" fontId="3" fillId="0" borderId="73" xfId="53" applyFont="1" applyFill="1" applyBorder="1" applyAlignment="1" applyProtection="1">
      <alignment horizontal="right" vertical="center" shrinkToFit="1"/>
      <protection locked="0"/>
    </xf>
    <xf numFmtId="38" fontId="3" fillId="0" borderId="74" xfId="53" applyFont="1" applyFill="1" applyBorder="1" applyAlignment="1" applyProtection="1">
      <alignment horizontal="center" vertical="center" shrinkToFit="1"/>
      <protection locked="0"/>
    </xf>
    <xf numFmtId="38" fontId="3" fillId="0" borderId="75" xfId="53"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shrinkToFit="1"/>
      <protection locked="0"/>
    </xf>
    <xf numFmtId="38" fontId="3" fillId="0" borderId="45" xfId="53" applyFont="1" applyFill="1" applyBorder="1" applyAlignment="1" applyProtection="1">
      <alignment horizontal="right" vertical="center" shrinkToFit="1"/>
      <protection locked="0"/>
    </xf>
    <xf numFmtId="38" fontId="3" fillId="0" borderId="44" xfId="53" applyFont="1" applyFill="1" applyBorder="1" applyAlignment="1" applyProtection="1">
      <alignment horizontal="right" vertical="center" shrinkToFit="1"/>
      <protection locked="0"/>
    </xf>
    <xf numFmtId="190" fontId="3" fillId="0" borderId="76" xfId="53" applyNumberFormat="1" applyFont="1" applyFill="1" applyBorder="1" applyAlignment="1" applyProtection="1">
      <alignment horizontal="right" vertical="center" shrinkToFit="1"/>
      <protection locked="0"/>
    </xf>
    <xf numFmtId="38" fontId="3" fillId="0" borderId="77" xfId="53" applyFont="1" applyFill="1" applyBorder="1" applyAlignment="1" applyProtection="1">
      <alignment horizontal="center" vertical="center" shrinkToFit="1"/>
      <protection locked="0"/>
    </xf>
    <xf numFmtId="190" fontId="3" fillId="0" borderId="78" xfId="53" applyNumberFormat="1" applyFont="1" applyFill="1" applyBorder="1" applyAlignment="1" applyProtection="1">
      <alignment horizontal="right" vertical="center" shrinkToFit="1"/>
      <protection locked="0"/>
    </xf>
    <xf numFmtId="38" fontId="3" fillId="34" borderId="79" xfId="53" applyFont="1" applyFill="1" applyBorder="1" applyAlignment="1" applyProtection="1">
      <alignment horizontal="center" vertical="center" shrinkToFit="1"/>
      <protection locked="0"/>
    </xf>
    <xf numFmtId="38" fontId="3" fillId="0" borderId="79" xfId="53" applyFont="1" applyFill="1" applyBorder="1" applyAlignment="1" applyProtection="1">
      <alignment horizontal="center" vertical="center" shrinkToFit="1"/>
      <protection locked="0"/>
    </xf>
    <xf numFmtId="38" fontId="3" fillId="0" borderId="80" xfId="53" applyFont="1" applyFill="1" applyBorder="1" applyAlignment="1" applyProtection="1">
      <alignment horizontal="center" vertical="center" shrinkToFit="1"/>
      <protection locked="0"/>
    </xf>
    <xf numFmtId="38" fontId="3" fillId="0" borderId="81" xfId="53" applyFont="1" applyFill="1" applyBorder="1" applyAlignment="1" applyProtection="1">
      <alignment horizontal="right" vertical="center" shrinkToFit="1"/>
      <protection locked="0"/>
    </xf>
    <xf numFmtId="38" fontId="3" fillId="0" borderId="82" xfId="53" applyFont="1" applyFill="1" applyBorder="1" applyAlignment="1" applyProtection="1">
      <alignment horizontal="right" vertical="center" shrinkToFit="1"/>
      <protection locked="0"/>
    </xf>
    <xf numFmtId="38" fontId="3" fillId="0" borderId="82" xfId="53" applyFont="1" applyFill="1" applyBorder="1" applyAlignment="1" applyProtection="1">
      <alignment horizontal="center" vertical="center" shrinkToFit="1"/>
      <protection locked="0"/>
    </xf>
    <xf numFmtId="38" fontId="3" fillId="0" borderId="81" xfId="53" applyFont="1" applyFill="1" applyBorder="1" applyAlignment="1" applyProtection="1">
      <alignment horizontal="center" vertical="center" shrinkToFit="1"/>
      <protection locked="0"/>
    </xf>
    <xf numFmtId="38" fontId="3" fillId="0" borderId="82" xfId="53" applyFont="1" applyFill="1" applyBorder="1" applyAlignment="1" applyProtection="1">
      <alignment vertical="center" shrinkToFit="1"/>
      <protection locked="0"/>
    </xf>
    <xf numFmtId="38" fontId="3" fillId="0" borderId="83" xfId="53" applyFont="1" applyFill="1" applyBorder="1" applyAlignment="1" applyProtection="1">
      <alignment horizontal="right" vertical="center" shrinkToFit="1"/>
      <protection locked="0"/>
    </xf>
    <xf numFmtId="190" fontId="3" fillId="0" borderId="84" xfId="53" applyNumberFormat="1"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wrapText="1"/>
      <protection locked="0"/>
    </xf>
    <xf numFmtId="38" fontId="8" fillId="0" borderId="0" xfId="53" applyFont="1" applyAlignment="1" applyProtection="1">
      <alignment vertical="center"/>
      <protection locked="0"/>
    </xf>
    <xf numFmtId="38" fontId="8" fillId="0" borderId="0" xfId="53" applyFont="1" applyFill="1" applyBorder="1" applyAlignment="1" applyProtection="1">
      <alignment vertical="center" wrapText="1"/>
      <protection locked="0"/>
    </xf>
    <xf numFmtId="38" fontId="8" fillId="0" borderId="0" xfId="53"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3" fillId="0" borderId="0" xfId="53" applyFont="1" applyAlignment="1" applyProtection="1">
      <alignment horizontal="right" vertical="center"/>
      <protection locked="0"/>
    </xf>
    <xf numFmtId="190" fontId="3" fillId="0" borderId="0" xfId="53" applyNumberFormat="1" applyFont="1" applyAlignment="1" applyProtection="1">
      <alignment vertical="center"/>
      <protection locked="0"/>
    </xf>
    <xf numFmtId="38" fontId="11" fillId="0" borderId="0" xfId="53" applyFont="1" applyAlignment="1" applyProtection="1">
      <alignment horizontal="right" vertical="center"/>
      <protection locked="0"/>
    </xf>
    <xf numFmtId="190" fontId="11" fillId="0" borderId="0" xfId="53" applyNumberFormat="1" applyFont="1" applyAlignment="1" applyProtection="1">
      <alignment vertical="center"/>
      <protection locked="0"/>
    </xf>
    <xf numFmtId="40" fontId="3" fillId="0" borderId="85" xfId="53" applyNumberFormat="1" applyFont="1" applyFill="1" applyBorder="1" applyAlignment="1" applyProtection="1">
      <alignment horizontal="right" vertical="center" shrinkToFit="1"/>
      <protection/>
    </xf>
    <xf numFmtId="40" fontId="3" fillId="0" borderId="52" xfId="53" applyNumberFormat="1" applyFont="1" applyFill="1" applyBorder="1" applyAlignment="1" applyProtection="1">
      <alignment horizontal="right" vertical="center" shrinkToFit="1"/>
      <protection/>
    </xf>
    <xf numFmtId="190" fontId="3" fillId="0" borderId="38"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horizontal="right" vertical="center" shrinkToFit="1"/>
      <protection/>
    </xf>
    <xf numFmtId="190" fontId="3" fillId="0" borderId="86" xfId="53" applyNumberFormat="1" applyFont="1" applyFill="1" applyBorder="1" applyAlignment="1" applyProtection="1">
      <alignment horizontal="right" vertical="center" shrinkToFit="1"/>
      <protection/>
    </xf>
    <xf numFmtId="190" fontId="3" fillId="0" borderId="38" xfId="53" applyNumberFormat="1" applyFont="1" applyFill="1" applyBorder="1" applyAlignment="1" applyProtection="1">
      <alignment horizontal="right" vertical="center" shrinkToFit="1"/>
      <protection/>
    </xf>
    <xf numFmtId="190" fontId="3" fillId="0" borderId="87" xfId="53" applyNumberFormat="1" applyFont="1" applyFill="1" applyBorder="1" applyAlignment="1" applyProtection="1">
      <alignment horizontal="right" vertical="center" shrinkToFit="1"/>
      <protection/>
    </xf>
    <xf numFmtId="190" fontId="3" fillId="0" borderId="0" xfId="53" applyNumberFormat="1" applyFont="1" applyFill="1" applyBorder="1" applyAlignment="1" applyProtection="1">
      <alignment vertical="center" shrinkToFit="1"/>
      <protection/>
    </xf>
    <xf numFmtId="190" fontId="3" fillId="34" borderId="52" xfId="53" applyNumberFormat="1" applyFont="1" applyFill="1" applyBorder="1" applyAlignment="1" applyProtection="1">
      <alignment vertical="center" shrinkToFit="1"/>
      <protection/>
    </xf>
    <xf numFmtId="190" fontId="3" fillId="0" borderId="52" xfId="53" applyNumberFormat="1" applyFont="1" applyFill="1" applyBorder="1" applyAlignment="1" applyProtection="1">
      <alignment vertical="center" shrinkToFit="1"/>
      <protection/>
    </xf>
    <xf numFmtId="190" fontId="3" fillId="0" borderId="52" xfId="53" applyNumberFormat="1" applyFont="1" applyFill="1" applyBorder="1" applyAlignment="1" applyProtection="1">
      <alignment horizontal="right" vertical="center" shrinkToFit="1"/>
      <protection/>
    </xf>
    <xf numFmtId="190" fontId="3" fillId="34" borderId="52" xfId="53" applyNumberFormat="1" applyFont="1" applyFill="1" applyBorder="1" applyAlignment="1" applyProtection="1">
      <alignment horizontal="right" vertical="center" shrinkToFit="1"/>
      <protection/>
    </xf>
    <xf numFmtId="190" fontId="3" fillId="34" borderId="61" xfId="53" applyNumberFormat="1" applyFont="1" applyFill="1" applyBorder="1" applyAlignment="1" applyProtection="1">
      <alignment horizontal="right" vertical="center" shrinkToFit="1"/>
      <protection/>
    </xf>
    <xf numFmtId="190" fontId="3" fillId="0" borderId="61" xfId="53" applyNumberFormat="1" applyFont="1" applyFill="1" applyBorder="1" applyAlignment="1" applyProtection="1">
      <alignment horizontal="right" vertical="center" shrinkToFit="1"/>
      <protection/>
    </xf>
    <xf numFmtId="190" fontId="3" fillId="0" borderId="88" xfId="53" applyNumberFormat="1" applyFont="1" applyFill="1" applyBorder="1" applyAlignment="1" applyProtection="1">
      <alignment horizontal="right" vertical="center" shrinkToFit="1"/>
      <protection/>
    </xf>
    <xf numFmtId="190" fontId="3" fillId="0" borderId="89" xfId="53" applyNumberFormat="1" applyFont="1" applyFill="1" applyBorder="1" applyAlignment="1" applyProtection="1">
      <alignment horizontal="right" vertical="center" shrinkToFit="1"/>
      <protection/>
    </xf>
    <xf numFmtId="190" fontId="3" fillId="0" borderId="81" xfId="53" applyNumberFormat="1" applyFont="1" applyFill="1" applyBorder="1" applyAlignment="1" applyProtection="1">
      <alignment horizontal="right" vertical="center" shrinkToFit="1"/>
      <protection/>
    </xf>
    <xf numFmtId="190" fontId="3" fillId="0" borderId="87" xfId="53" applyNumberFormat="1" applyFont="1" applyFill="1" applyBorder="1" applyAlignment="1" applyProtection="1">
      <alignment vertical="center" shrinkToFit="1"/>
      <protection/>
    </xf>
    <xf numFmtId="190" fontId="3" fillId="0" borderId="90" xfId="53" applyNumberFormat="1" applyFont="1" applyFill="1" applyBorder="1" applyAlignment="1" applyProtection="1">
      <alignment vertical="center" shrinkToFit="1"/>
      <protection/>
    </xf>
    <xf numFmtId="190" fontId="3" fillId="0" borderId="91" xfId="53" applyNumberFormat="1" applyFont="1" applyFill="1" applyBorder="1" applyAlignment="1" applyProtection="1">
      <alignment vertical="center" shrinkToFit="1"/>
      <protection/>
    </xf>
    <xf numFmtId="38" fontId="3" fillId="12" borderId="50" xfId="53" applyFont="1" applyFill="1" applyBorder="1" applyAlignment="1" applyProtection="1">
      <alignment horizontal="center" vertical="center" shrinkToFit="1"/>
      <protection locked="0"/>
    </xf>
    <xf numFmtId="38" fontId="3" fillId="12" borderId="53" xfId="53" applyFont="1" applyFill="1" applyBorder="1" applyAlignment="1" applyProtection="1">
      <alignment horizontal="right" vertical="center" shrinkToFit="1"/>
      <protection locked="0"/>
    </xf>
    <xf numFmtId="38" fontId="3" fillId="12" borderId="54" xfId="53" applyFont="1" applyFill="1" applyBorder="1" applyAlignment="1" applyProtection="1">
      <alignment horizontal="right" vertical="center" shrinkToFit="1"/>
      <protection locked="0"/>
    </xf>
    <xf numFmtId="38" fontId="3" fillId="12" borderId="51" xfId="53" applyFont="1" applyFill="1" applyBorder="1" applyAlignment="1" applyProtection="1">
      <alignment vertical="center" shrinkToFit="1"/>
      <protection locked="0"/>
    </xf>
    <xf numFmtId="38" fontId="3" fillId="12" borderId="52" xfId="53" applyFont="1" applyFill="1" applyBorder="1" applyAlignment="1" applyProtection="1">
      <alignment horizontal="right" vertical="center" shrinkToFit="1"/>
      <protection locked="0"/>
    </xf>
    <xf numFmtId="38" fontId="3" fillId="12" borderId="52" xfId="53" applyFont="1" applyFill="1" applyBorder="1" applyAlignment="1" applyProtection="1">
      <alignment horizontal="center" vertical="center" shrinkToFit="1"/>
      <protection locked="0"/>
    </xf>
    <xf numFmtId="38" fontId="3" fillId="12" borderId="55" xfId="53" applyFont="1" applyFill="1" applyBorder="1" applyAlignment="1" applyProtection="1">
      <alignment horizontal="center" vertical="center" shrinkToFit="1"/>
      <protection locked="0"/>
    </xf>
    <xf numFmtId="38" fontId="3" fillId="12" borderId="51" xfId="53" applyFont="1" applyFill="1" applyBorder="1" applyAlignment="1" applyProtection="1">
      <alignment horizontal="center" vertical="center" shrinkToFit="1"/>
      <protection locked="0"/>
    </xf>
    <xf numFmtId="38" fontId="3" fillId="12" borderId="56" xfId="53" applyFont="1" applyFill="1" applyBorder="1" applyAlignment="1" applyProtection="1">
      <alignment horizontal="center" vertical="center" shrinkToFit="1"/>
      <protection locked="0"/>
    </xf>
    <xf numFmtId="38" fontId="3" fillId="12" borderId="57" xfId="53" applyFont="1" applyFill="1" applyBorder="1" applyAlignment="1" applyProtection="1">
      <alignment horizontal="right" vertical="center" shrinkToFit="1"/>
      <protection locked="0"/>
    </xf>
    <xf numFmtId="38" fontId="3" fillId="12" borderId="52" xfId="53" applyFont="1" applyFill="1" applyBorder="1" applyAlignment="1" applyProtection="1">
      <alignment vertical="center" shrinkToFit="1"/>
      <protection locked="0"/>
    </xf>
    <xf numFmtId="38" fontId="3" fillId="12" borderId="55" xfId="53" applyFont="1" applyFill="1" applyBorder="1" applyAlignment="1" applyProtection="1">
      <alignment horizontal="right" vertical="center" shrinkToFit="1"/>
      <protection locked="0"/>
    </xf>
    <xf numFmtId="38" fontId="3" fillId="12" borderId="51" xfId="53" applyFont="1" applyFill="1" applyBorder="1" applyAlignment="1" applyProtection="1">
      <alignment horizontal="right" vertical="center" shrinkToFit="1"/>
      <protection locked="0"/>
    </xf>
    <xf numFmtId="190" fontId="3" fillId="12" borderId="56" xfId="53" applyNumberFormat="1" applyFont="1" applyFill="1" applyBorder="1" applyAlignment="1" applyProtection="1">
      <alignment horizontal="right" vertical="center" shrinkToFit="1"/>
      <protection locked="0"/>
    </xf>
    <xf numFmtId="190" fontId="3" fillId="12" borderId="55" xfId="53" applyNumberFormat="1" applyFont="1" applyFill="1" applyBorder="1" applyAlignment="1" applyProtection="1">
      <alignment horizontal="right" vertical="center" shrinkToFit="1"/>
      <protection locked="0"/>
    </xf>
    <xf numFmtId="190" fontId="3" fillId="12" borderId="51" xfId="53" applyNumberFormat="1" applyFont="1" applyFill="1" applyBorder="1" applyAlignment="1" applyProtection="1">
      <alignment horizontal="right" vertical="center" shrinkToFit="1"/>
      <protection locked="0"/>
    </xf>
    <xf numFmtId="38" fontId="3" fillId="12" borderId="62" xfId="53" applyFont="1" applyFill="1" applyBorder="1" applyAlignment="1" applyProtection="1">
      <alignment horizontal="right" vertical="center" shrinkToFit="1"/>
      <protection locked="0"/>
    </xf>
    <xf numFmtId="38" fontId="3" fillId="12" borderId="69" xfId="53" applyFont="1" applyFill="1" applyBorder="1" applyAlignment="1" applyProtection="1">
      <alignment horizontal="right" vertical="center" shrinkToFit="1"/>
      <protection locked="0"/>
    </xf>
    <xf numFmtId="38" fontId="3" fillId="12" borderId="61" xfId="53" applyFont="1" applyFill="1" applyBorder="1" applyAlignment="1" applyProtection="1">
      <alignment horizontal="center" vertical="center" shrinkToFit="1"/>
      <protection locked="0"/>
    </xf>
    <xf numFmtId="38" fontId="3" fillId="12" borderId="86" xfId="53" applyFont="1" applyFill="1" applyBorder="1" applyAlignment="1" applyProtection="1">
      <alignment horizontal="right" vertical="center" shrinkToFit="1"/>
      <protection locked="0"/>
    </xf>
    <xf numFmtId="38" fontId="3" fillId="12" borderId="61" xfId="53" applyFont="1" applyFill="1" applyBorder="1" applyAlignment="1" applyProtection="1">
      <alignment vertical="center" shrinkToFit="1"/>
      <protection locked="0"/>
    </xf>
    <xf numFmtId="38" fontId="3" fillId="12" borderId="66" xfId="53" applyFont="1" applyFill="1" applyBorder="1" applyAlignment="1" applyProtection="1">
      <alignment horizontal="right" vertical="center" shrinkToFit="1"/>
      <protection locked="0"/>
    </xf>
    <xf numFmtId="38" fontId="3" fillId="12" borderId="67" xfId="53" applyFont="1" applyFill="1" applyBorder="1" applyAlignment="1" applyProtection="1">
      <alignment horizontal="right" vertical="center" shrinkToFit="1"/>
      <protection locked="0"/>
    </xf>
    <xf numFmtId="190" fontId="3" fillId="12" borderId="68" xfId="53" applyNumberFormat="1" applyFont="1" applyFill="1" applyBorder="1" applyAlignment="1" applyProtection="1">
      <alignment horizontal="right" vertical="center" shrinkToFit="1"/>
      <protection locked="0"/>
    </xf>
    <xf numFmtId="38" fontId="3" fillId="12" borderId="63" xfId="53" applyFont="1" applyFill="1" applyBorder="1" applyAlignment="1" applyProtection="1">
      <alignment horizontal="right" vertical="center" shrinkToFit="1"/>
      <protection locked="0"/>
    </xf>
    <xf numFmtId="38" fontId="3" fillId="12" borderId="64" xfId="53" applyFont="1" applyFill="1" applyBorder="1" applyAlignment="1" applyProtection="1">
      <alignment horizontal="center" vertical="center" shrinkToFit="1"/>
      <protection locked="0"/>
    </xf>
    <xf numFmtId="38" fontId="3" fillId="12" borderId="65" xfId="53" applyFont="1" applyFill="1" applyBorder="1" applyAlignment="1" applyProtection="1">
      <alignment horizontal="right" vertical="center" shrinkToFit="1"/>
      <protection locked="0"/>
    </xf>
    <xf numFmtId="38" fontId="3" fillId="12" borderId="61" xfId="53" applyFont="1" applyFill="1" applyBorder="1" applyAlignment="1" applyProtection="1">
      <alignment horizontal="right" vertical="center" shrinkToFit="1"/>
      <protection locked="0"/>
    </xf>
    <xf numFmtId="190" fontId="3" fillId="12" borderId="72" xfId="53" applyNumberFormat="1" applyFont="1" applyFill="1" applyBorder="1" applyAlignment="1" applyProtection="1">
      <alignment horizontal="right" vertical="center" shrinkToFit="1"/>
      <protection locked="0"/>
    </xf>
    <xf numFmtId="190" fontId="3" fillId="12" borderId="70" xfId="53" applyNumberFormat="1" applyFont="1" applyFill="1" applyBorder="1" applyAlignment="1" applyProtection="1">
      <alignment horizontal="right" vertical="center" shrinkToFit="1"/>
      <protection locked="0"/>
    </xf>
    <xf numFmtId="190" fontId="3" fillId="12" borderId="83" xfId="53" applyNumberFormat="1" applyFont="1" applyFill="1" applyBorder="1" applyAlignment="1" applyProtection="1">
      <alignment horizontal="right" vertical="center" shrinkToFit="1"/>
      <protection locked="0"/>
    </xf>
    <xf numFmtId="190" fontId="3" fillId="12" borderId="82" xfId="53" applyNumberFormat="1" applyFont="1" applyFill="1" applyBorder="1" applyAlignment="1" applyProtection="1">
      <alignment horizontal="right" vertical="center" shrinkToFit="1"/>
      <protection locked="0"/>
    </xf>
    <xf numFmtId="190" fontId="3" fillId="12" borderId="84" xfId="53" applyNumberFormat="1" applyFont="1" applyFill="1" applyBorder="1" applyAlignment="1" applyProtection="1">
      <alignment horizontal="right" vertical="center" shrinkToFit="1"/>
      <protection locked="0"/>
    </xf>
    <xf numFmtId="38" fontId="3" fillId="12" borderId="71" xfId="53" applyFont="1" applyFill="1" applyBorder="1" applyAlignment="1" applyProtection="1">
      <alignment horizontal="center" vertical="center" shrinkToFit="1"/>
      <protection locked="0"/>
    </xf>
    <xf numFmtId="190" fontId="3" fillId="12" borderId="78" xfId="53" applyNumberFormat="1" applyFont="1" applyFill="1" applyBorder="1" applyAlignment="1" applyProtection="1">
      <alignment horizontal="right" vertical="center" shrinkToFit="1"/>
      <protection locked="0"/>
    </xf>
    <xf numFmtId="38" fontId="3" fillId="12" borderId="79" xfId="53" applyFont="1" applyFill="1" applyBorder="1" applyAlignment="1" applyProtection="1">
      <alignment horizontal="center" vertical="center" shrinkToFit="1"/>
      <protection locked="0"/>
    </xf>
    <xf numFmtId="40" fontId="3" fillId="12" borderId="52" xfId="53" applyNumberFormat="1" applyFont="1" applyFill="1" applyBorder="1" applyAlignment="1" applyProtection="1">
      <alignment horizontal="right" vertical="center" shrinkToFit="1"/>
      <protection/>
    </xf>
    <xf numFmtId="40" fontId="3" fillId="12" borderId="81" xfId="53" applyNumberFormat="1" applyFont="1" applyFill="1" applyBorder="1" applyAlignment="1" applyProtection="1">
      <alignment horizontal="right" vertical="center" shrinkToFit="1"/>
      <protection/>
    </xf>
    <xf numFmtId="190" fontId="3" fillId="12" borderId="57" xfId="53" applyNumberFormat="1" applyFont="1" applyFill="1" applyBorder="1" applyAlignment="1" applyProtection="1">
      <alignment vertical="center" shrinkToFit="1"/>
      <protection/>
    </xf>
    <xf numFmtId="190" fontId="3" fillId="12" borderId="57" xfId="53" applyNumberFormat="1" applyFont="1" applyFill="1" applyBorder="1" applyAlignment="1" applyProtection="1">
      <alignment horizontal="right" vertical="center" shrinkToFit="1"/>
      <protection/>
    </xf>
    <xf numFmtId="190" fontId="3" fillId="12" borderId="86" xfId="53" applyNumberFormat="1" applyFont="1" applyFill="1" applyBorder="1" applyAlignment="1" applyProtection="1">
      <alignment horizontal="right" vertical="center" shrinkToFit="1"/>
      <protection/>
    </xf>
    <xf numFmtId="190" fontId="3" fillId="12" borderId="52" xfId="53" applyNumberFormat="1" applyFont="1" applyFill="1" applyBorder="1" applyAlignment="1" applyProtection="1">
      <alignment vertical="center" shrinkToFit="1"/>
      <protection/>
    </xf>
    <xf numFmtId="190" fontId="3" fillId="12" borderId="52" xfId="53" applyNumberFormat="1" applyFont="1" applyFill="1" applyBorder="1" applyAlignment="1" applyProtection="1">
      <alignment horizontal="right" vertical="center" shrinkToFit="1"/>
      <protection/>
    </xf>
    <xf numFmtId="190" fontId="3" fillId="12" borderId="61" xfId="53" applyNumberFormat="1" applyFont="1" applyFill="1" applyBorder="1" applyAlignment="1" applyProtection="1">
      <alignment horizontal="right" vertical="center" shrinkToFit="1"/>
      <protection/>
    </xf>
    <xf numFmtId="190" fontId="3" fillId="12" borderId="88" xfId="53" applyNumberFormat="1" applyFont="1" applyFill="1" applyBorder="1" applyAlignment="1" applyProtection="1">
      <alignment horizontal="right" vertical="center" shrinkToFit="1"/>
      <protection/>
    </xf>
    <xf numFmtId="190" fontId="3" fillId="12" borderId="90" xfId="53" applyNumberFormat="1" applyFont="1" applyFill="1" applyBorder="1" applyAlignment="1" applyProtection="1">
      <alignment horizontal="right" vertical="center" shrinkToFit="1"/>
      <protection/>
    </xf>
    <xf numFmtId="190" fontId="3" fillId="12" borderId="90" xfId="53" applyNumberFormat="1" applyFont="1" applyFill="1" applyBorder="1" applyAlignment="1" applyProtection="1">
      <alignment vertical="center" shrinkToFit="1"/>
      <protection/>
    </xf>
    <xf numFmtId="38" fontId="16" fillId="0" borderId="0" xfId="53" applyFont="1" applyFill="1" applyBorder="1" applyAlignment="1" applyProtection="1">
      <alignment vertical="top" wrapText="1"/>
      <protection locked="0"/>
    </xf>
    <xf numFmtId="0" fontId="138" fillId="0" borderId="0" xfId="0" applyFont="1" applyAlignment="1" applyProtection="1">
      <alignment vertical="center"/>
      <protection locked="0"/>
    </xf>
    <xf numFmtId="0" fontId="0" fillId="0" borderId="92" xfId="0" applyBorder="1" applyAlignment="1" applyProtection="1">
      <alignment horizontal="center" vertical="center"/>
      <protection locked="0"/>
    </xf>
    <xf numFmtId="58" fontId="109" fillId="0" borderId="0" xfId="0" applyNumberFormat="1" applyFont="1" applyBorder="1" applyAlignment="1" applyProtection="1">
      <alignment vertical="center"/>
      <protection locked="0"/>
    </xf>
    <xf numFmtId="0" fontId="116"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29" xfId="0" applyFont="1" applyFill="1" applyBorder="1" applyAlignment="1" applyProtection="1">
      <alignment horizontal="center" vertical="center" wrapText="1"/>
      <protection locked="0"/>
    </xf>
    <xf numFmtId="0" fontId="7" fillId="33" borderId="29"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39" fillId="0" borderId="0" xfId="0" applyFont="1" applyAlignment="1" applyProtection="1">
      <alignment vertical="center"/>
      <protection locked="0"/>
    </xf>
    <xf numFmtId="38" fontId="16" fillId="0" borderId="0" xfId="53" applyFont="1" applyFill="1" applyBorder="1" applyAlignment="1" applyProtection="1">
      <alignment horizontal="left" vertical="top" wrapText="1"/>
      <protection locked="0"/>
    </xf>
    <xf numFmtId="38" fontId="6" fillId="0" borderId="0" xfId="53" applyFont="1" applyAlignment="1" applyProtection="1">
      <alignment vertical="center"/>
      <protection locked="0"/>
    </xf>
    <xf numFmtId="38" fontId="6" fillId="33" borderId="0" xfId="53" applyFont="1" applyFill="1" applyAlignment="1" applyProtection="1">
      <alignment vertical="center"/>
      <protection locked="0"/>
    </xf>
    <xf numFmtId="38" fontId="6" fillId="0" borderId="0" xfId="53" applyFont="1" applyAlignment="1" applyProtection="1">
      <alignment vertical="center"/>
      <protection/>
    </xf>
    <xf numFmtId="0" fontId="117" fillId="33" borderId="93" xfId="0" applyFont="1" applyFill="1" applyBorder="1" applyAlignment="1" applyProtection="1">
      <alignment horizontal="center" vertical="center" wrapText="1"/>
      <protection locked="0"/>
    </xf>
    <xf numFmtId="0" fontId="117" fillId="33" borderId="94" xfId="0" applyFont="1" applyFill="1" applyBorder="1" applyAlignment="1" applyProtection="1">
      <alignment horizontal="center" vertical="center" wrapText="1"/>
      <protection locked="0"/>
    </xf>
    <xf numFmtId="176" fontId="140" fillId="33" borderId="14" xfId="0" applyNumberFormat="1" applyFont="1" applyFill="1" applyBorder="1" applyAlignment="1" applyProtection="1">
      <alignment horizontal="center" vertical="center" wrapText="1"/>
      <protection/>
    </xf>
    <xf numFmtId="178" fontId="134" fillId="33" borderId="0" xfId="0" applyNumberFormat="1" applyFont="1" applyFill="1" applyBorder="1" applyAlignment="1" applyProtection="1">
      <alignment horizontal="center" vertical="center" wrapText="1"/>
      <protection locked="0"/>
    </xf>
    <xf numFmtId="38" fontId="141" fillId="0" borderId="13" xfId="50" applyNumberFormat="1" applyFont="1" applyBorder="1" applyAlignment="1" applyProtection="1">
      <alignment horizontal="center" vertical="center"/>
      <protection/>
    </xf>
    <xf numFmtId="0" fontId="7" fillId="33" borderId="13" xfId="0" applyFont="1" applyFill="1" applyBorder="1" applyAlignment="1" applyProtection="1">
      <alignment horizontal="left" vertical="center" wrapText="1"/>
      <protection locked="0"/>
    </xf>
    <xf numFmtId="38" fontId="0" fillId="0" borderId="0" xfId="0" applyNumberFormat="1" applyFont="1" applyAlignment="1" applyProtection="1">
      <alignment vertical="center"/>
      <protection locked="0"/>
    </xf>
    <xf numFmtId="20" fontId="135" fillId="0" borderId="30" xfId="0" applyNumberFormat="1" applyFont="1" applyBorder="1" applyAlignment="1" applyProtection="1">
      <alignment horizontal="center" vertical="center"/>
      <protection locked="0"/>
    </xf>
    <xf numFmtId="20" fontId="135" fillId="0" borderId="31" xfId="0" applyNumberFormat="1" applyFont="1" applyBorder="1" applyAlignment="1" applyProtection="1">
      <alignment horizontal="center" vertical="center"/>
      <protection locked="0"/>
    </xf>
    <xf numFmtId="20" fontId="135" fillId="0" borderId="32" xfId="0" applyNumberFormat="1" applyFont="1" applyBorder="1" applyAlignment="1" applyProtection="1">
      <alignment horizontal="center" vertical="center"/>
      <protection locked="0"/>
    </xf>
    <xf numFmtId="176" fontId="9" fillId="0" borderId="14" xfId="0" applyNumberFormat="1" applyFont="1" applyBorder="1" applyAlignment="1" applyProtection="1">
      <alignment horizontal="right" vertical="center" wrapText="1"/>
      <protection/>
    </xf>
    <xf numFmtId="58" fontId="0" fillId="0" borderId="13" xfId="0" applyNumberFormat="1" applyFont="1" applyBorder="1" applyAlignment="1" applyProtection="1">
      <alignment horizontal="left" vertical="center"/>
      <protection locked="0"/>
    </xf>
    <xf numFmtId="0" fontId="119" fillId="33" borderId="13" xfId="0" applyFont="1" applyFill="1" applyBorder="1" applyAlignment="1" applyProtection="1">
      <alignment horizontal="left" vertical="center" wrapText="1"/>
      <protection locked="0"/>
    </xf>
    <xf numFmtId="0" fontId="121" fillId="0" borderId="95" xfId="0" applyFont="1" applyBorder="1" applyAlignment="1" applyProtection="1">
      <alignment horizontal="left" vertical="center" wrapText="1"/>
      <protection locked="0"/>
    </xf>
    <xf numFmtId="0" fontId="121" fillId="0" borderId="14" xfId="0" applyFont="1" applyBorder="1" applyAlignment="1" applyProtection="1">
      <alignment horizontal="left" vertical="center" wrapText="1"/>
      <protection locked="0"/>
    </xf>
    <xf numFmtId="0" fontId="125" fillId="0" borderId="0" xfId="0" applyFont="1" applyBorder="1" applyAlignment="1" applyProtection="1">
      <alignment vertical="center"/>
      <protection locked="0"/>
    </xf>
    <xf numFmtId="38" fontId="0" fillId="33" borderId="13" xfId="50" applyFont="1" applyFill="1" applyBorder="1" applyAlignment="1" applyProtection="1">
      <alignment horizontal="right" vertical="center"/>
      <protection/>
    </xf>
    <xf numFmtId="176" fontId="9" fillId="0" borderId="13" xfId="0" applyNumberFormat="1" applyFont="1" applyBorder="1" applyAlignment="1" applyProtection="1">
      <alignment horizontal="right" vertical="center" wrapText="1"/>
      <protection/>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58" fontId="0" fillId="0" borderId="13" xfId="0" applyNumberFormat="1" applyBorder="1" applyAlignment="1" applyProtection="1">
      <alignment horizontal="left" vertical="center"/>
      <protection locked="0"/>
    </xf>
    <xf numFmtId="0" fontId="0" fillId="33" borderId="0" xfId="0" applyFont="1" applyFill="1" applyAlignment="1" applyProtection="1">
      <alignment vertical="center"/>
      <protection locked="0"/>
    </xf>
    <xf numFmtId="176" fontId="121" fillId="33" borderId="96" xfId="0" applyNumberFormat="1" applyFont="1" applyFill="1" applyBorder="1" applyAlignment="1" applyProtection="1">
      <alignment vertical="center" wrapText="1"/>
      <protection locked="0"/>
    </xf>
    <xf numFmtId="0" fontId="121" fillId="33" borderId="97" xfId="0" applyFont="1" applyFill="1" applyBorder="1" applyAlignment="1" applyProtection="1">
      <alignment vertical="center" wrapText="1"/>
      <protection locked="0"/>
    </xf>
    <xf numFmtId="195" fontId="9" fillId="0" borderId="13" xfId="0" applyNumberFormat="1" applyFont="1" applyBorder="1" applyAlignment="1" applyProtection="1">
      <alignment horizontal="right" vertical="center" wrapText="1"/>
      <protection locked="0"/>
    </xf>
    <xf numFmtId="0" fontId="120" fillId="0" borderId="11" xfId="0" applyFont="1" applyBorder="1" applyAlignment="1" applyProtection="1">
      <alignment horizontal="right" vertical="center" wrapText="1"/>
      <protection locked="0"/>
    </xf>
    <xf numFmtId="0" fontId="121" fillId="33" borderId="13" xfId="0" applyFont="1" applyFill="1" applyBorder="1" applyAlignment="1" applyProtection="1">
      <alignment horizontal="left" vertical="center" wrapText="1"/>
      <protection locked="0"/>
    </xf>
    <xf numFmtId="0" fontId="121" fillId="0" borderId="13" xfId="0" applyFont="1" applyBorder="1" applyAlignment="1" applyProtection="1">
      <alignment horizontal="left" vertical="center" wrapText="1"/>
      <protection locked="0"/>
    </xf>
    <xf numFmtId="177" fontId="9" fillId="0" borderId="13"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locked="0"/>
    </xf>
    <xf numFmtId="0" fontId="120" fillId="0" borderId="12" xfId="0" applyFont="1" applyBorder="1" applyAlignment="1" applyProtection="1">
      <alignment horizontal="right" vertical="center" wrapText="1"/>
      <protection locked="0"/>
    </xf>
    <xf numFmtId="0" fontId="121" fillId="33" borderId="13" xfId="0" applyFont="1" applyFill="1" applyBorder="1" applyAlignment="1" applyProtection="1">
      <alignment horizontal="left" vertical="center" shrinkToFit="1"/>
      <protection locked="0"/>
    </xf>
    <xf numFmtId="0" fontId="121" fillId="0" borderId="13" xfId="0" applyFont="1" applyBorder="1" applyAlignment="1" applyProtection="1">
      <alignment horizontal="left" vertical="center" shrinkToFit="1"/>
      <protection locked="0"/>
    </xf>
    <xf numFmtId="0" fontId="120" fillId="0" borderId="0" xfId="0" applyFont="1" applyAlignment="1" applyProtection="1">
      <alignment horizontal="center" vertical="center"/>
      <protection locked="0"/>
    </xf>
    <xf numFmtId="178" fontId="121"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1" fillId="33" borderId="14" xfId="0" applyFont="1" applyFill="1" applyBorder="1" applyAlignment="1" applyProtection="1">
      <alignment horizontal="left" vertical="center" wrapText="1"/>
      <protection locked="0"/>
    </xf>
    <xf numFmtId="195" fontId="9" fillId="0" borderId="14" xfId="0" applyNumberFormat="1" applyFont="1" applyBorder="1" applyAlignment="1" applyProtection="1">
      <alignment horizontal="right" vertical="center" wrapText="1"/>
      <protection locked="0"/>
    </xf>
    <xf numFmtId="177" fontId="9" fillId="0" borderId="14" xfId="0" applyNumberFormat="1" applyFont="1" applyBorder="1" applyAlignment="1" applyProtection="1">
      <alignment horizontal="right" vertical="center" wrapText="1"/>
      <protection locked="0"/>
    </xf>
    <xf numFmtId="0" fontId="120" fillId="0" borderId="11" xfId="0" applyFont="1" applyBorder="1" applyAlignment="1" applyProtection="1">
      <alignment horizontal="center" vertical="center" wrapText="1"/>
      <protection locked="0"/>
    </xf>
    <xf numFmtId="0" fontId="120" fillId="0" borderId="12" xfId="0" applyFont="1" applyBorder="1" applyAlignment="1" applyProtection="1">
      <alignment horizontal="center" vertical="center" wrapText="1"/>
      <protection locked="0"/>
    </xf>
    <xf numFmtId="0" fontId="121" fillId="0" borderId="98" xfId="0" applyFont="1" applyBorder="1" applyAlignment="1" applyProtection="1">
      <alignment horizontal="left" vertical="center" wrapText="1"/>
      <protection locked="0"/>
    </xf>
    <xf numFmtId="38" fontId="0" fillId="7" borderId="13" xfId="50" applyFont="1" applyFill="1" applyBorder="1" applyAlignment="1" applyProtection="1">
      <alignment horizontal="right" vertical="center"/>
      <protection locked="0"/>
    </xf>
    <xf numFmtId="38" fontId="0" fillId="0" borderId="0" xfId="50" applyFont="1" applyAlignment="1" applyProtection="1">
      <alignment vertical="center"/>
      <protection locked="0"/>
    </xf>
    <xf numFmtId="38" fontId="0" fillId="0" borderId="0" xfId="50" applyFont="1" applyAlignment="1" applyProtection="1">
      <alignment vertical="center"/>
      <protection/>
    </xf>
    <xf numFmtId="38" fontId="118" fillId="0" borderId="0" xfId="50" applyFont="1" applyAlignment="1" applyProtection="1">
      <alignment vertical="center"/>
      <protection locked="0"/>
    </xf>
    <xf numFmtId="38" fontId="117" fillId="0" borderId="10" xfId="50" applyFont="1" applyBorder="1" applyAlignment="1" applyProtection="1">
      <alignment horizontal="center" vertical="top" wrapText="1"/>
      <protection locked="0"/>
    </xf>
    <xf numFmtId="176" fontId="9" fillId="0" borderId="14" xfId="0" applyNumberFormat="1" applyFont="1" applyBorder="1" applyAlignment="1" applyProtection="1">
      <alignment horizontal="right" vertical="center" wrapText="1"/>
      <protection locked="0"/>
    </xf>
    <xf numFmtId="38" fontId="11" fillId="0" borderId="0" xfId="53" applyFont="1" applyAlignment="1">
      <alignment vertical="center"/>
    </xf>
    <xf numFmtId="38" fontId="15" fillId="0" borderId="0" xfId="53" applyFont="1" applyFill="1" applyBorder="1" applyAlignment="1">
      <alignment vertical="center" wrapText="1"/>
    </xf>
    <xf numFmtId="0" fontId="17" fillId="0" borderId="0" xfId="65" applyFont="1" applyAlignment="1">
      <alignment horizontal="center" vertical="top" wrapText="1"/>
      <protection/>
    </xf>
    <xf numFmtId="38" fontId="18" fillId="0" borderId="0" xfId="53" applyFont="1" applyAlignment="1">
      <alignment vertical="center"/>
    </xf>
    <xf numFmtId="38" fontId="19" fillId="0" borderId="0" xfId="53" applyFont="1" applyFill="1" applyBorder="1" applyAlignment="1">
      <alignment horizontal="center" vertical="center" wrapText="1"/>
    </xf>
    <xf numFmtId="38" fontId="6" fillId="0" borderId="0" xfId="53" applyFont="1" applyFill="1" applyBorder="1" applyAlignment="1">
      <alignment horizontal="left" vertical="center" wrapText="1"/>
    </xf>
    <xf numFmtId="0" fontId="137" fillId="0" borderId="0" xfId="65" applyFont="1">
      <alignment/>
      <protection/>
    </xf>
    <xf numFmtId="38" fontId="3" fillId="0" borderId="0" xfId="53" applyFont="1" applyAlignment="1">
      <alignment vertical="center"/>
    </xf>
    <xf numFmtId="38" fontId="3" fillId="0" borderId="34" xfId="53" applyFont="1" applyFill="1" applyBorder="1" applyAlignment="1">
      <alignment horizontal="center" vertical="center"/>
    </xf>
    <xf numFmtId="38" fontId="3" fillId="0" borderId="35" xfId="53" applyFont="1" applyFill="1" applyBorder="1" applyAlignment="1">
      <alignment horizontal="right" vertical="center"/>
    </xf>
    <xf numFmtId="38" fontId="3" fillId="0" borderId="36" xfId="53" applyFont="1" applyFill="1" applyBorder="1" applyAlignment="1">
      <alignment horizontal="right" vertical="center"/>
    </xf>
    <xf numFmtId="38" fontId="3" fillId="0" borderId="37" xfId="53" applyFont="1" applyFill="1" applyBorder="1" applyAlignment="1">
      <alignment vertical="center"/>
    </xf>
    <xf numFmtId="38" fontId="3" fillId="0" borderId="0" xfId="53" applyFont="1" applyFill="1" applyBorder="1" applyAlignment="1">
      <alignment horizontal="right" vertical="center"/>
    </xf>
    <xf numFmtId="38" fontId="3" fillId="0" borderId="0" xfId="53" applyFont="1" applyFill="1" applyBorder="1" applyAlignment="1">
      <alignment vertical="center"/>
    </xf>
    <xf numFmtId="38" fontId="3" fillId="0" borderId="38" xfId="53" applyFont="1" applyFill="1" applyBorder="1" applyAlignment="1">
      <alignment horizontal="centerContinuous" vertical="center"/>
    </xf>
    <xf numFmtId="38" fontId="3" fillId="0" borderId="0" xfId="53" applyFont="1" applyFill="1" applyBorder="1" applyAlignment="1">
      <alignment horizontal="centerContinuous" vertical="center"/>
    </xf>
    <xf numFmtId="38" fontId="3" fillId="0" borderId="39" xfId="53" applyFont="1" applyFill="1" applyBorder="1" applyAlignment="1">
      <alignment horizontal="centerContinuous" vertical="center"/>
    </xf>
    <xf numFmtId="38" fontId="3" fillId="0" borderId="37" xfId="53" applyFont="1" applyFill="1" applyBorder="1" applyAlignment="1">
      <alignment horizontal="centerContinuous" vertical="center"/>
    </xf>
    <xf numFmtId="38" fontId="3" fillId="0" borderId="40" xfId="53" applyFont="1" applyFill="1" applyBorder="1" applyAlignment="1">
      <alignment horizontal="centerContinuous" vertical="center"/>
    </xf>
    <xf numFmtId="38" fontId="3" fillId="0" borderId="41" xfId="53" applyFont="1" applyFill="1" applyBorder="1" applyAlignment="1">
      <alignment horizontal="centerContinuous" vertical="center"/>
    </xf>
    <xf numFmtId="38" fontId="3" fillId="0" borderId="42" xfId="53" applyFont="1" applyFill="1" applyBorder="1" applyAlignment="1">
      <alignment horizontal="centerContinuous" vertical="center"/>
    </xf>
    <xf numFmtId="38" fontId="3" fillId="0" borderId="43" xfId="53" applyFont="1" applyFill="1" applyBorder="1" applyAlignment="1">
      <alignment horizontal="centerContinuous" vertical="center"/>
    </xf>
    <xf numFmtId="38" fontId="3" fillId="0" borderId="44" xfId="53" applyFont="1" applyFill="1" applyBorder="1" applyAlignment="1">
      <alignment horizontal="centerContinuous" vertical="center"/>
    </xf>
    <xf numFmtId="38" fontId="3" fillId="0" borderId="45" xfId="53" applyFont="1" applyFill="1" applyBorder="1" applyAlignment="1">
      <alignment horizontal="centerContinuous" vertical="center"/>
    </xf>
    <xf numFmtId="38" fontId="3" fillId="0" borderId="46" xfId="53" applyFont="1" applyFill="1" applyBorder="1" applyAlignment="1">
      <alignment horizontal="centerContinuous" vertical="center"/>
    </xf>
    <xf numFmtId="38" fontId="3" fillId="0" borderId="47" xfId="53" applyFont="1" applyFill="1" applyBorder="1" applyAlignment="1">
      <alignment horizontal="center" vertical="center" shrinkToFit="1"/>
    </xf>
    <xf numFmtId="38" fontId="3" fillId="0" borderId="48" xfId="53" applyFont="1" applyFill="1" applyBorder="1" applyAlignment="1">
      <alignment horizontal="right" vertical="center" shrinkToFit="1"/>
    </xf>
    <xf numFmtId="38" fontId="3" fillId="0" borderId="49" xfId="53" applyFont="1" applyFill="1" applyBorder="1" applyAlignment="1">
      <alignment horizontal="right" vertical="center" shrinkToFit="1"/>
    </xf>
    <xf numFmtId="38" fontId="3" fillId="0" borderId="45" xfId="53" applyFont="1" applyFill="1" applyBorder="1" applyAlignment="1">
      <alignment vertical="center" shrinkToFit="1"/>
    </xf>
    <xf numFmtId="38" fontId="3" fillId="0" borderId="0" xfId="53" applyFont="1" applyFill="1" applyBorder="1" applyAlignment="1">
      <alignment horizontal="right" vertical="center" shrinkToFit="1"/>
    </xf>
    <xf numFmtId="38" fontId="3" fillId="0" borderId="0" xfId="53" applyFont="1" applyFill="1" applyBorder="1" applyAlignment="1">
      <alignment horizontal="center" vertical="center" shrinkToFit="1"/>
    </xf>
    <xf numFmtId="190" fontId="3" fillId="0" borderId="38" xfId="53" applyNumberFormat="1" applyFont="1" applyFill="1" applyBorder="1" applyAlignment="1">
      <alignment vertical="center" shrinkToFit="1"/>
    </xf>
    <xf numFmtId="38" fontId="3" fillId="0" borderId="44" xfId="53" applyFont="1" applyFill="1" applyBorder="1" applyAlignment="1">
      <alignment vertical="center" shrinkToFit="1"/>
    </xf>
    <xf numFmtId="190" fontId="3" fillId="0" borderId="0" xfId="53" applyNumberFormat="1" applyFont="1" applyFill="1" applyBorder="1" applyAlignment="1">
      <alignment vertical="center" shrinkToFit="1"/>
    </xf>
    <xf numFmtId="38" fontId="3" fillId="0" borderId="46" xfId="53" applyFont="1" applyFill="1" applyBorder="1" applyAlignment="1">
      <alignment horizontal="center" vertical="center" shrinkToFit="1"/>
    </xf>
    <xf numFmtId="38" fontId="3" fillId="0" borderId="44" xfId="53" applyFont="1" applyFill="1" applyBorder="1" applyAlignment="1">
      <alignment horizontal="center" vertical="center" shrinkToFit="1"/>
    </xf>
    <xf numFmtId="38" fontId="3" fillId="0" borderId="45" xfId="53" applyFont="1" applyFill="1" applyBorder="1" applyAlignment="1">
      <alignment horizontal="center" vertical="center" shrinkToFit="1"/>
    </xf>
    <xf numFmtId="38" fontId="3" fillId="0" borderId="0" xfId="53" applyFont="1" applyFill="1" applyAlignment="1">
      <alignment vertical="center"/>
    </xf>
    <xf numFmtId="38" fontId="3" fillId="35" borderId="50" xfId="53" applyFont="1" applyFill="1" applyBorder="1" applyAlignment="1">
      <alignment horizontal="center" vertical="center" shrinkToFit="1"/>
    </xf>
    <xf numFmtId="38" fontId="3" fillId="35" borderId="53" xfId="53" applyFont="1" applyFill="1" applyBorder="1" applyAlignment="1">
      <alignment horizontal="right" vertical="center" shrinkToFit="1"/>
    </xf>
    <xf numFmtId="38" fontId="3" fillId="35" borderId="54" xfId="53" applyFont="1" applyFill="1" applyBorder="1" applyAlignment="1">
      <alignment horizontal="right" vertical="center" shrinkToFit="1"/>
    </xf>
    <xf numFmtId="38" fontId="3" fillId="35" borderId="51" xfId="53" applyFont="1" applyFill="1" applyBorder="1" applyAlignment="1">
      <alignment vertical="center" shrinkToFit="1"/>
    </xf>
    <xf numFmtId="38" fontId="3" fillId="35" borderId="52" xfId="53" applyFont="1" applyFill="1" applyBorder="1" applyAlignment="1">
      <alignment horizontal="right" vertical="center" shrinkToFit="1"/>
    </xf>
    <xf numFmtId="38" fontId="3" fillId="35" borderId="52" xfId="53" applyFont="1" applyFill="1" applyBorder="1" applyAlignment="1">
      <alignment horizontal="center" vertical="center" shrinkToFit="1"/>
    </xf>
    <xf numFmtId="190" fontId="3" fillId="35" borderId="57" xfId="53" applyNumberFormat="1" applyFont="1" applyFill="1" applyBorder="1" applyAlignment="1">
      <alignment vertical="center" shrinkToFit="1"/>
    </xf>
    <xf numFmtId="38" fontId="3" fillId="35" borderId="55" xfId="53" applyFont="1" applyFill="1" applyBorder="1" applyAlignment="1">
      <alignment horizontal="center" vertical="center" shrinkToFit="1"/>
    </xf>
    <xf numFmtId="190" fontId="3" fillId="35" borderId="52" xfId="53" applyNumberFormat="1" applyFont="1" applyFill="1" applyBorder="1" applyAlignment="1">
      <alignment vertical="center" shrinkToFit="1"/>
    </xf>
    <xf numFmtId="38" fontId="3" fillId="35" borderId="51" xfId="53" applyFont="1" applyFill="1" applyBorder="1" applyAlignment="1">
      <alignment horizontal="center" vertical="center" shrinkToFit="1"/>
    </xf>
    <xf numFmtId="190" fontId="3" fillId="35" borderId="90" xfId="53" applyNumberFormat="1" applyFont="1" applyFill="1" applyBorder="1" applyAlignment="1">
      <alignment vertical="center" shrinkToFit="1"/>
    </xf>
    <xf numFmtId="38" fontId="3" fillId="35" borderId="56" xfId="53" applyFont="1" applyFill="1" applyBorder="1" applyAlignment="1">
      <alignment horizontal="center" vertical="center" shrinkToFit="1"/>
    </xf>
    <xf numFmtId="38" fontId="3" fillId="0" borderId="50" xfId="53" applyFont="1" applyFill="1" applyBorder="1" applyAlignment="1">
      <alignment horizontal="center" vertical="center" shrinkToFit="1"/>
    </xf>
    <xf numFmtId="38" fontId="3" fillId="0" borderId="53" xfId="53" applyFont="1" applyFill="1" applyBorder="1" applyAlignment="1">
      <alignment horizontal="right" vertical="center" shrinkToFit="1"/>
    </xf>
    <xf numFmtId="38" fontId="3" fillId="0" borderId="54" xfId="53" applyFont="1" applyFill="1" applyBorder="1" applyAlignment="1">
      <alignment horizontal="right" vertical="center" shrinkToFit="1"/>
    </xf>
    <xf numFmtId="38" fontId="3" fillId="0" borderId="51" xfId="53" applyFont="1" applyFill="1" applyBorder="1" applyAlignment="1">
      <alignment vertical="center" shrinkToFit="1"/>
    </xf>
    <xf numFmtId="38" fontId="3" fillId="0" borderId="52" xfId="53" applyFont="1" applyFill="1" applyBorder="1" applyAlignment="1">
      <alignment horizontal="right" vertical="center" shrinkToFit="1"/>
    </xf>
    <xf numFmtId="38" fontId="3" fillId="0" borderId="52" xfId="53" applyFont="1" applyFill="1" applyBorder="1" applyAlignment="1">
      <alignment horizontal="center" vertical="center" shrinkToFit="1"/>
    </xf>
    <xf numFmtId="190" fontId="3" fillId="0" borderId="57" xfId="53" applyNumberFormat="1" applyFont="1" applyFill="1" applyBorder="1" applyAlignment="1">
      <alignment vertical="center" shrinkToFit="1"/>
    </xf>
    <xf numFmtId="38" fontId="3" fillId="0" borderId="55" xfId="53" applyFont="1" applyFill="1" applyBorder="1" applyAlignment="1">
      <alignment horizontal="center" vertical="center" shrinkToFit="1"/>
    </xf>
    <xf numFmtId="190" fontId="3" fillId="0" borderId="52" xfId="53" applyNumberFormat="1" applyFont="1" applyFill="1" applyBorder="1" applyAlignment="1">
      <alignment vertical="center" shrinkToFit="1"/>
    </xf>
    <xf numFmtId="38" fontId="3" fillId="0" borderId="51" xfId="53" applyFont="1" applyFill="1" applyBorder="1" applyAlignment="1">
      <alignment horizontal="center" vertical="center" shrinkToFit="1"/>
    </xf>
    <xf numFmtId="190" fontId="3" fillId="0" borderId="90" xfId="53" applyNumberFormat="1" applyFont="1" applyFill="1" applyBorder="1" applyAlignment="1">
      <alignment vertical="center" shrinkToFit="1"/>
    </xf>
    <xf numFmtId="38" fontId="3" fillId="0" borderId="56" xfId="53" applyFont="1" applyFill="1" applyBorder="1" applyAlignment="1">
      <alignment horizontal="center" vertical="center" shrinkToFit="1"/>
    </xf>
    <xf numFmtId="38" fontId="3" fillId="0" borderId="57" xfId="53" applyFont="1" applyFill="1" applyBorder="1" applyAlignment="1">
      <alignment horizontal="right" vertical="center" shrinkToFit="1"/>
    </xf>
    <xf numFmtId="38" fontId="3" fillId="0" borderId="52" xfId="53" applyFont="1" applyFill="1" applyBorder="1" applyAlignment="1">
      <alignment vertical="center" shrinkToFit="1"/>
    </xf>
    <xf numFmtId="190" fontId="3" fillId="0" borderId="57" xfId="53" applyNumberFormat="1" applyFont="1" applyFill="1" applyBorder="1" applyAlignment="1">
      <alignment horizontal="right" vertical="center" shrinkToFit="1"/>
    </xf>
    <xf numFmtId="38" fontId="3" fillId="0" borderId="55" xfId="53" applyFont="1" applyFill="1" applyBorder="1" applyAlignment="1">
      <alignment horizontal="right" vertical="center" shrinkToFit="1"/>
    </xf>
    <xf numFmtId="190" fontId="3" fillId="0" borderId="52" xfId="53" applyNumberFormat="1" applyFont="1" applyFill="1" applyBorder="1" applyAlignment="1">
      <alignment horizontal="right" vertical="center" shrinkToFit="1"/>
    </xf>
    <xf numFmtId="38" fontId="3" fillId="0" borderId="51" xfId="53" applyFont="1" applyFill="1" applyBorder="1" applyAlignment="1">
      <alignment horizontal="right" vertical="center" shrinkToFit="1"/>
    </xf>
    <xf numFmtId="190" fontId="3" fillId="0" borderId="56" xfId="53" applyNumberFormat="1" applyFont="1" applyFill="1" applyBorder="1" applyAlignment="1">
      <alignment horizontal="right" vertical="center" shrinkToFit="1"/>
    </xf>
    <xf numFmtId="40" fontId="3" fillId="0" borderId="85" xfId="53" applyNumberFormat="1" applyFont="1" applyFill="1" applyBorder="1" applyAlignment="1">
      <alignment horizontal="right" vertical="center" shrinkToFit="1"/>
    </xf>
    <xf numFmtId="190" fontId="3" fillId="0" borderId="58" xfId="53" applyNumberFormat="1" applyFont="1" applyFill="1" applyBorder="1" applyAlignment="1">
      <alignment horizontal="right" vertical="center" shrinkToFit="1"/>
    </xf>
    <xf numFmtId="190" fontId="3" fillId="0" borderId="59" xfId="53" applyNumberFormat="1" applyFont="1" applyFill="1" applyBorder="1" applyAlignment="1">
      <alignment horizontal="right" vertical="center" shrinkToFit="1"/>
    </xf>
    <xf numFmtId="190" fontId="3" fillId="0" borderId="60" xfId="53" applyNumberFormat="1" applyFont="1" applyFill="1" applyBorder="1" applyAlignment="1">
      <alignment horizontal="right" vertical="center" shrinkToFit="1"/>
    </xf>
    <xf numFmtId="38" fontId="3" fillId="0" borderId="0" xfId="53" applyFont="1" applyBorder="1" applyAlignment="1">
      <alignment vertical="center"/>
    </xf>
    <xf numFmtId="38" fontId="3" fillId="35" borderId="57" xfId="53" applyFont="1" applyFill="1" applyBorder="1" applyAlignment="1">
      <alignment horizontal="right" vertical="center" shrinkToFit="1"/>
    </xf>
    <xf numFmtId="38" fontId="3" fillId="35" borderId="52" xfId="53" applyFont="1" applyFill="1" applyBorder="1" applyAlignment="1">
      <alignment vertical="center" shrinkToFit="1"/>
    </xf>
    <xf numFmtId="190" fontId="3" fillId="35" borderId="57" xfId="53" applyNumberFormat="1" applyFont="1" applyFill="1" applyBorder="1" applyAlignment="1">
      <alignment horizontal="right" vertical="center" shrinkToFit="1"/>
    </xf>
    <xf numFmtId="38" fontId="3" fillId="35" borderId="55" xfId="53" applyFont="1" applyFill="1" applyBorder="1" applyAlignment="1">
      <alignment horizontal="right" vertical="center" shrinkToFit="1"/>
    </xf>
    <xf numFmtId="190" fontId="3" fillId="35" borderId="52" xfId="53" applyNumberFormat="1" applyFont="1" applyFill="1" applyBorder="1" applyAlignment="1">
      <alignment horizontal="right" vertical="center" shrinkToFit="1"/>
    </xf>
    <xf numFmtId="38" fontId="3" fillId="35" borderId="51" xfId="53" applyFont="1" applyFill="1" applyBorder="1" applyAlignment="1">
      <alignment horizontal="right" vertical="center" shrinkToFit="1"/>
    </xf>
    <xf numFmtId="190" fontId="3" fillId="35" borderId="56" xfId="53" applyNumberFormat="1" applyFont="1" applyFill="1" applyBorder="1" applyAlignment="1">
      <alignment horizontal="right" vertical="center" shrinkToFit="1"/>
    </xf>
    <xf numFmtId="40" fontId="3" fillId="35" borderId="52" xfId="53" applyNumberFormat="1" applyFont="1" applyFill="1" applyBorder="1" applyAlignment="1">
      <alignment horizontal="right" vertical="center" shrinkToFit="1"/>
    </xf>
    <xf numFmtId="190" fontId="3" fillId="35" borderId="55" xfId="53" applyNumberFormat="1" applyFont="1" applyFill="1" applyBorder="1" applyAlignment="1">
      <alignment horizontal="right" vertical="center" shrinkToFit="1"/>
    </xf>
    <xf numFmtId="190" fontId="3" fillId="35" borderId="51" xfId="53" applyNumberFormat="1" applyFont="1" applyFill="1" applyBorder="1" applyAlignment="1">
      <alignment horizontal="right" vertical="center" shrinkToFit="1"/>
    </xf>
    <xf numFmtId="40" fontId="3" fillId="0" borderId="52" xfId="53" applyNumberFormat="1" applyFont="1" applyFill="1" applyBorder="1" applyAlignment="1">
      <alignment horizontal="right" vertical="center" shrinkToFit="1"/>
    </xf>
    <xf numFmtId="190" fontId="3" fillId="0" borderId="55" xfId="53" applyNumberFormat="1" applyFont="1" applyFill="1" applyBorder="1" applyAlignment="1">
      <alignment horizontal="right" vertical="center" shrinkToFit="1"/>
    </xf>
    <xf numFmtId="190" fontId="3" fillId="0" borderId="51" xfId="53" applyNumberFormat="1" applyFont="1" applyFill="1" applyBorder="1" applyAlignment="1">
      <alignment horizontal="right" vertical="center" shrinkToFit="1"/>
    </xf>
    <xf numFmtId="38" fontId="3" fillId="35" borderId="62" xfId="53" applyFont="1" applyFill="1" applyBorder="1" applyAlignment="1">
      <alignment horizontal="right" vertical="center" shrinkToFit="1"/>
    </xf>
    <xf numFmtId="38" fontId="3" fillId="35" borderId="69" xfId="53" applyFont="1" applyFill="1" applyBorder="1" applyAlignment="1">
      <alignment horizontal="right" vertical="center" shrinkToFit="1"/>
    </xf>
    <xf numFmtId="38" fontId="3" fillId="35" borderId="61" xfId="53" applyFont="1" applyFill="1" applyBorder="1" applyAlignment="1">
      <alignment horizontal="center" vertical="center" shrinkToFit="1"/>
    </xf>
    <xf numFmtId="38" fontId="3" fillId="35" borderId="86" xfId="53" applyFont="1" applyFill="1" applyBorder="1" applyAlignment="1">
      <alignment horizontal="right" vertical="center" shrinkToFit="1"/>
    </xf>
    <xf numFmtId="38" fontId="3" fillId="35" borderId="61" xfId="53" applyFont="1" applyFill="1" applyBorder="1" applyAlignment="1">
      <alignment vertical="center" shrinkToFit="1"/>
    </xf>
    <xf numFmtId="190" fontId="3" fillId="35" borderId="86" xfId="53" applyNumberFormat="1" applyFont="1" applyFill="1" applyBorder="1" applyAlignment="1">
      <alignment horizontal="right" vertical="center" shrinkToFit="1"/>
    </xf>
    <xf numFmtId="38" fontId="3" fillId="35" borderId="66" xfId="53" applyFont="1" applyFill="1" applyBorder="1" applyAlignment="1">
      <alignment horizontal="right" vertical="center" shrinkToFit="1"/>
    </xf>
    <xf numFmtId="190" fontId="3" fillId="35" borderId="61" xfId="53" applyNumberFormat="1" applyFont="1" applyFill="1" applyBorder="1" applyAlignment="1">
      <alignment horizontal="right" vertical="center" shrinkToFit="1"/>
    </xf>
    <xf numFmtId="38" fontId="3" fillId="35" borderId="67" xfId="53" applyFont="1" applyFill="1" applyBorder="1" applyAlignment="1">
      <alignment horizontal="right" vertical="center" shrinkToFit="1"/>
    </xf>
    <xf numFmtId="190" fontId="3" fillId="35" borderId="68" xfId="53" applyNumberFormat="1" applyFont="1" applyFill="1" applyBorder="1" applyAlignment="1">
      <alignment horizontal="right" vertical="center" shrinkToFit="1"/>
    </xf>
    <xf numFmtId="38" fontId="3" fillId="0" borderId="62" xfId="53" applyFont="1" applyFill="1" applyBorder="1" applyAlignment="1">
      <alignment horizontal="right" vertical="center" shrinkToFit="1"/>
    </xf>
    <xf numFmtId="38" fontId="3" fillId="0" borderId="63" xfId="53" applyFont="1" applyFill="1" applyBorder="1" applyAlignment="1">
      <alignment horizontal="right" vertical="center" shrinkToFit="1"/>
    </xf>
    <xf numFmtId="38" fontId="3" fillId="0" borderId="64" xfId="53" applyFont="1" applyFill="1" applyBorder="1" applyAlignment="1">
      <alignment horizontal="center" vertical="center" shrinkToFit="1"/>
    </xf>
    <xf numFmtId="38" fontId="3" fillId="0" borderId="65" xfId="53" applyFont="1" applyFill="1" applyBorder="1" applyAlignment="1">
      <alignment horizontal="right" vertical="center" shrinkToFit="1"/>
    </xf>
    <xf numFmtId="38" fontId="3" fillId="0" borderId="61" xfId="53" applyFont="1" applyFill="1" applyBorder="1" applyAlignment="1">
      <alignment vertical="center" shrinkToFit="1"/>
    </xf>
    <xf numFmtId="190" fontId="3" fillId="0" borderId="86" xfId="53" applyNumberFormat="1" applyFont="1" applyFill="1" applyBorder="1" applyAlignment="1">
      <alignment horizontal="right" vertical="center" shrinkToFit="1"/>
    </xf>
    <xf numFmtId="38" fontId="3" fillId="0" borderId="66" xfId="53" applyFont="1" applyFill="1" applyBorder="1" applyAlignment="1">
      <alignment horizontal="right" vertical="center" shrinkToFit="1"/>
    </xf>
    <xf numFmtId="190" fontId="3" fillId="0" borderId="61" xfId="53" applyNumberFormat="1" applyFont="1" applyFill="1" applyBorder="1" applyAlignment="1">
      <alignment horizontal="right" vertical="center" shrinkToFit="1"/>
    </xf>
    <xf numFmtId="38" fontId="3" fillId="0" borderId="67" xfId="53" applyFont="1" applyFill="1" applyBorder="1" applyAlignment="1">
      <alignment horizontal="right" vertical="center" shrinkToFit="1"/>
    </xf>
    <xf numFmtId="190" fontId="3" fillId="0" borderId="68" xfId="53" applyNumberFormat="1" applyFont="1" applyFill="1" applyBorder="1" applyAlignment="1">
      <alignment horizontal="right" vertical="center" shrinkToFit="1"/>
    </xf>
    <xf numFmtId="38" fontId="3" fillId="35" borderId="63" xfId="53" applyFont="1" applyFill="1" applyBorder="1" applyAlignment="1">
      <alignment horizontal="right" vertical="center" shrinkToFit="1"/>
    </xf>
    <xf numFmtId="38" fontId="3" fillId="35" borderId="64" xfId="53" applyFont="1" applyFill="1" applyBorder="1" applyAlignment="1">
      <alignment horizontal="center" vertical="center" shrinkToFit="1"/>
    </xf>
    <xf numFmtId="38" fontId="3" fillId="35" borderId="65" xfId="53" applyFont="1" applyFill="1" applyBorder="1" applyAlignment="1">
      <alignment horizontal="right" vertical="center" shrinkToFit="1"/>
    </xf>
    <xf numFmtId="38" fontId="3" fillId="0" borderId="61" xfId="53" applyFont="1" applyFill="1" applyBorder="1" applyAlignment="1">
      <alignment horizontal="right" vertical="center" shrinkToFit="1"/>
    </xf>
    <xf numFmtId="190" fontId="3" fillId="0" borderId="88" xfId="53" applyNumberFormat="1" applyFont="1" applyFill="1" applyBorder="1" applyAlignment="1">
      <alignment horizontal="right" vertical="center" shrinkToFit="1"/>
    </xf>
    <xf numFmtId="38" fontId="3" fillId="35" borderId="61" xfId="53" applyFont="1" applyFill="1" applyBorder="1" applyAlignment="1">
      <alignment horizontal="right" vertical="center" shrinkToFit="1"/>
    </xf>
    <xf numFmtId="190" fontId="3" fillId="35" borderId="88" xfId="53" applyNumberFormat="1" applyFont="1" applyFill="1" applyBorder="1" applyAlignment="1">
      <alignment horizontal="right" vertical="center" shrinkToFit="1"/>
    </xf>
    <xf numFmtId="38" fontId="3" fillId="0" borderId="69" xfId="53" applyFont="1" applyFill="1" applyBorder="1" applyAlignment="1">
      <alignment horizontal="right" vertical="center" shrinkToFit="1"/>
    </xf>
    <xf numFmtId="38" fontId="3" fillId="0" borderId="61" xfId="53" applyFont="1" applyFill="1" applyBorder="1" applyAlignment="1">
      <alignment horizontal="center" vertical="center" shrinkToFit="1"/>
    </xf>
    <xf numFmtId="190" fontId="3" fillId="35" borderId="72" xfId="53" applyNumberFormat="1" applyFont="1" applyFill="1" applyBorder="1" applyAlignment="1">
      <alignment horizontal="right" vertical="center" shrinkToFit="1"/>
    </xf>
    <xf numFmtId="190" fontId="3" fillId="0" borderId="70" xfId="53" applyNumberFormat="1" applyFont="1" applyFill="1" applyBorder="1" applyAlignment="1">
      <alignment horizontal="right" vertical="center" shrinkToFit="1"/>
    </xf>
    <xf numFmtId="190" fontId="3" fillId="35" borderId="70" xfId="53" applyNumberFormat="1" applyFont="1" applyFill="1" applyBorder="1" applyAlignment="1">
      <alignment horizontal="right" vertical="center" shrinkToFit="1"/>
    </xf>
    <xf numFmtId="40" fontId="3" fillId="35" borderId="81" xfId="53" applyNumberFormat="1" applyFont="1" applyFill="1" applyBorder="1" applyAlignment="1">
      <alignment horizontal="right" vertical="center" shrinkToFit="1"/>
    </xf>
    <xf numFmtId="190" fontId="3" fillId="35" borderId="83" xfId="53" applyNumberFormat="1" applyFont="1" applyFill="1" applyBorder="1" applyAlignment="1">
      <alignment horizontal="right" vertical="center" shrinkToFit="1"/>
    </xf>
    <xf numFmtId="190" fontId="3" fillId="35" borderId="82" xfId="53" applyNumberFormat="1" applyFont="1" applyFill="1" applyBorder="1" applyAlignment="1">
      <alignment horizontal="right" vertical="center" shrinkToFit="1"/>
    </xf>
    <xf numFmtId="190" fontId="3" fillId="35" borderId="84" xfId="53" applyNumberFormat="1" applyFont="1" applyFill="1" applyBorder="1" applyAlignment="1">
      <alignment horizontal="right" vertical="center" shrinkToFit="1"/>
    </xf>
    <xf numFmtId="38" fontId="3" fillId="0" borderId="71" xfId="53" applyFont="1" applyFill="1" applyBorder="1" applyAlignment="1">
      <alignment horizontal="center" vertical="center" shrinkToFit="1"/>
    </xf>
    <xf numFmtId="190" fontId="3" fillId="0" borderId="72" xfId="53" applyNumberFormat="1" applyFont="1" applyFill="1" applyBorder="1" applyAlignment="1">
      <alignment horizontal="right" vertical="center" shrinkToFit="1"/>
    </xf>
    <xf numFmtId="38" fontId="3" fillId="35" borderId="71" xfId="53" applyFont="1" applyFill="1" applyBorder="1" applyAlignment="1">
      <alignment horizontal="center" vertical="center" shrinkToFit="1"/>
    </xf>
    <xf numFmtId="38" fontId="3" fillId="0" borderId="73" xfId="53" applyFont="1" applyFill="1" applyBorder="1" applyAlignment="1">
      <alignment horizontal="right" vertical="center" shrinkToFit="1"/>
    </xf>
    <xf numFmtId="38" fontId="3" fillId="0" borderId="74" xfId="53" applyFont="1" applyFill="1" applyBorder="1" applyAlignment="1">
      <alignment horizontal="center" vertical="center" shrinkToFit="1"/>
    </xf>
    <xf numFmtId="38" fontId="3" fillId="0" borderId="75" xfId="53" applyFont="1" applyFill="1" applyBorder="1" applyAlignment="1">
      <alignment horizontal="right" vertical="center" shrinkToFit="1"/>
    </xf>
    <xf numFmtId="38" fontId="3" fillId="0" borderId="0" xfId="53" applyFont="1" applyFill="1" applyBorder="1" applyAlignment="1">
      <alignment vertical="center" shrinkToFit="1"/>
    </xf>
    <xf numFmtId="190" fontId="3" fillId="0" borderId="38" xfId="53" applyNumberFormat="1" applyFont="1" applyFill="1" applyBorder="1" applyAlignment="1">
      <alignment horizontal="right" vertical="center" shrinkToFit="1"/>
    </xf>
    <xf numFmtId="190" fontId="3" fillId="0" borderId="89" xfId="53" applyNumberFormat="1" applyFont="1" applyFill="1" applyBorder="1" applyAlignment="1">
      <alignment horizontal="right" vertical="center" shrinkToFit="1"/>
    </xf>
    <xf numFmtId="38" fontId="3" fillId="0" borderId="45" xfId="53" applyFont="1" applyFill="1" applyBorder="1" applyAlignment="1">
      <alignment horizontal="right" vertical="center" shrinkToFit="1"/>
    </xf>
    <xf numFmtId="38" fontId="3" fillId="0" borderId="44" xfId="53" applyFont="1" applyFill="1" applyBorder="1" applyAlignment="1">
      <alignment horizontal="right" vertical="center" shrinkToFit="1"/>
    </xf>
    <xf numFmtId="190" fontId="3" fillId="0" borderId="76" xfId="53" applyNumberFormat="1" applyFont="1" applyFill="1" applyBorder="1" applyAlignment="1">
      <alignment horizontal="right" vertical="center" shrinkToFit="1"/>
    </xf>
    <xf numFmtId="190" fontId="3" fillId="35" borderId="90" xfId="53" applyNumberFormat="1" applyFont="1" applyFill="1" applyBorder="1" applyAlignment="1">
      <alignment horizontal="right" vertical="center" shrinkToFit="1"/>
    </xf>
    <xf numFmtId="190" fontId="3" fillId="35" borderId="78" xfId="53" applyNumberFormat="1" applyFont="1" applyFill="1" applyBorder="1" applyAlignment="1">
      <alignment horizontal="right" vertical="center" shrinkToFit="1"/>
    </xf>
    <xf numFmtId="38" fontId="3" fillId="0" borderId="77" xfId="53" applyFont="1" applyFill="1" applyBorder="1" applyAlignment="1">
      <alignment horizontal="center" vertical="center" shrinkToFit="1"/>
    </xf>
    <xf numFmtId="190" fontId="3" fillId="0" borderId="78" xfId="53" applyNumberFormat="1" applyFont="1" applyFill="1" applyBorder="1" applyAlignment="1">
      <alignment horizontal="right" vertical="center" shrinkToFit="1"/>
    </xf>
    <xf numFmtId="38" fontId="3" fillId="35" borderId="79" xfId="53" applyFont="1" applyFill="1" applyBorder="1" applyAlignment="1">
      <alignment horizontal="center" vertical="center" shrinkToFit="1"/>
    </xf>
    <xf numFmtId="38" fontId="3" fillId="0" borderId="79" xfId="53" applyFont="1" applyFill="1" applyBorder="1" applyAlignment="1">
      <alignment horizontal="center" vertical="center" shrinkToFit="1"/>
    </xf>
    <xf numFmtId="38" fontId="3" fillId="0" borderId="80" xfId="53" applyFont="1" applyFill="1" applyBorder="1" applyAlignment="1">
      <alignment horizontal="center" vertical="center" shrinkToFit="1"/>
    </xf>
    <xf numFmtId="38" fontId="3" fillId="0" borderId="81" xfId="53" applyFont="1" applyFill="1" applyBorder="1" applyAlignment="1">
      <alignment horizontal="right" vertical="center" shrinkToFit="1"/>
    </xf>
    <xf numFmtId="38" fontId="3" fillId="0" borderId="82" xfId="53" applyFont="1" applyFill="1" applyBorder="1" applyAlignment="1">
      <alignment horizontal="right" vertical="center" shrinkToFit="1"/>
    </xf>
    <xf numFmtId="38" fontId="3" fillId="0" borderId="82" xfId="53" applyFont="1" applyFill="1" applyBorder="1" applyAlignment="1">
      <alignment horizontal="center" vertical="center" shrinkToFit="1"/>
    </xf>
    <xf numFmtId="38" fontId="3" fillId="0" borderId="81" xfId="53" applyFont="1" applyFill="1" applyBorder="1" applyAlignment="1">
      <alignment horizontal="center" vertical="center" shrinkToFit="1"/>
    </xf>
    <xf numFmtId="38" fontId="3" fillId="0" borderId="82" xfId="53" applyFont="1" applyFill="1" applyBorder="1" applyAlignment="1">
      <alignment vertical="center" shrinkToFit="1"/>
    </xf>
    <xf numFmtId="190" fontId="3" fillId="0" borderId="87" xfId="53" applyNumberFormat="1" applyFont="1" applyFill="1" applyBorder="1" applyAlignment="1">
      <alignment horizontal="right" vertical="center" shrinkToFit="1"/>
    </xf>
    <xf numFmtId="38" fontId="3" fillId="0" borderId="83" xfId="53" applyFont="1" applyFill="1" applyBorder="1" applyAlignment="1">
      <alignment horizontal="right" vertical="center" shrinkToFit="1"/>
    </xf>
    <xf numFmtId="190" fontId="3" fillId="0" borderId="81" xfId="53" applyNumberFormat="1" applyFont="1" applyFill="1" applyBorder="1" applyAlignment="1">
      <alignment horizontal="right" vertical="center" shrinkToFit="1"/>
    </xf>
    <xf numFmtId="190" fontId="3" fillId="0" borderId="87" xfId="53" applyNumberFormat="1" applyFont="1" applyFill="1" applyBorder="1" applyAlignment="1">
      <alignment vertical="center" shrinkToFit="1"/>
    </xf>
    <xf numFmtId="190" fontId="3" fillId="0" borderId="91" xfId="53" applyNumberFormat="1" applyFont="1" applyFill="1" applyBorder="1" applyAlignment="1">
      <alignment vertical="center" shrinkToFit="1"/>
    </xf>
    <xf numFmtId="190" fontId="3" fillId="0" borderId="84" xfId="53" applyNumberFormat="1" applyFont="1" applyFill="1" applyBorder="1" applyAlignment="1">
      <alignment horizontal="right" vertical="center" shrinkToFit="1"/>
    </xf>
    <xf numFmtId="38" fontId="3" fillId="0" borderId="0" xfId="53" applyFont="1" applyFill="1" applyBorder="1" applyAlignment="1">
      <alignment vertical="center" wrapText="1"/>
    </xf>
    <xf numFmtId="38" fontId="8" fillId="0" borderId="0" xfId="53" applyFont="1" applyAlignment="1">
      <alignment vertical="center"/>
    </xf>
    <xf numFmtId="38" fontId="8" fillId="0" borderId="0" xfId="53" applyFont="1" applyFill="1" applyBorder="1" applyAlignment="1">
      <alignment vertical="center" wrapText="1"/>
    </xf>
    <xf numFmtId="38" fontId="8" fillId="0" borderId="0" xfId="53" applyFont="1" applyAlignment="1">
      <alignment horizontal="left" vertical="center"/>
    </xf>
    <xf numFmtId="38" fontId="3" fillId="0" borderId="0" xfId="53" applyFont="1" applyAlignment="1">
      <alignment horizontal="left" vertical="center"/>
    </xf>
    <xf numFmtId="38" fontId="3" fillId="0" borderId="0" xfId="53" applyFont="1" applyAlignment="1">
      <alignment horizontal="right" vertical="center"/>
    </xf>
    <xf numFmtId="190" fontId="3" fillId="0" borderId="0" xfId="53" applyNumberFormat="1" applyFont="1" applyAlignment="1">
      <alignment vertical="center"/>
    </xf>
    <xf numFmtId="38" fontId="11" fillId="0" borderId="0" xfId="53" applyFont="1" applyAlignment="1">
      <alignment horizontal="right" vertical="center"/>
    </xf>
    <xf numFmtId="190" fontId="11" fillId="0" borderId="0" xfId="53" applyNumberFormat="1" applyFont="1" applyAlignment="1">
      <alignment vertical="center"/>
    </xf>
    <xf numFmtId="200" fontId="125" fillId="0" borderId="99" xfId="0" applyNumberFormat="1" applyFont="1" applyBorder="1" applyAlignment="1" applyProtection="1">
      <alignment horizontal="center" vertical="center"/>
      <protection/>
    </xf>
    <xf numFmtId="0" fontId="0" fillId="33" borderId="0" xfId="0" applyFill="1" applyBorder="1" applyAlignment="1" applyProtection="1">
      <alignment vertical="center"/>
      <protection locked="0"/>
    </xf>
    <xf numFmtId="0" fontId="142" fillId="7" borderId="33" xfId="0" applyFont="1" applyFill="1" applyBorder="1" applyAlignment="1" applyProtection="1">
      <alignment horizontal="center" vertical="center"/>
      <protection locked="0"/>
    </xf>
    <xf numFmtId="38" fontId="0" fillId="0" borderId="95" xfId="50" applyFont="1" applyBorder="1" applyAlignment="1" applyProtection="1">
      <alignment horizontal="right" vertical="center"/>
      <protection/>
    </xf>
    <xf numFmtId="38" fontId="0" fillId="0" borderId="32" xfId="50" applyFont="1" applyBorder="1" applyAlignment="1" applyProtection="1">
      <alignment horizontal="right" vertical="center"/>
      <protection locked="0"/>
    </xf>
    <xf numFmtId="38" fontId="0" fillId="0" borderId="100" xfId="50" applyFont="1" applyBorder="1" applyAlignment="1" applyProtection="1">
      <alignment horizontal="right" vertical="center"/>
      <protection locked="0"/>
    </xf>
    <xf numFmtId="0" fontId="118" fillId="0" borderId="0" xfId="0" applyFont="1" applyBorder="1" applyAlignment="1" applyProtection="1">
      <alignment horizontal="left" vertical="center"/>
      <protection locked="0"/>
    </xf>
    <xf numFmtId="194" fontId="3" fillId="0" borderId="0" xfId="53" applyNumberFormat="1" applyFont="1" applyAlignment="1" applyProtection="1">
      <alignment vertical="center"/>
      <protection locked="0"/>
    </xf>
    <xf numFmtId="197" fontId="3" fillId="0" borderId="0" xfId="53" applyNumberFormat="1" applyFont="1" applyAlignment="1" applyProtection="1">
      <alignment vertical="center"/>
      <protection locked="0"/>
    </xf>
    <xf numFmtId="0" fontId="143" fillId="33" borderId="0" xfId="0" applyFont="1" applyFill="1" applyAlignment="1" applyProtection="1">
      <alignment horizontal="center" vertical="center"/>
      <protection locked="0"/>
    </xf>
    <xf numFmtId="196" fontId="115" fillId="7" borderId="33" xfId="0" applyNumberFormat="1" applyFont="1" applyFill="1" applyBorder="1" applyAlignment="1" applyProtection="1">
      <alignment horizontal="center" vertical="center"/>
      <protection locked="0"/>
    </xf>
    <xf numFmtId="196" fontId="115" fillId="7" borderId="32"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0" fillId="0" borderId="33" xfId="0" applyBorder="1" applyAlignment="1" applyProtection="1">
      <alignment horizontal="center" vertical="center"/>
      <protection locked="0"/>
    </xf>
    <xf numFmtId="196" fontId="127" fillId="7" borderId="33"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locked="0"/>
    </xf>
    <xf numFmtId="176" fontId="121" fillId="0" borderId="15" xfId="0" applyNumberFormat="1" applyFont="1" applyBorder="1" applyAlignment="1" applyProtection="1">
      <alignment horizontal="right" vertical="center" wrapText="1"/>
      <protection/>
    </xf>
    <xf numFmtId="176" fontId="121" fillId="0" borderId="16" xfId="0" applyNumberFormat="1" applyFont="1" applyBorder="1" applyAlignment="1" applyProtection="1">
      <alignment horizontal="right" vertical="center" wrapText="1"/>
      <protection/>
    </xf>
    <xf numFmtId="0" fontId="142" fillId="33" borderId="0" xfId="0" applyFont="1" applyFill="1" applyBorder="1" applyAlignment="1" applyProtection="1">
      <alignment horizontal="center" vertical="center"/>
      <protection locked="0"/>
    </xf>
    <xf numFmtId="38" fontId="0" fillId="0" borderId="101" xfId="50" applyFont="1" applyBorder="1" applyAlignment="1" applyProtection="1">
      <alignment horizontal="right" vertical="center"/>
      <protection/>
    </xf>
    <xf numFmtId="38" fontId="0" fillId="33" borderId="101" xfId="50" applyFont="1" applyFill="1" applyBorder="1" applyAlignment="1" applyProtection="1">
      <alignment horizontal="right" vertical="center"/>
      <protection/>
    </xf>
    <xf numFmtId="38" fontId="141" fillId="0" borderId="13" xfId="50" applyFont="1" applyBorder="1" applyAlignment="1" applyProtection="1">
      <alignment horizontal="center" vertical="center"/>
      <protection/>
    </xf>
    <xf numFmtId="194" fontId="141" fillId="0" borderId="13" xfId="50" applyNumberFormat="1" applyFont="1" applyBorder="1" applyAlignment="1" applyProtection="1">
      <alignment horizontal="center" vertical="center"/>
      <protection/>
    </xf>
    <xf numFmtId="38" fontId="0" fillId="0" borderId="102" xfId="50" applyFont="1" applyBorder="1" applyAlignment="1" applyProtection="1">
      <alignment horizontal="right" vertical="center"/>
      <protection/>
    </xf>
    <xf numFmtId="0" fontId="0" fillId="0" borderId="10" xfId="0" applyBorder="1" applyAlignment="1" applyProtection="1">
      <alignment horizontal="center" vertical="center"/>
      <protection locked="0"/>
    </xf>
    <xf numFmtId="38" fontId="0" fillId="7" borderId="95" xfId="50" applyFont="1" applyFill="1" applyBorder="1" applyAlignment="1" applyProtection="1">
      <alignment horizontal="right" vertical="center"/>
      <protection locked="0"/>
    </xf>
    <xf numFmtId="38" fontId="0" fillId="7" borderId="98" xfId="50" applyFont="1" applyFill="1" applyBorder="1" applyAlignment="1" applyProtection="1">
      <alignment horizontal="right" vertical="center"/>
      <protection locked="0"/>
    </xf>
    <xf numFmtId="38" fontId="0" fillId="33" borderId="95" xfId="50" applyFont="1" applyFill="1" applyBorder="1" applyAlignment="1" applyProtection="1">
      <alignment horizontal="right" vertical="center"/>
      <protection/>
    </xf>
    <xf numFmtId="38" fontId="0" fillId="0" borderId="103" xfId="50" applyFont="1" applyBorder="1" applyAlignment="1" applyProtection="1">
      <alignment horizontal="right" vertical="center"/>
      <protection/>
    </xf>
    <xf numFmtId="38" fontId="0" fillId="33" borderId="98" xfId="50" applyFont="1" applyFill="1" applyBorder="1" applyAlignment="1" applyProtection="1">
      <alignment horizontal="right" vertical="center"/>
      <protection/>
    </xf>
    <xf numFmtId="38" fontId="116" fillId="7" borderId="13" xfId="50" applyFont="1" applyFill="1" applyBorder="1" applyAlignment="1" applyProtection="1">
      <alignment horizontal="right" vertical="center"/>
      <protection locked="0"/>
    </xf>
    <xf numFmtId="38" fontId="116" fillId="7" borderId="98" xfId="50"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104"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116" fillId="0" borderId="101" xfId="0" applyFont="1" applyBorder="1" applyAlignment="1" applyProtection="1">
      <alignment horizontal="center" vertical="center"/>
      <protection locked="0"/>
    </xf>
    <xf numFmtId="0" fontId="116" fillId="0" borderId="32" xfId="0" applyFont="1" applyBorder="1" applyAlignment="1" applyProtection="1">
      <alignment horizontal="center" vertical="center"/>
      <protection locked="0"/>
    </xf>
    <xf numFmtId="0" fontId="127" fillId="33" borderId="17" xfId="0" applyFont="1" applyFill="1" applyBorder="1" applyAlignment="1" applyProtection="1">
      <alignment horizontal="center" vertical="center"/>
      <protection locked="0"/>
    </xf>
    <xf numFmtId="196" fontId="115" fillId="33" borderId="33" xfId="0" applyNumberFormat="1" applyFont="1" applyFill="1" applyBorder="1" applyAlignment="1" applyProtection="1">
      <alignment horizontal="center" vertical="center"/>
      <protection locked="0"/>
    </xf>
    <xf numFmtId="196" fontId="115" fillId="33" borderId="32" xfId="0" applyNumberFormat="1" applyFont="1" applyFill="1" applyBorder="1" applyAlignment="1" applyProtection="1">
      <alignment horizontal="center" vertical="center"/>
      <protection locked="0"/>
    </xf>
    <xf numFmtId="196" fontId="127" fillId="33" borderId="33" xfId="0" applyNumberFormat="1" applyFont="1" applyFill="1" applyBorder="1" applyAlignment="1" applyProtection="1">
      <alignment horizontal="center" vertical="center"/>
      <protection locked="0"/>
    </xf>
    <xf numFmtId="0" fontId="127" fillId="33" borderId="97" xfId="0" applyFont="1" applyFill="1" applyBorder="1" applyAlignment="1" applyProtection="1">
      <alignment horizontal="center" vertical="center"/>
      <protection locked="0"/>
    </xf>
    <xf numFmtId="0" fontId="97" fillId="0" borderId="0" xfId="0" applyFont="1" applyAlignment="1" applyProtection="1">
      <alignment vertical="center"/>
      <protection locked="0"/>
    </xf>
    <xf numFmtId="38" fontId="0" fillId="33" borderId="13" xfId="50" applyFont="1" applyFill="1" applyBorder="1" applyAlignment="1" applyProtection="1">
      <alignment horizontal="right" vertical="center"/>
      <protection locked="0"/>
    </xf>
    <xf numFmtId="194" fontId="0" fillId="33" borderId="0" xfId="50" applyNumberFormat="1" applyFont="1" applyFill="1" applyBorder="1" applyAlignment="1" applyProtection="1">
      <alignment vertical="center"/>
      <protection locked="0"/>
    </xf>
    <xf numFmtId="38" fontId="125" fillId="33" borderId="0" xfId="50" applyFont="1" applyFill="1" applyBorder="1" applyAlignment="1" applyProtection="1">
      <alignment horizontal="center" vertical="center"/>
      <protection locked="0"/>
    </xf>
    <xf numFmtId="201" fontId="125" fillId="33" borderId="0" xfId="50" applyNumberFormat="1" applyFont="1" applyFill="1" applyBorder="1" applyAlignment="1" applyProtection="1">
      <alignment vertical="center"/>
      <protection locked="0"/>
    </xf>
    <xf numFmtId="184" fontId="9" fillId="0" borderId="13" xfId="0" applyNumberFormat="1" applyFont="1" applyBorder="1" applyAlignment="1" applyProtection="1">
      <alignment horizontal="right" vertical="center" wrapText="1"/>
      <protection locked="0"/>
    </xf>
    <xf numFmtId="0" fontId="121" fillId="33" borderId="95" xfId="0" applyFont="1" applyFill="1" applyBorder="1" applyAlignment="1" applyProtection="1">
      <alignment horizontal="left" vertical="center" wrapText="1"/>
      <protection locked="0"/>
    </xf>
    <xf numFmtId="0" fontId="119" fillId="0" borderId="13" xfId="0" applyFont="1" applyBorder="1" applyAlignment="1" applyProtection="1">
      <alignment horizontal="left" vertical="center" shrinkToFit="1"/>
      <protection locked="0"/>
    </xf>
    <xf numFmtId="0" fontId="119" fillId="0" borderId="95" xfId="0" applyFont="1" applyBorder="1" applyAlignment="1" applyProtection="1">
      <alignment horizontal="left" vertical="center" wrapText="1"/>
      <protection locked="0"/>
    </xf>
    <xf numFmtId="0" fontId="119" fillId="0" borderId="98" xfId="0" applyFont="1" applyBorder="1" applyAlignment="1" applyProtection="1">
      <alignment horizontal="left" vertical="center" wrapText="1"/>
      <protection locked="0"/>
    </xf>
    <xf numFmtId="0" fontId="126" fillId="0" borderId="0" xfId="0" applyFont="1" applyAlignment="1" applyProtection="1">
      <alignment horizontal="center" vertical="center"/>
      <protection locked="0"/>
    </xf>
    <xf numFmtId="0" fontId="7" fillId="33" borderId="13" xfId="0" applyFont="1" applyFill="1" applyBorder="1" applyAlignment="1" applyProtection="1">
      <alignment horizontal="left" vertical="center"/>
      <protection/>
    </xf>
    <xf numFmtId="38" fontId="116" fillId="33" borderId="13" xfId="50" applyFont="1" applyFill="1" applyBorder="1" applyAlignment="1" applyProtection="1">
      <alignment horizontal="right" vertical="center"/>
      <protection locked="0"/>
    </xf>
    <xf numFmtId="38" fontId="116" fillId="33" borderId="98" xfId="50" applyFont="1" applyFill="1" applyBorder="1" applyAlignment="1" applyProtection="1">
      <alignment horizontal="right" vertical="center"/>
      <protection locked="0"/>
    </xf>
    <xf numFmtId="0" fontId="0" fillId="0" borderId="13" xfId="0" applyBorder="1" applyAlignment="1" applyProtection="1">
      <alignment horizontal="center" vertical="center"/>
      <protection locked="0"/>
    </xf>
    <xf numFmtId="0" fontId="117" fillId="0" borderId="0" xfId="0" applyFont="1" applyAlignment="1" applyProtection="1">
      <alignment horizontal="left" vertical="center"/>
      <protection locked="0"/>
    </xf>
    <xf numFmtId="0" fontId="115" fillId="0" borderId="0" xfId="0" applyFont="1" applyBorder="1" applyAlignment="1" applyProtection="1">
      <alignment vertical="center"/>
      <protection locked="0"/>
    </xf>
    <xf numFmtId="0" fontId="13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5" fillId="0" borderId="0" xfId="0" applyFont="1" applyBorder="1" applyAlignment="1" applyProtection="1">
      <alignment vertical="center"/>
      <protection locked="0"/>
    </xf>
    <xf numFmtId="0" fontId="144" fillId="0" borderId="0" xfId="0" applyFont="1" applyBorder="1" applyAlignment="1" applyProtection="1">
      <alignment vertical="center"/>
      <protection locked="0"/>
    </xf>
    <xf numFmtId="0" fontId="144" fillId="0" borderId="0" xfId="0" applyFont="1" applyAlignment="1" applyProtection="1">
      <alignment vertical="center"/>
      <protection locked="0"/>
    </xf>
    <xf numFmtId="0" fontId="117" fillId="0" borderId="0" xfId="0" applyFont="1" applyAlignment="1" applyProtection="1">
      <alignment horizontal="left" vertical="center"/>
      <protection locked="0"/>
    </xf>
    <xf numFmtId="0" fontId="0" fillId="0" borderId="13" xfId="0" applyBorder="1" applyAlignment="1" applyProtection="1">
      <alignment horizontal="center" vertical="center"/>
      <protection locked="0"/>
    </xf>
    <xf numFmtId="0" fontId="120" fillId="0" borderId="0" xfId="0" applyFont="1" applyAlignment="1" applyProtection="1">
      <alignment horizontal="left" vertical="center"/>
      <protection locked="0"/>
    </xf>
    <xf numFmtId="0" fontId="145" fillId="0" borderId="0" xfId="0" applyFont="1" applyAlignment="1" applyProtection="1">
      <alignment horizontal="left" vertical="center"/>
      <protection locked="0"/>
    </xf>
    <xf numFmtId="0" fontId="135" fillId="33" borderId="0" xfId="0" applyFont="1" applyFill="1" applyBorder="1" applyAlignment="1" applyProtection="1">
      <alignment horizontal="center" vertical="center"/>
      <protection locked="0"/>
    </xf>
    <xf numFmtId="0" fontId="144" fillId="0" borderId="13" xfId="0" applyFont="1" applyBorder="1" applyAlignment="1" applyProtection="1">
      <alignment horizontal="center" vertical="center"/>
      <protection/>
    </xf>
    <xf numFmtId="0" fontId="16"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0" fillId="0" borderId="13" xfId="0"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protection locked="0"/>
    </xf>
    <xf numFmtId="0" fontId="135" fillId="0" borderId="0" xfId="0" applyFont="1" applyAlignment="1" applyProtection="1">
      <alignment horizontal="center" vertical="center"/>
      <protection locked="0"/>
    </xf>
    <xf numFmtId="0" fontId="146" fillId="0" borderId="0" xfId="0" applyFont="1" applyAlignment="1" applyProtection="1">
      <alignment vertical="center"/>
      <protection locked="0"/>
    </xf>
    <xf numFmtId="0" fontId="135" fillId="0" borderId="108" xfId="0" applyFont="1" applyBorder="1" applyAlignment="1" applyProtection="1">
      <alignment horizontal="center" vertical="center"/>
      <protection locked="0"/>
    </xf>
    <xf numFmtId="0" fontId="135" fillId="0" borderId="95" xfId="0" applyFont="1" applyBorder="1" applyAlignment="1" applyProtection="1">
      <alignment horizontal="center" vertical="center"/>
      <protection locked="0"/>
    </xf>
    <xf numFmtId="0" fontId="135" fillId="0" borderId="109" xfId="0" applyFont="1" applyBorder="1" applyAlignment="1" applyProtection="1">
      <alignment horizontal="center" vertical="center"/>
      <protection locked="0"/>
    </xf>
    <xf numFmtId="0" fontId="135" fillId="0" borderId="110" xfId="0" applyFont="1" applyBorder="1" applyAlignment="1" applyProtection="1">
      <alignment horizontal="center" vertical="center"/>
      <protection locked="0"/>
    </xf>
    <xf numFmtId="0" fontId="135" fillId="0" borderId="111" xfId="0" applyFont="1" applyBorder="1" applyAlignment="1" applyProtection="1">
      <alignment horizontal="center" vertical="center"/>
      <protection locked="0"/>
    </xf>
    <xf numFmtId="0" fontId="135" fillId="0" borderId="112" xfId="0" applyFont="1" applyBorder="1" applyAlignment="1" applyProtection="1">
      <alignment horizontal="center" vertical="center" wrapText="1"/>
      <protection locked="0"/>
    </xf>
    <xf numFmtId="0" fontId="135" fillId="0" borderId="13" xfId="0" applyFont="1" applyBorder="1" applyAlignment="1" applyProtection="1">
      <alignment horizontal="center" vertical="center" wrapText="1"/>
      <protection locked="0"/>
    </xf>
    <xf numFmtId="0" fontId="135" fillId="0" borderId="12" xfId="0" applyFont="1" applyBorder="1" applyAlignment="1" applyProtection="1">
      <alignment horizontal="center" vertical="center" wrapText="1"/>
      <protection/>
    </xf>
    <xf numFmtId="213" fontId="26" fillId="0" borderId="13" xfId="50" applyNumberFormat="1" applyFont="1" applyFill="1" applyBorder="1" applyAlignment="1" applyProtection="1">
      <alignment vertical="center" wrapText="1"/>
      <protection locked="0"/>
    </xf>
    <xf numFmtId="213" fontId="26" fillId="0" borderId="113" xfId="50" applyNumberFormat="1" applyFont="1" applyFill="1" applyBorder="1" applyAlignment="1" applyProtection="1">
      <alignment vertical="center" wrapText="1"/>
      <protection/>
    </xf>
    <xf numFmtId="213" fontId="26" fillId="0" borderId="114" xfId="50" applyNumberFormat="1" applyFont="1" applyFill="1" applyBorder="1" applyAlignment="1" applyProtection="1">
      <alignment vertical="center" wrapText="1"/>
      <protection/>
    </xf>
    <xf numFmtId="0" fontId="135" fillId="0" borderId="114" xfId="0" applyFont="1" applyBorder="1" applyAlignment="1" applyProtection="1">
      <alignment horizontal="center" vertical="center" wrapText="1"/>
      <protection/>
    </xf>
    <xf numFmtId="0" fontId="135" fillId="0" borderId="13" xfId="0" applyFont="1" applyBorder="1" applyAlignment="1" applyProtection="1">
      <alignment vertical="center" wrapText="1"/>
      <protection locked="0"/>
    </xf>
    <xf numFmtId="213" fontId="26" fillId="0" borderId="112" xfId="50" applyNumberFormat="1" applyFont="1" applyFill="1" applyBorder="1" applyAlignment="1" applyProtection="1">
      <alignment vertical="center" wrapText="1"/>
      <protection/>
    </xf>
    <xf numFmtId="0" fontId="135" fillId="0" borderId="13" xfId="0" applyFont="1" applyBorder="1" applyAlignment="1" applyProtection="1">
      <alignment horizontal="center" vertical="center" wrapText="1"/>
      <protection/>
    </xf>
    <xf numFmtId="213" fontId="26" fillId="0" borderId="13" xfId="50" applyNumberFormat="1" applyFont="1" applyFill="1" applyBorder="1" applyAlignment="1" applyProtection="1">
      <alignment vertical="center" wrapText="1"/>
      <protection/>
    </xf>
    <xf numFmtId="0" fontId="135" fillId="0" borderId="115" xfId="0" applyFont="1" applyBorder="1" applyAlignment="1" applyProtection="1">
      <alignment horizontal="center" vertical="center" wrapText="1"/>
      <protection/>
    </xf>
    <xf numFmtId="213" fontId="26" fillId="0" borderId="98" xfId="50" applyNumberFormat="1" applyFont="1" applyFill="1" applyBorder="1" applyAlignment="1" applyProtection="1">
      <alignment vertical="center" wrapText="1"/>
      <protection locked="0"/>
    </xf>
    <xf numFmtId="213" fontId="26" fillId="0" borderId="116" xfId="50" applyNumberFormat="1" applyFont="1" applyFill="1" applyBorder="1" applyAlignment="1" applyProtection="1">
      <alignment vertical="center" wrapText="1"/>
      <protection/>
    </xf>
    <xf numFmtId="213" fontId="26" fillId="0" borderId="117" xfId="50" applyNumberFormat="1" applyFont="1" applyFill="1" applyBorder="1" applyAlignment="1" applyProtection="1">
      <alignment vertical="center" wrapText="1"/>
      <protection/>
    </xf>
    <xf numFmtId="0" fontId="135" fillId="0" borderId="117" xfId="0" applyFont="1" applyBorder="1" applyAlignment="1" applyProtection="1">
      <alignment horizontal="center" vertical="center" wrapText="1"/>
      <protection locked="0"/>
    </xf>
    <xf numFmtId="0" fontId="135" fillId="0" borderId="98" xfId="0" applyFont="1" applyBorder="1" applyAlignment="1" applyProtection="1">
      <alignment vertical="center" wrapText="1"/>
      <protection locked="0"/>
    </xf>
    <xf numFmtId="0" fontId="135" fillId="0" borderId="116" xfId="0" applyFont="1" applyBorder="1" applyAlignment="1" applyProtection="1">
      <alignment horizontal="center" vertical="center" wrapText="1"/>
      <protection locked="0"/>
    </xf>
    <xf numFmtId="0" fontId="144" fillId="0" borderId="0" xfId="0" applyFont="1" applyBorder="1" applyAlignment="1" applyProtection="1">
      <alignment horizontal="left" vertical="center"/>
      <protection locked="0"/>
    </xf>
    <xf numFmtId="213" fontId="26" fillId="0" borderId="0" xfId="50" applyNumberFormat="1" applyFont="1" applyFill="1" applyBorder="1" applyAlignment="1" applyProtection="1">
      <alignment vertical="center"/>
      <protection locked="0"/>
    </xf>
    <xf numFmtId="213" fontId="147" fillId="0" borderId="0" xfId="50" applyNumberFormat="1" applyFont="1" applyFill="1" applyBorder="1" applyAlignment="1" applyProtection="1">
      <alignment vertical="center" wrapText="1"/>
      <protection locked="0"/>
    </xf>
    <xf numFmtId="0" fontId="135" fillId="0" borderId="0" xfId="0" applyFont="1" applyAlignment="1" applyProtection="1">
      <alignment vertical="center"/>
      <protection locked="0"/>
    </xf>
    <xf numFmtId="0" fontId="135" fillId="0" borderId="0" xfId="0" applyFont="1" applyBorder="1" applyAlignment="1" applyProtection="1">
      <alignment horizontal="right" vertical="center"/>
      <protection locked="0"/>
    </xf>
    <xf numFmtId="0" fontId="135" fillId="0" borderId="118" xfId="0" applyFont="1" applyBorder="1" applyAlignment="1" applyProtection="1">
      <alignment vertical="center"/>
      <protection locked="0"/>
    </xf>
    <xf numFmtId="0" fontId="135" fillId="0" borderId="119" xfId="0" applyFont="1" applyBorder="1" applyAlignment="1" applyProtection="1">
      <alignment vertical="center"/>
      <protection locked="0"/>
    </xf>
    <xf numFmtId="0" fontId="135" fillId="0" borderId="0" xfId="0" applyFont="1" applyBorder="1" applyAlignment="1" applyProtection="1">
      <alignment vertical="center" wrapText="1"/>
      <protection locked="0"/>
    </xf>
    <xf numFmtId="0" fontId="135" fillId="0" borderId="42" xfId="0" applyFont="1" applyBorder="1" applyAlignment="1" applyProtection="1">
      <alignment vertical="center"/>
      <protection locked="0"/>
    </xf>
    <xf numFmtId="0" fontId="135" fillId="0" borderId="0" xfId="0" applyFont="1" applyBorder="1" applyAlignment="1" applyProtection="1">
      <alignment vertical="center"/>
      <protection locked="0"/>
    </xf>
    <xf numFmtId="0" fontId="135" fillId="0" borderId="0" xfId="0" applyFont="1" applyBorder="1" applyAlignment="1" applyProtection="1">
      <alignment horizontal="left" vertical="center" wrapText="1"/>
      <protection locked="0"/>
    </xf>
    <xf numFmtId="0" fontId="148" fillId="0" borderId="0" xfId="0" applyFont="1" applyBorder="1" applyAlignment="1" applyProtection="1">
      <alignment horizontal="left" vertical="center"/>
      <protection locked="0"/>
    </xf>
    <xf numFmtId="0" fontId="18" fillId="0" borderId="118" xfId="0" applyFont="1" applyFill="1" applyBorder="1" applyAlignment="1" applyProtection="1" quotePrefix="1">
      <alignment horizontal="center" vertical="center" wrapText="1"/>
      <protection locked="0"/>
    </xf>
    <xf numFmtId="0" fontId="18" fillId="0" borderId="0" xfId="0" applyFont="1" applyFill="1" applyBorder="1" applyAlignment="1" applyProtection="1">
      <alignment vertical="center" wrapText="1"/>
      <protection locked="0"/>
    </xf>
    <xf numFmtId="176" fontId="135" fillId="0" borderId="0" xfId="0" applyNumberFormat="1" applyFont="1" applyAlignment="1" applyProtection="1">
      <alignment vertical="center"/>
      <protection locked="0"/>
    </xf>
    <xf numFmtId="0" fontId="149" fillId="0" borderId="0" xfId="0" applyFont="1" applyAlignment="1" applyProtection="1">
      <alignment vertical="center"/>
      <protection/>
    </xf>
    <xf numFmtId="0" fontId="150" fillId="0" borderId="0" xfId="0" applyFont="1" applyBorder="1" applyAlignment="1" applyProtection="1">
      <alignment horizontal="left"/>
      <protection locked="0"/>
    </xf>
    <xf numFmtId="0" fontId="150" fillId="0" borderId="13" xfId="0" applyFont="1" applyBorder="1" applyAlignment="1" applyProtection="1">
      <alignment horizontal="center" vertical="center" wrapText="1"/>
      <protection locked="0"/>
    </xf>
    <xf numFmtId="0" fontId="150" fillId="0" borderId="0" xfId="0" applyFont="1" applyBorder="1" applyAlignment="1" applyProtection="1">
      <alignment horizontal="center" vertical="center" wrapText="1"/>
      <protection locked="0"/>
    </xf>
    <xf numFmtId="0" fontId="150" fillId="0" borderId="40" xfId="0" applyFont="1" applyBorder="1" applyAlignment="1" applyProtection="1">
      <alignment horizontal="center" vertical="center" wrapText="1"/>
      <protection locked="0"/>
    </xf>
    <xf numFmtId="0" fontId="150" fillId="0" borderId="92" xfId="0" applyFont="1" applyBorder="1" applyAlignment="1" applyProtection="1">
      <alignment horizontal="left" vertical="center" wrapText="1"/>
      <protection locked="0"/>
    </xf>
    <xf numFmtId="0" fontId="135" fillId="0" borderId="112" xfId="0" applyFont="1" applyBorder="1" applyAlignment="1" applyProtection="1">
      <alignment vertical="center"/>
      <protection locked="0"/>
    </xf>
    <xf numFmtId="0" fontId="150" fillId="36" borderId="92" xfId="0" applyFont="1" applyFill="1" applyBorder="1" applyAlignment="1" applyProtection="1">
      <alignment horizontal="center" vertical="center" wrapText="1"/>
      <protection locked="0"/>
    </xf>
    <xf numFmtId="3" fontId="150" fillId="36" borderId="92" xfId="0" applyNumberFormat="1" applyFont="1" applyFill="1" applyBorder="1" applyAlignment="1" applyProtection="1">
      <alignment horizontal="center" vertical="center" wrapText="1"/>
      <protection locked="0"/>
    </xf>
    <xf numFmtId="0" fontId="150" fillId="36" borderId="92" xfId="0" applyFont="1" applyFill="1" applyBorder="1" applyAlignment="1" applyProtection="1">
      <alignment vertical="center" wrapText="1"/>
      <protection locked="0"/>
    </xf>
    <xf numFmtId="0" fontId="135" fillId="36" borderId="112" xfId="0" applyFont="1" applyFill="1" applyBorder="1" applyAlignment="1" applyProtection="1">
      <alignment vertical="center"/>
      <protection locked="0"/>
    </xf>
    <xf numFmtId="0" fontId="150" fillId="0" borderId="118" xfId="0" applyFont="1" applyBorder="1" applyAlignment="1" applyProtection="1">
      <alignment horizontal="center" vertical="center" wrapText="1"/>
      <protection locked="0"/>
    </xf>
    <xf numFmtId="0" fontId="150" fillId="0" borderId="92" xfId="0" applyFont="1" applyBorder="1" applyAlignment="1" applyProtection="1">
      <alignment vertical="center" wrapText="1"/>
      <protection locked="0"/>
    </xf>
    <xf numFmtId="0" fontId="150" fillId="0" borderId="112" xfId="0" applyFont="1" applyBorder="1" applyAlignment="1" applyProtection="1">
      <alignment vertical="top" wrapText="1"/>
      <protection locked="0"/>
    </xf>
    <xf numFmtId="0" fontId="150" fillId="0" borderId="0" xfId="0" applyFont="1" applyBorder="1" applyAlignment="1" applyProtection="1">
      <alignment vertical="top" wrapText="1"/>
      <protection locked="0"/>
    </xf>
    <xf numFmtId="0" fontId="150" fillId="37" borderId="92" xfId="0" applyFont="1" applyFill="1" applyBorder="1" applyAlignment="1" applyProtection="1">
      <alignment horizontal="center" vertical="center" wrapText="1"/>
      <protection locked="0"/>
    </xf>
    <xf numFmtId="0" fontId="150" fillId="33" borderId="92" xfId="0" applyFont="1" applyFill="1" applyBorder="1" applyAlignment="1" applyProtection="1">
      <alignment horizontal="center" vertical="center" wrapText="1"/>
      <protection locked="0"/>
    </xf>
    <xf numFmtId="0" fontId="135" fillId="0" borderId="0" xfId="0" applyFont="1" applyAlignment="1" applyProtection="1">
      <alignment horizontal="left" vertical="center"/>
      <protection locked="0"/>
    </xf>
    <xf numFmtId="0" fontId="151" fillId="0" borderId="0" xfId="0" applyFont="1" applyAlignment="1" applyProtection="1">
      <alignment vertical="center"/>
      <protection locked="0"/>
    </xf>
    <xf numFmtId="0" fontId="28" fillId="0" borderId="40" xfId="0" applyFont="1" applyFill="1" applyBorder="1" applyAlignment="1" applyProtection="1">
      <alignment vertical="center" wrapText="1"/>
      <protection locked="0"/>
    </xf>
    <xf numFmtId="176" fontId="14" fillId="0" borderId="37" xfId="0" applyNumberFormat="1" applyFont="1" applyFill="1" applyBorder="1" applyAlignment="1" applyProtection="1">
      <alignment horizontal="right" vertical="center" wrapText="1"/>
      <protection/>
    </xf>
    <xf numFmtId="176" fontId="29" fillId="0" borderId="40" xfId="0" applyNumberFormat="1" applyFont="1" applyFill="1" applyBorder="1" applyAlignment="1" applyProtection="1">
      <alignment horizontal="right" vertical="center" wrapText="1"/>
      <protection locked="0"/>
    </xf>
    <xf numFmtId="176" fontId="14" fillId="0" borderId="45" xfId="0" applyNumberFormat="1" applyFont="1" applyFill="1" applyBorder="1" applyAlignment="1" applyProtection="1">
      <alignment horizontal="right" vertical="center" wrapText="1"/>
      <protection/>
    </xf>
    <xf numFmtId="176" fontId="29" fillId="0" borderId="38" xfId="0" applyNumberFormat="1" applyFont="1" applyFill="1" applyBorder="1" applyAlignment="1" applyProtection="1">
      <alignment horizontal="right" vertical="center" wrapText="1"/>
      <protection locked="0"/>
    </xf>
    <xf numFmtId="0" fontId="28" fillId="0" borderId="38" xfId="0" applyFont="1" applyFill="1" applyBorder="1" applyAlignment="1" applyProtection="1">
      <alignment vertical="center" wrapText="1"/>
      <protection locked="0"/>
    </xf>
    <xf numFmtId="0" fontId="28" fillId="0" borderId="118" xfId="0" applyFont="1" applyFill="1" applyBorder="1" applyAlignment="1" applyProtection="1">
      <alignment vertical="center" wrapText="1"/>
      <protection locked="0"/>
    </xf>
    <xf numFmtId="176" fontId="14" fillId="0" borderId="120" xfId="0" applyNumberFormat="1" applyFont="1" applyFill="1" applyBorder="1" applyAlignment="1" applyProtection="1">
      <alignment horizontal="right" vertical="center" wrapText="1"/>
      <protection/>
    </xf>
    <xf numFmtId="176" fontId="29" fillId="0" borderId="118" xfId="0" applyNumberFormat="1" applyFont="1" applyFill="1" applyBorder="1" applyAlignment="1" applyProtection="1">
      <alignment horizontal="right" vertical="center" wrapText="1"/>
      <protection locked="0"/>
    </xf>
    <xf numFmtId="38" fontId="152" fillId="0" borderId="37" xfId="50" applyFont="1" applyBorder="1" applyAlignment="1" applyProtection="1">
      <alignment horizontal="right" vertical="center" wrapText="1"/>
      <protection/>
    </xf>
    <xf numFmtId="3" fontId="152" fillId="36" borderId="112" xfId="0" applyNumberFormat="1" applyFont="1" applyFill="1" applyBorder="1" applyAlignment="1" applyProtection="1">
      <alignment horizontal="right" vertical="center" wrapText="1"/>
      <protection/>
    </xf>
    <xf numFmtId="3" fontId="152" fillId="0" borderId="120" xfId="0" applyNumberFormat="1" applyFont="1" applyBorder="1" applyAlignment="1" applyProtection="1">
      <alignment horizontal="right" vertical="center" wrapText="1"/>
      <protection locked="0"/>
    </xf>
    <xf numFmtId="0" fontId="152" fillId="0" borderId="99" xfId="0" applyFont="1" applyBorder="1" applyAlignment="1" applyProtection="1">
      <alignment horizontal="right" vertical="center" wrapText="1"/>
      <protection locked="0"/>
    </xf>
    <xf numFmtId="3" fontId="152" fillId="0" borderId="99" xfId="0" applyNumberFormat="1" applyFont="1" applyBorder="1" applyAlignment="1" applyProtection="1">
      <alignment horizontal="right" vertical="center" wrapText="1"/>
      <protection/>
    </xf>
    <xf numFmtId="38" fontId="152" fillId="0" borderId="37" xfId="50" applyFont="1" applyBorder="1" applyAlignment="1" applyProtection="1">
      <alignment horizontal="right" vertical="center" wrapText="1"/>
      <protection locked="0"/>
    </xf>
    <xf numFmtId="38" fontId="152" fillId="0" borderId="112" xfId="50" applyFont="1" applyBorder="1" applyAlignment="1" applyProtection="1">
      <alignment horizontal="right" vertical="center" wrapText="1"/>
      <protection/>
    </xf>
    <xf numFmtId="38" fontId="152" fillId="37" borderId="112" xfId="50" applyFont="1" applyFill="1" applyBorder="1" applyAlignment="1" applyProtection="1">
      <alignment horizontal="right" vertical="center" wrapText="1"/>
      <protection/>
    </xf>
    <xf numFmtId="0" fontId="153" fillId="0" borderId="0" xfId="0" applyFont="1" applyAlignment="1" applyProtection="1">
      <alignment vertical="center"/>
      <protection locked="0"/>
    </xf>
    <xf numFmtId="213" fontId="147" fillId="33" borderId="0" xfId="50" applyNumberFormat="1" applyFont="1" applyFill="1" applyBorder="1" applyAlignment="1" applyProtection="1">
      <alignment horizontal="right" vertical="center"/>
      <protection locked="0"/>
    </xf>
    <xf numFmtId="0" fontId="144" fillId="33" borderId="0" xfId="0" applyFont="1" applyFill="1" applyAlignment="1" applyProtection="1">
      <alignment horizontal="center" vertical="center"/>
      <protection locked="0"/>
    </xf>
    <xf numFmtId="0" fontId="153" fillId="0" borderId="0" xfId="0" applyFont="1" applyAlignment="1" applyProtection="1">
      <alignment horizontal="center" vertical="center"/>
      <protection locked="0"/>
    </xf>
    <xf numFmtId="0" fontId="154" fillId="0" borderId="0" xfId="0" applyFont="1" applyAlignment="1" applyProtection="1">
      <alignment vertical="center"/>
      <protection locked="0"/>
    </xf>
    <xf numFmtId="0" fontId="155" fillId="0" borderId="0" xfId="0" applyFont="1" applyAlignment="1" applyProtection="1">
      <alignment horizontal="left" vertical="center"/>
      <protection locked="0"/>
    </xf>
    <xf numFmtId="38" fontId="0" fillId="0" borderId="0" xfId="50" applyFont="1" applyAlignment="1" applyProtection="1">
      <alignment vertical="center"/>
      <protection locked="0"/>
    </xf>
    <xf numFmtId="38" fontId="121" fillId="0" borderId="95" xfId="50" applyFont="1" applyBorder="1" applyAlignment="1" applyProtection="1">
      <alignment horizontal="right" vertical="center" wrapText="1"/>
      <protection locked="0"/>
    </xf>
    <xf numFmtId="38" fontId="121" fillId="0" borderId="13" xfId="50" applyFont="1" applyBorder="1" applyAlignment="1" applyProtection="1">
      <alignment horizontal="right" vertical="center" wrapText="1"/>
      <protection locked="0"/>
    </xf>
    <xf numFmtId="38" fontId="121" fillId="0" borderId="14" xfId="50" applyFont="1" applyBorder="1" applyAlignment="1" applyProtection="1">
      <alignment horizontal="right" vertical="center" wrapText="1"/>
      <protection locked="0"/>
    </xf>
    <xf numFmtId="38" fontId="121" fillId="0" borderId="98" xfId="50" applyFont="1" applyBorder="1" applyAlignment="1" applyProtection="1">
      <alignment horizontal="right" vertical="center" wrapText="1"/>
      <protection locked="0"/>
    </xf>
    <xf numFmtId="0" fontId="135" fillId="0" borderId="0" xfId="0" applyFont="1" applyAlignment="1" applyProtection="1">
      <alignment vertical="center" wrapText="1"/>
      <protection locked="0"/>
    </xf>
    <xf numFmtId="0" fontId="116" fillId="0" borderId="0" xfId="0" applyFont="1" applyBorder="1" applyAlignment="1" applyProtection="1">
      <alignment vertical="center"/>
      <protection locked="0"/>
    </xf>
    <xf numFmtId="176" fontId="27" fillId="0" borderId="13" xfId="0" applyNumberFormat="1" applyFont="1" applyFill="1" applyBorder="1" applyAlignment="1" applyProtection="1">
      <alignment vertical="center" wrapText="1"/>
      <protection locked="0"/>
    </xf>
    <xf numFmtId="0" fontId="135" fillId="0" borderId="119" xfId="0" applyFont="1" applyBorder="1" applyAlignment="1" applyProtection="1">
      <alignment vertical="center"/>
      <protection locked="0"/>
    </xf>
    <xf numFmtId="213" fontId="14" fillId="0" borderId="13" xfId="50" applyNumberFormat="1" applyFont="1" applyFill="1" applyBorder="1" applyAlignment="1" applyProtection="1">
      <alignment horizontal="right" vertical="center"/>
      <protection/>
    </xf>
    <xf numFmtId="0" fontId="156" fillId="0" borderId="0" xfId="0" applyFont="1" applyBorder="1" applyAlignment="1" applyProtection="1">
      <alignment vertical="center"/>
      <protection locked="0"/>
    </xf>
    <xf numFmtId="0" fontId="144" fillId="0" borderId="0" xfId="0" applyFont="1" applyAlignment="1" applyProtection="1">
      <alignment horizontal="center" vertical="center"/>
      <protection/>
    </xf>
    <xf numFmtId="0" fontId="135" fillId="0" borderId="40" xfId="0" applyFont="1" applyBorder="1" applyAlignment="1" applyProtection="1">
      <alignment vertical="center"/>
      <protection locked="0"/>
    </xf>
    <xf numFmtId="0" fontId="135" fillId="0" borderId="38" xfId="0" applyFont="1" applyBorder="1" applyAlignment="1" applyProtection="1">
      <alignment vertical="center"/>
      <protection locked="0"/>
    </xf>
    <xf numFmtId="0" fontId="157" fillId="0" borderId="0" xfId="0" applyFont="1" applyBorder="1" applyAlignment="1" applyProtection="1">
      <alignment vertical="center"/>
      <protection locked="0"/>
    </xf>
    <xf numFmtId="0" fontId="157" fillId="0" borderId="0" xfId="0" applyFont="1" applyBorder="1" applyAlignment="1" applyProtection="1">
      <alignment vertical="center"/>
      <protection locked="0"/>
    </xf>
    <xf numFmtId="0" fontId="157" fillId="0" borderId="38"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35" fillId="0" borderId="45" xfId="0" applyFont="1" applyBorder="1" applyAlignment="1" applyProtection="1">
      <alignment vertical="center"/>
      <protection locked="0"/>
    </xf>
    <xf numFmtId="176" fontId="14" fillId="0" borderId="42" xfId="0" applyNumberFormat="1" applyFont="1" applyFill="1" applyBorder="1" applyAlignment="1" applyProtection="1">
      <alignment horizontal="right" vertical="center" wrapText="1"/>
      <protection/>
    </xf>
    <xf numFmtId="176" fontId="14" fillId="33" borderId="0" xfId="0" applyNumberFormat="1" applyFont="1" applyFill="1" applyBorder="1" applyAlignment="1" applyProtection="1">
      <alignment horizontal="right" vertical="center" wrapText="1"/>
      <protection/>
    </xf>
    <xf numFmtId="0" fontId="135" fillId="0" borderId="120" xfId="0" applyFont="1" applyBorder="1" applyAlignment="1" applyProtection="1">
      <alignment vertical="center"/>
      <protection locked="0"/>
    </xf>
    <xf numFmtId="0" fontId="158" fillId="0" borderId="38" xfId="0" applyFont="1" applyFill="1" applyBorder="1" applyAlignment="1" applyProtection="1">
      <alignment vertical="center" wrapText="1"/>
      <protection locked="0"/>
    </xf>
    <xf numFmtId="0" fontId="135" fillId="33" borderId="38" xfId="0" applyFont="1" applyFill="1" applyBorder="1" applyAlignment="1" applyProtection="1">
      <alignment horizontal="center" vertical="center"/>
      <protection locked="0"/>
    </xf>
    <xf numFmtId="38" fontId="14" fillId="0" borderId="38" xfId="50" applyFont="1" applyFill="1" applyBorder="1" applyAlignment="1" applyProtection="1">
      <alignment horizontal="right" vertical="center"/>
      <protection locked="0"/>
    </xf>
    <xf numFmtId="213" fontId="14" fillId="0" borderId="0" xfId="50" applyNumberFormat="1" applyFont="1" applyFill="1" applyBorder="1" applyAlignment="1" applyProtection="1">
      <alignment horizontal="right" vertical="center"/>
      <protection locked="0"/>
    </xf>
    <xf numFmtId="0" fontId="18" fillId="0" borderId="119" xfId="0" applyFont="1" applyBorder="1" applyAlignment="1" applyProtection="1">
      <alignment horizontal="center" vertical="center" wrapText="1"/>
      <protection locked="0"/>
    </xf>
    <xf numFmtId="0" fontId="144" fillId="0" borderId="38" xfId="0" applyFont="1" applyBorder="1" applyAlignment="1" applyProtection="1">
      <alignment horizontal="center" vertical="center"/>
      <protection/>
    </xf>
    <xf numFmtId="38" fontId="14" fillId="0" borderId="13" xfId="50" applyFont="1" applyFill="1" applyBorder="1" applyAlignment="1" applyProtection="1">
      <alignment horizontal="right" vertical="center" indent="1"/>
      <protection/>
    </xf>
    <xf numFmtId="176" fontId="14" fillId="0" borderId="0" xfId="0" applyNumberFormat="1" applyFont="1" applyFill="1" applyBorder="1" applyAlignment="1" applyProtection="1">
      <alignment horizontal="right" vertical="center" wrapText="1"/>
      <protection/>
    </xf>
    <xf numFmtId="176" fontId="14" fillId="0" borderId="119" xfId="0" applyNumberFormat="1" applyFont="1" applyFill="1" applyBorder="1" applyAlignment="1" applyProtection="1">
      <alignment horizontal="right" vertical="center" wrapText="1"/>
      <protection/>
    </xf>
    <xf numFmtId="215" fontId="14" fillId="0" borderId="13" xfId="50" applyNumberFormat="1" applyFont="1" applyFill="1" applyBorder="1" applyAlignment="1" applyProtection="1">
      <alignment horizontal="right" vertical="center"/>
      <protection/>
    </xf>
    <xf numFmtId="0" fontId="144" fillId="0" borderId="14" xfId="0" applyFont="1" applyBorder="1" applyAlignment="1" applyProtection="1">
      <alignment horizontal="center" vertical="center"/>
      <protection/>
    </xf>
    <xf numFmtId="176" fontId="14" fillId="0" borderId="13" xfId="0" applyNumberFormat="1" applyFont="1" applyFill="1" applyBorder="1" applyAlignment="1" applyProtection="1">
      <alignment horizontal="right" vertical="center" wrapText="1"/>
      <protection/>
    </xf>
    <xf numFmtId="38" fontId="118" fillId="0" borderId="0" xfId="0" applyNumberFormat="1" applyFont="1" applyAlignment="1" applyProtection="1">
      <alignment vertical="center"/>
      <protection locked="0"/>
    </xf>
    <xf numFmtId="0" fontId="121" fillId="33"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11"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40" xfId="0" applyFont="1" applyBorder="1" applyAlignment="1" applyProtection="1">
      <alignment horizontal="center" vertical="center" wrapText="1"/>
      <protection locked="0"/>
    </xf>
    <xf numFmtId="0" fontId="11" fillId="0" borderId="29" xfId="0" applyFont="1" applyBorder="1" applyAlignment="1" applyProtection="1">
      <alignment horizontal="center" vertical="top" wrapText="1"/>
      <protection locked="0"/>
    </xf>
    <xf numFmtId="0" fontId="11" fillId="0" borderId="11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40" xfId="0" applyFont="1" applyFill="1" applyBorder="1" applyAlignment="1" applyProtection="1">
      <alignment vertical="center" wrapText="1"/>
      <protection locked="0"/>
    </xf>
    <xf numFmtId="0" fontId="11" fillId="0" borderId="92"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116" fillId="0" borderId="0" xfId="0" applyFont="1" applyAlignment="1" applyProtection="1">
      <alignment vertical="center"/>
      <protection locked="0"/>
    </xf>
    <xf numFmtId="0" fontId="116" fillId="0" borderId="0" xfId="0" applyFont="1" applyBorder="1" applyAlignment="1" applyProtection="1">
      <alignment horizontal="left" vertical="center"/>
      <protection/>
    </xf>
    <xf numFmtId="0" fontId="116" fillId="0" borderId="0" xfId="0" applyFont="1" applyBorder="1" applyAlignment="1" applyProtection="1">
      <alignment horizontal="right" vertical="center"/>
      <protection locked="0"/>
    </xf>
    <xf numFmtId="0" fontId="11" fillId="0" borderId="29" xfId="0" applyFont="1" applyBorder="1" applyAlignment="1" applyProtection="1">
      <alignment horizontal="center" vertical="center" wrapText="1"/>
      <protection locked="0"/>
    </xf>
    <xf numFmtId="0" fontId="116" fillId="0" borderId="37" xfId="0" applyFont="1" applyBorder="1" applyAlignment="1" applyProtection="1">
      <alignment vertical="center"/>
      <protection locked="0"/>
    </xf>
    <xf numFmtId="0" fontId="11" fillId="0" borderId="38" xfId="0" applyFont="1" applyFill="1" applyBorder="1" applyAlignment="1" applyProtection="1">
      <alignment vertical="center" wrapText="1"/>
      <protection locked="0"/>
    </xf>
    <xf numFmtId="0" fontId="116" fillId="0" borderId="45" xfId="0" applyFont="1" applyBorder="1" applyAlignment="1" applyProtection="1">
      <alignment vertical="center"/>
      <protection locked="0"/>
    </xf>
    <xf numFmtId="0" fontId="116" fillId="0" borderId="45" xfId="0" applyFont="1" applyBorder="1" applyAlignment="1" applyProtection="1">
      <alignment vertical="center"/>
      <protection locked="0"/>
    </xf>
    <xf numFmtId="0" fontId="11" fillId="0" borderId="118" xfId="0" applyFont="1" applyFill="1" applyBorder="1" applyAlignment="1" applyProtection="1">
      <alignment vertical="center" wrapText="1"/>
      <protection locked="0"/>
    </xf>
    <xf numFmtId="0" fontId="116" fillId="0" borderId="119" xfId="0" applyFont="1" applyBorder="1" applyAlignment="1" applyProtection="1">
      <alignment vertical="center"/>
      <protection locked="0"/>
    </xf>
    <xf numFmtId="0" fontId="116" fillId="0" borderId="120" xfId="0" applyFont="1" applyBorder="1" applyAlignment="1" applyProtection="1">
      <alignment vertical="center"/>
      <protection locked="0"/>
    </xf>
    <xf numFmtId="0" fontId="11" fillId="0" borderId="118" xfId="0" applyFont="1" applyFill="1" applyBorder="1" applyAlignment="1" applyProtection="1">
      <alignment horizontal="center" vertical="center" wrapText="1"/>
      <protection locked="0"/>
    </xf>
    <xf numFmtId="0" fontId="136" fillId="0" borderId="92" xfId="0" applyFont="1" applyBorder="1" applyAlignment="1" applyProtection="1">
      <alignment horizontal="center" vertical="center" wrapText="1"/>
      <protection locked="0"/>
    </xf>
    <xf numFmtId="0" fontId="136" fillId="0" borderId="13" xfId="0" applyFont="1" applyBorder="1" applyAlignment="1" applyProtection="1">
      <alignment vertical="center" wrapText="1"/>
      <protection locked="0"/>
    </xf>
    <xf numFmtId="0" fontId="136" fillId="0" borderId="121" xfId="0" applyFont="1" applyBorder="1" applyAlignment="1" applyProtection="1">
      <alignment horizontal="left" vertical="center" wrapText="1"/>
      <protection locked="0"/>
    </xf>
    <xf numFmtId="0" fontId="136" fillId="36" borderId="92" xfId="0" applyFont="1" applyFill="1" applyBorder="1" applyAlignment="1" applyProtection="1">
      <alignment horizontal="center" vertical="center" wrapText="1"/>
      <protection locked="0"/>
    </xf>
    <xf numFmtId="0" fontId="136" fillId="36" borderId="112" xfId="0" applyFont="1" applyFill="1" applyBorder="1" applyAlignment="1" applyProtection="1">
      <alignment vertical="center" wrapText="1"/>
      <protection locked="0"/>
    </xf>
    <xf numFmtId="0" fontId="136" fillId="37" borderId="92" xfId="0" applyFont="1" applyFill="1" applyBorder="1" applyAlignment="1" applyProtection="1">
      <alignment horizontal="center" vertical="center" wrapText="1"/>
      <protection locked="0"/>
    </xf>
    <xf numFmtId="0" fontId="136" fillId="0" borderId="122" xfId="0" applyFont="1" applyBorder="1" applyAlignment="1" applyProtection="1">
      <alignment horizontal="left" vertical="center" wrapText="1"/>
      <protection locked="0"/>
    </xf>
    <xf numFmtId="0" fontId="116" fillId="0" borderId="0" xfId="0" applyFont="1" applyFill="1" applyAlignment="1" applyProtection="1">
      <alignment vertical="center"/>
      <protection locked="0"/>
    </xf>
    <xf numFmtId="0" fontId="159" fillId="0" borderId="0" xfId="0" applyFont="1" applyAlignment="1" applyProtection="1">
      <alignment vertical="center"/>
      <protection locked="0"/>
    </xf>
    <xf numFmtId="0" fontId="136" fillId="0" borderId="0" xfId="0" applyFont="1" applyBorder="1" applyAlignment="1" applyProtection="1">
      <alignment horizontal="center" vertical="center" wrapText="1"/>
      <protection locked="0"/>
    </xf>
    <xf numFmtId="0" fontId="136" fillId="0" borderId="0" xfId="0" applyFont="1" applyBorder="1" applyAlignment="1" applyProtection="1">
      <alignment horizontal="left" vertical="center" wrapText="1"/>
      <protection locked="0"/>
    </xf>
    <xf numFmtId="0" fontId="136" fillId="33" borderId="0" xfId="0" applyFont="1" applyFill="1" applyBorder="1" applyAlignment="1" applyProtection="1">
      <alignment horizontal="center" vertical="center" wrapText="1"/>
      <protection locked="0"/>
    </xf>
    <xf numFmtId="0" fontId="136" fillId="33" borderId="0" xfId="0" applyFont="1" applyFill="1" applyBorder="1" applyAlignment="1" applyProtection="1">
      <alignment horizontal="left" vertical="center" wrapText="1"/>
      <protection locked="0"/>
    </xf>
    <xf numFmtId="0" fontId="136" fillId="33" borderId="0" xfId="0" applyFont="1" applyFill="1" applyBorder="1" applyAlignment="1" applyProtection="1">
      <alignment vertical="center" wrapText="1"/>
      <protection locked="0"/>
    </xf>
    <xf numFmtId="176" fontId="9" fillId="33" borderId="0" xfId="0" applyNumberFormat="1" applyFont="1" applyFill="1" applyBorder="1" applyAlignment="1" applyProtection="1">
      <alignment vertical="center" wrapText="1"/>
      <protection locked="0"/>
    </xf>
    <xf numFmtId="0" fontId="11" fillId="0" borderId="40" xfId="0" applyFont="1" applyBorder="1" applyAlignment="1" applyProtection="1">
      <alignment horizontal="center" vertical="center"/>
      <protection locked="0"/>
    </xf>
    <xf numFmtId="0" fontId="116" fillId="0" borderId="99" xfId="0" applyFont="1" applyBorder="1" applyAlignment="1" applyProtection="1">
      <alignment vertical="center"/>
      <protection locked="0"/>
    </xf>
    <xf numFmtId="0" fontId="116" fillId="0" borderId="112" xfId="0" applyFont="1" applyBorder="1" applyAlignment="1" applyProtection="1">
      <alignment vertical="center"/>
      <protection locked="0"/>
    </xf>
    <xf numFmtId="38" fontId="136" fillId="0" borderId="13" xfId="50" applyFont="1" applyBorder="1" applyAlignment="1" applyProtection="1">
      <alignment vertical="center" wrapText="1"/>
      <protection locked="0"/>
    </xf>
    <xf numFmtId="176" fontId="9" fillId="0" borderId="13" xfId="0" applyNumberFormat="1" applyFont="1" applyFill="1" applyBorder="1" applyAlignment="1" applyProtection="1">
      <alignment vertical="center" wrapText="1"/>
      <protection/>
    </xf>
    <xf numFmtId="38" fontId="136" fillId="37" borderId="13" xfId="50" applyFont="1" applyFill="1" applyBorder="1" applyAlignment="1" applyProtection="1">
      <alignment vertical="center" wrapText="1"/>
      <protection locked="0"/>
    </xf>
    <xf numFmtId="0" fontId="11" fillId="0" borderId="37" xfId="0" applyFont="1" applyBorder="1" applyAlignment="1" applyProtection="1">
      <alignment vertical="center" wrapText="1"/>
      <protection locked="0"/>
    </xf>
    <xf numFmtId="0" fontId="11" fillId="0" borderId="45" xfId="0" applyFont="1" applyBorder="1" applyAlignment="1" applyProtection="1">
      <alignment vertical="center" wrapText="1"/>
      <protection locked="0"/>
    </xf>
    <xf numFmtId="0" fontId="11" fillId="0" borderId="120" xfId="0" applyFont="1" applyFill="1" applyBorder="1" applyAlignment="1" applyProtection="1">
      <alignment vertical="center" wrapText="1"/>
      <protection locked="0"/>
    </xf>
    <xf numFmtId="0" fontId="11" fillId="0" borderId="112" xfId="0" applyFont="1" applyFill="1" applyBorder="1" applyAlignment="1" applyProtection="1">
      <alignment vertical="center" wrapText="1"/>
      <protection/>
    </xf>
    <xf numFmtId="0" fontId="11" fillId="0" borderId="112" xfId="0" applyFont="1" applyFill="1" applyBorder="1" applyAlignment="1" applyProtection="1">
      <alignment vertical="center" wrapText="1"/>
      <protection locked="0"/>
    </xf>
    <xf numFmtId="0" fontId="135" fillId="0" borderId="38" xfId="0" applyFont="1" applyBorder="1" applyAlignment="1" applyProtection="1">
      <alignment vertical="center"/>
      <protection locked="0"/>
    </xf>
    <xf numFmtId="0" fontId="117" fillId="33" borderId="123" xfId="0" applyFont="1" applyFill="1" applyBorder="1" applyAlignment="1" applyProtection="1">
      <alignment horizontal="center" vertical="center" wrapText="1"/>
      <protection locked="0"/>
    </xf>
    <xf numFmtId="0" fontId="117" fillId="33" borderId="124" xfId="0" applyFont="1" applyFill="1" applyBorder="1" applyAlignment="1" applyProtection="1">
      <alignment horizontal="center" vertical="center" wrapText="1"/>
      <protection locked="0"/>
    </xf>
    <xf numFmtId="0" fontId="117" fillId="33" borderId="125"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center" vertical="center" wrapText="1"/>
      <protection locked="0"/>
    </xf>
    <xf numFmtId="0" fontId="0" fillId="0" borderId="126" xfId="0" applyBorder="1" applyAlignment="1" applyProtection="1">
      <alignment horizontal="center" vertical="center"/>
      <protection locked="0"/>
    </xf>
    <xf numFmtId="38" fontId="0" fillId="7" borderId="110" xfId="50" applyFont="1" applyFill="1" applyBorder="1" applyAlignment="1" applyProtection="1">
      <alignment horizontal="right" vertical="center"/>
      <protection locked="0"/>
    </xf>
    <xf numFmtId="38" fontId="0" fillId="7" borderId="92" xfId="50" applyFont="1" applyFill="1" applyBorder="1" applyAlignment="1" applyProtection="1">
      <alignment horizontal="right" vertical="center"/>
      <protection locked="0"/>
    </xf>
    <xf numFmtId="38" fontId="0" fillId="7" borderId="127" xfId="50" applyFont="1" applyFill="1" applyBorder="1" applyAlignment="1" applyProtection="1">
      <alignment horizontal="right" vertical="center"/>
      <protection locked="0"/>
    </xf>
    <xf numFmtId="38" fontId="0" fillId="0" borderId="110" xfId="50" applyFont="1" applyBorder="1" applyAlignment="1" applyProtection="1">
      <alignment horizontal="right" vertical="center"/>
      <protection/>
    </xf>
    <xf numFmtId="38" fontId="116" fillId="33" borderId="92" xfId="50" applyFont="1" applyFill="1" applyBorder="1" applyAlignment="1" applyProtection="1">
      <alignment horizontal="right" vertical="center"/>
      <protection locked="0"/>
    </xf>
    <xf numFmtId="38" fontId="116" fillId="33" borderId="127" xfId="50" applyFont="1" applyFill="1" applyBorder="1" applyAlignment="1" applyProtection="1">
      <alignment horizontal="right" vertical="center"/>
      <protection locked="0"/>
    </xf>
    <xf numFmtId="55" fontId="160" fillId="0" borderId="10" xfId="0" applyNumberFormat="1" applyFont="1" applyBorder="1" applyAlignment="1" applyProtection="1">
      <alignment horizontal="center" vertical="center"/>
      <protection locked="0"/>
    </xf>
    <xf numFmtId="38" fontId="0" fillId="33" borderId="110" xfId="50" applyFont="1" applyFill="1" applyBorder="1" applyAlignment="1" applyProtection="1">
      <alignment horizontal="right" vertical="center"/>
      <protection/>
    </xf>
    <xf numFmtId="38" fontId="0" fillId="33" borderId="92" xfId="50" applyFont="1" applyFill="1" applyBorder="1" applyAlignment="1" applyProtection="1">
      <alignment horizontal="right" vertical="center"/>
      <protection/>
    </xf>
    <xf numFmtId="38" fontId="0" fillId="33" borderId="92" xfId="50" applyFont="1" applyFill="1" applyBorder="1" applyAlignment="1" applyProtection="1">
      <alignment horizontal="right" vertical="center"/>
      <protection locked="0"/>
    </xf>
    <xf numFmtId="38" fontId="0" fillId="33" borderId="127" xfId="50" applyFont="1" applyFill="1" applyBorder="1" applyAlignment="1" applyProtection="1">
      <alignment horizontal="right" vertical="center"/>
      <protection/>
    </xf>
    <xf numFmtId="38" fontId="0" fillId="0" borderId="128" xfId="50" applyFont="1" applyBorder="1" applyAlignment="1" applyProtection="1">
      <alignment horizontal="right" vertical="center"/>
      <protection/>
    </xf>
    <xf numFmtId="0" fontId="125" fillId="33" borderId="0" xfId="0" applyFont="1" applyFill="1" applyAlignment="1" applyProtection="1">
      <alignment vertical="center"/>
      <protection locked="0"/>
    </xf>
    <xf numFmtId="0" fontId="125" fillId="33" borderId="0" xfId="0" applyFont="1" applyFill="1" applyBorder="1" applyAlignment="1" applyProtection="1">
      <alignment vertical="center"/>
      <protection locked="0"/>
    </xf>
    <xf numFmtId="55" fontId="160" fillId="0" borderId="129" xfId="0" applyNumberFormat="1" applyFont="1" applyBorder="1" applyAlignment="1" applyProtection="1">
      <alignment horizontal="center" vertical="center"/>
      <protection locked="0"/>
    </xf>
    <xf numFmtId="38" fontId="0" fillId="7" borderId="130" xfId="50" applyFont="1" applyFill="1" applyBorder="1" applyAlignment="1" applyProtection="1">
      <alignment horizontal="right" vertical="center"/>
      <protection locked="0"/>
    </xf>
    <xf numFmtId="38" fontId="0" fillId="7" borderId="112" xfId="50" applyFont="1" applyFill="1" applyBorder="1" applyAlignment="1" applyProtection="1">
      <alignment horizontal="right" vertical="center"/>
      <protection locked="0"/>
    </xf>
    <xf numFmtId="38" fontId="0" fillId="7" borderId="131" xfId="50" applyFont="1" applyFill="1" applyBorder="1" applyAlignment="1" applyProtection="1">
      <alignment horizontal="right" vertical="center"/>
      <protection locked="0"/>
    </xf>
    <xf numFmtId="38" fontId="116" fillId="7" borderId="112" xfId="50" applyFont="1" applyFill="1" applyBorder="1" applyAlignment="1" applyProtection="1">
      <alignment horizontal="right" vertical="center"/>
      <protection locked="0"/>
    </xf>
    <xf numFmtId="38" fontId="116" fillId="7" borderId="131" xfId="50" applyFont="1" applyFill="1" applyBorder="1" applyAlignment="1" applyProtection="1">
      <alignment horizontal="right" vertical="center"/>
      <protection locked="0"/>
    </xf>
    <xf numFmtId="38" fontId="0" fillId="33" borderId="130" xfId="50" applyFont="1" applyFill="1" applyBorder="1" applyAlignment="1" applyProtection="1">
      <alignment horizontal="right" vertical="center"/>
      <protection/>
    </xf>
    <xf numFmtId="38" fontId="0" fillId="33" borderId="112" xfId="50" applyFont="1" applyFill="1" applyBorder="1" applyAlignment="1" applyProtection="1">
      <alignment horizontal="right" vertical="center"/>
      <protection/>
    </xf>
    <xf numFmtId="38" fontId="0" fillId="33" borderId="112" xfId="50" applyFont="1" applyFill="1" applyBorder="1" applyAlignment="1" applyProtection="1">
      <alignment horizontal="right" vertical="center"/>
      <protection locked="0"/>
    </xf>
    <xf numFmtId="0" fontId="127" fillId="0" borderId="97" xfId="0" applyFont="1" applyBorder="1" applyAlignment="1" applyProtection="1">
      <alignment horizontal="center" vertical="center"/>
      <protection locked="0"/>
    </xf>
    <xf numFmtId="196" fontId="116" fillId="7" borderId="96" xfId="0" applyNumberFormat="1" applyFont="1" applyFill="1" applyBorder="1" applyAlignment="1" applyProtection="1">
      <alignment horizontal="left" vertical="center"/>
      <protection locked="0"/>
    </xf>
    <xf numFmtId="196" fontId="116" fillId="7" borderId="97" xfId="0" applyNumberFormat="1" applyFont="1" applyFill="1" applyBorder="1" applyAlignment="1" applyProtection="1">
      <alignment horizontal="left" vertical="center"/>
      <protection locked="0"/>
    </xf>
    <xf numFmtId="0" fontId="18" fillId="7" borderId="29" xfId="0" applyFont="1" applyFill="1" applyBorder="1" applyAlignment="1" applyProtection="1">
      <alignment horizontal="center" vertical="center" wrapText="1"/>
      <protection locked="0"/>
    </xf>
    <xf numFmtId="0" fontId="18" fillId="7" borderId="14" xfId="0" applyFont="1" applyFill="1" applyBorder="1" applyAlignment="1" applyProtection="1">
      <alignment horizontal="center" vertical="center" wrapText="1"/>
      <protection locked="0"/>
    </xf>
    <xf numFmtId="0" fontId="135" fillId="0" borderId="37" xfId="0" applyFont="1" applyBorder="1" applyAlignment="1" applyProtection="1">
      <alignment horizontal="center" vertical="center"/>
      <protection locked="0"/>
    </xf>
    <xf numFmtId="0" fontId="135" fillId="0" borderId="132" xfId="0" applyFont="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184" fontId="26" fillId="0" borderId="14" xfId="0" applyNumberFormat="1" applyFont="1" applyFill="1" applyBorder="1" applyAlignment="1" applyProtection="1">
      <alignment horizontal="right" vertical="center" wrapText="1"/>
      <protection locked="0"/>
    </xf>
    <xf numFmtId="176" fontId="26" fillId="0" borderId="118" xfId="0" applyNumberFormat="1" applyFont="1" applyFill="1" applyBorder="1" applyAlignment="1" applyProtection="1">
      <alignment horizontal="right" vertical="center" wrapText="1"/>
      <protection/>
    </xf>
    <xf numFmtId="184" fontId="26" fillId="0" borderId="13" xfId="0" applyNumberFormat="1" applyFont="1" applyFill="1" applyBorder="1" applyAlignment="1" applyProtection="1">
      <alignment horizontal="right" vertical="center" wrapText="1"/>
      <protection locked="0"/>
    </xf>
    <xf numFmtId="176" fontId="26" fillId="0" borderId="92" xfId="0" applyNumberFormat="1" applyFont="1" applyFill="1" applyBorder="1" applyAlignment="1" applyProtection="1">
      <alignment horizontal="right" vertical="center" wrapText="1"/>
      <protection/>
    </xf>
    <xf numFmtId="176" fontId="26" fillId="0" borderId="100" xfId="0" applyNumberFormat="1" applyFont="1" applyFill="1" applyBorder="1" applyAlignment="1" applyProtection="1">
      <alignment horizontal="right" vertical="center" wrapText="1"/>
      <protection locked="0"/>
    </xf>
    <xf numFmtId="176" fontId="26" fillId="33" borderId="112" xfId="0" applyNumberFormat="1" applyFont="1" applyFill="1" applyBorder="1" applyAlignment="1" applyProtection="1">
      <alignment horizontal="right" vertical="center" wrapText="1"/>
      <protection/>
    </xf>
    <xf numFmtId="176" fontId="161" fillId="33" borderId="133" xfId="0" applyNumberFormat="1" applyFont="1" applyFill="1" applyBorder="1" applyAlignment="1" applyProtection="1">
      <alignment horizontal="right" vertical="center" wrapText="1"/>
      <protection locked="0"/>
    </xf>
    <xf numFmtId="184" fontId="161" fillId="33" borderId="134" xfId="0" applyNumberFormat="1" applyFont="1" applyFill="1" applyBorder="1" applyAlignment="1" applyProtection="1">
      <alignment horizontal="right" vertical="center" wrapText="1"/>
      <protection/>
    </xf>
    <xf numFmtId="176" fontId="161" fillId="33" borderId="135" xfId="0" applyNumberFormat="1" applyFont="1" applyFill="1" applyBorder="1" applyAlignment="1" applyProtection="1">
      <alignment horizontal="right" vertical="center" wrapText="1"/>
      <protection/>
    </xf>
    <xf numFmtId="176" fontId="161" fillId="33" borderId="136" xfId="0" applyNumberFormat="1" applyFont="1" applyFill="1" applyBorder="1" applyAlignment="1" applyProtection="1">
      <alignment horizontal="right" vertical="center" wrapText="1"/>
      <protection/>
    </xf>
    <xf numFmtId="176" fontId="26" fillId="33" borderId="11" xfId="0" applyNumberFormat="1" applyFont="1" applyFill="1" applyBorder="1" applyAlignment="1" applyProtection="1">
      <alignment horizontal="right" vertical="center" wrapText="1"/>
      <protection/>
    </xf>
    <xf numFmtId="184" fontId="26" fillId="0" borderId="95" xfId="0" applyNumberFormat="1" applyFont="1" applyFill="1" applyBorder="1" applyAlignment="1" applyProtection="1">
      <alignment horizontal="right" vertical="center" wrapText="1"/>
      <protection locked="0"/>
    </xf>
    <xf numFmtId="176" fontId="26" fillId="0" borderId="113" xfId="0" applyNumberFormat="1" applyFont="1" applyFill="1" applyBorder="1" applyAlignment="1" applyProtection="1">
      <alignment horizontal="right" vertical="center" wrapText="1"/>
      <protection/>
    </xf>
    <xf numFmtId="176" fontId="26" fillId="33" borderId="12" xfId="0" applyNumberFormat="1" applyFont="1" applyFill="1" applyBorder="1" applyAlignment="1" applyProtection="1">
      <alignment horizontal="right" vertical="center" wrapText="1"/>
      <protection/>
    </xf>
    <xf numFmtId="176" fontId="26" fillId="0" borderId="137" xfId="0" applyNumberFormat="1" applyFont="1" applyFill="1" applyBorder="1" applyAlignment="1" applyProtection="1">
      <alignment horizontal="right" vertical="center" wrapText="1"/>
      <protection locked="0"/>
    </xf>
    <xf numFmtId="176" fontId="161" fillId="33" borderId="96" xfId="0" applyNumberFormat="1" applyFont="1" applyFill="1" applyBorder="1" applyAlignment="1" applyProtection="1">
      <alignment vertical="center" wrapText="1"/>
      <protection locked="0"/>
    </xf>
    <xf numFmtId="176" fontId="161" fillId="33" borderId="138" xfId="0" applyNumberFormat="1" applyFont="1" applyFill="1" applyBorder="1" applyAlignment="1" applyProtection="1">
      <alignment vertical="center" wrapText="1"/>
      <protection/>
    </xf>
    <xf numFmtId="0" fontId="161" fillId="33" borderId="97" xfId="0" applyFont="1" applyFill="1" applyBorder="1" applyAlignment="1" applyProtection="1">
      <alignment vertical="center" wrapText="1"/>
      <protection locked="0"/>
    </xf>
    <xf numFmtId="176" fontId="26" fillId="33" borderId="108" xfId="0" applyNumberFormat="1" applyFont="1" applyFill="1" applyBorder="1" applyAlignment="1" applyProtection="1">
      <alignment horizontal="right" vertical="center" wrapText="1"/>
      <protection/>
    </xf>
    <xf numFmtId="176" fontId="26" fillId="0" borderId="109" xfId="0" applyNumberFormat="1" applyFont="1" applyFill="1" applyBorder="1" applyAlignment="1" applyProtection="1">
      <alignment horizontal="right" vertical="center" wrapText="1"/>
      <protection/>
    </xf>
    <xf numFmtId="176" fontId="26" fillId="0" borderId="139" xfId="0" applyNumberFormat="1" applyFont="1" applyFill="1" applyBorder="1" applyAlignment="1" applyProtection="1">
      <alignment horizontal="right" vertical="center" wrapText="1"/>
      <protection locked="0"/>
    </xf>
    <xf numFmtId="0" fontId="146" fillId="33" borderId="140" xfId="0" applyFont="1" applyFill="1" applyBorder="1" applyAlignment="1" applyProtection="1">
      <alignment horizontal="right" vertical="center" wrapText="1"/>
      <protection locked="0"/>
    </xf>
    <xf numFmtId="0" fontId="146" fillId="33" borderId="114" xfId="0" applyFont="1" applyFill="1" applyBorder="1" applyAlignment="1" applyProtection="1">
      <alignment horizontal="right" vertical="center" wrapText="1"/>
      <protection locked="0"/>
    </xf>
    <xf numFmtId="0" fontId="146" fillId="33" borderId="99" xfId="0" applyFont="1" applyFill="1" applyBorder="1" applyAlignment="1" applyProtection="1">
      <alignment horizontal="right" vertical="center" wrapText="1"/>
      <protection locked="0"/>
    </xf>
    <xf numFmtId="0" fontId="146" fillId="33" borderId="141" xfId="0" applyFont="1" applyFill="1" applyBorder="1" applyAlignment="1" applyProtection="1">
      <alignment horizontal="right" vertical="center" wrapText="1"/>
      <protection locked="0"/>
    </xf>
    <xf numFmtId="0" fontId="146" fillId="33" borderId="119" xfId="0" applyFont="1" applyFill="1" applyBorder="1" applyAlignment="1" applyProtection="1">
      <alignment horizontal="right" vertical="center" wrapText="1"/>
      <protection locked="0"/>
    </xf>
    <xf numFmtId="0" fontId="146" fillId="33" borderId="117" xfId="0" applyFont="1" applyFill="1" applyBorder="1" applyAlignment="1" applyProtection="1">
      <alignment horizontal="right" vertical="center" wrapText="1"/>
      <protection locked="0"/>
    </xf>
    <xf numFmtId="0" fontId="146" fillId="33" borderId="142" xfId="0" applyFont="1" applyFill="1" applyBorder="1" applyAlignment="1" applyProtection="1">
      <alignment horizontal="right" vertical="center" wrapText="1"/>
      <protection locked="0"/>
    </xf>
    <xf numFmtId="0" fontId="146" fillId="33" borderId="143" xfId="0" applyFont="1" applyFill="1" applyBorder="1" applyAlignment="1" applyProtection="1">
      <alignment horizontal="center" vertical="center" wrapText="1"/>
      <protection locked="0"/>
    </xf>
    <xf numFmtId="0" fontId="146" fillId="33" borderId="144" xfId="0" applyFont="1" applyFill="1" applyBorder="1" applyAlignment="1" applyProtection="1">
      <alignment horizontal="center" vertical="center" wrapText="1"/>
      <protection locked="0"/>
    </xf>
    <xf numFmtId="0" fontId="146" fillId="33" borderId="144" xfId="0" applyFont="1" applyFill="1" applyBorder="1" applyAlignment="1" applyProtection="1">
      <alignment horizontal="right" vertical="center"/>
      <protection locked="0"/>
    </xf>
    <xf numFmtId="0" fontId="146" fillId="33" borderId="145" xfId="0" applyFont="1" applyFill="1" applyBorder="1" applyAlignment="1" applyProtection="1">
      <alignment horizontal="center" vertical="center" wrapText="1"/>
      <protection locked="0"/>
    </xf>
    <xf numFmtId="0" fontId="146" fillId="33" borderId="146" xfId="0" applyFont="1" applyFill="1" applyBorder="1" applyAlignment="1" applyProtection="1">
      <alignment horizontal="center" vertical="center" wrapText="1"/>
      <protection locked="0"/>
    </xf>
    <xf numFmtId="0" fontId="146" fillId="33" borderId="146" xfId="0" applyFont="1" applyFill="1" applyBorder="1" applyAlignment="1" applyProtection="1">
      <alignment horizontal="right" vertical="center"/>
      <protection locked="0"/>
    </xf>
    <xf numFmtId="0" fontId="126" fillId="33" borderId="0" xfId="0" applyFont="1" applyFill="1" applyAlignment="1" applyProtection="1">
      <alignment vertical="center"/>
      <protection/>
    </xf>
    <xf numFmtId="0" fontId="126" fillId="33" borderId="0" xfId="0" applyFont="1" applyFill="1" applyAlignment="1" applyProtection="1">
      <alignment vertical="center"/>
      <protection locked="0"/>
    </xf>
    <xf numFmtId="0" fontId="146" fillId="33" borderId="0" xfId="0" applyFont="1" applyFill="1" applyAlignment="1" applyProtection="1">
      <alignment horizontal="justify" vertical="center"/>
      <protection locked="0"/>
    </xf>
    <xf numFmtId="0" fontId="126" fillId="33" borderId="0" xfId="0" applyFont="1" applyFill="1" applyAlignment="1" applyProtection="1">
      <alignment horizontal="right" vertical="center"/>
      <protection locked="0"/>
    </xf>
    <xf numFmtId="38" fontId="0" fillId="0" borderId="108" xfId="50" applyFont="1" applyBorder="1" applyAlignment="1" applyProtection="1">
      <alignment horizontal="right" vertical="center"/>
      <protection/>
    </xf>
    <xf numFmtId="38" fontId="0" fillId="0" borderId="109" xfId="50" applyFont="1" applyBorder="1" applyAlignment="1" applyProtection="1">
      <alignment horizontal="right" vertical="center"/>
      <protection/>
    </xf>
    <xf numFmtId="38" fontId="116" fillId="7" borderId="12" xfId="50" applyFont="1" applyFill="1" applyBorder="1" applyAlignment="1" applyProtection="1">
      <alignment horizontal="right" vertical="center"/>
      <protection locked="0"/>
    </xf>
    <xf numFmtId="38" fontId="116" fillId="7" borderId="115" xfId="50" applyFont="1" applyFill="1" applyBorder="1" applyAlignment="1" applyProtection="1">
      <alignment horizontal="right" vertical="center"/>
      <protection locked="0"/>
    </xf>
    <xf numFmtId="38" fontId="0" fillId="0" borderId="32" xfId="50" applyFont="1" applyBorder="1" applyAlignment="1" applyProtection="1">
      <alignment horizontal="right" vertical="center"/>
      <protection/>
    </xf>
    <xf numFmtId="38" fontId="0" fillId="0" borderId="107" xfId="50" applyFont="1" applyBorder="1" applyAlignment="1" applyProtection="1">
      <alignment horizontal="right" vertical="center"/>
      <protection/>
    </xf>
    <xf numFmtId="0" fontId="127" fillId="0" borderId="147" xfId="0" applyFont="1" applyBorder="1" applyAlignment="1" applyProtection="1">
      <alignment horizontal="center" vertical="center"/>
      <protection locked="0"/>
    </xf>
    <xf numFmtId="196" fontId="127" fillId="7" borderId="30" xfId="0" applyNumberFormat="1" applyFont="1" applyFill="1" applyBorder="1" applyAlignment="1" applyProtection="1">
      <alignment horizontal="center" vertical="center"/>
      <protection locked="0"/>
    </xf>
    <xf numFmtId="38" fontId="0" fillId="33" borderId="37" xfId="50" applyFont="1" applyFill="1" applyBorder="1" applyAlignment="1" applyProtection="1">
      <alignment horizontal="right" vertical="center"/>
      <protection/>
    </xf>
    <xf numFmtId="38" fontId="0" fillId="33" borderId="29" xfId="50" applyFont="1" applyFill="1" applyBorder="1" applyAlignment="1" applyProtection="1">
      <alignment horizontal="right" vertical="center"/>
      <protection/>
    </xf>
    <xf numFmtId="38" fontId="0" fillId="33" borderId="40" xfId="50" applyFont="1" applyFill="1" applyBorder="1" applyAlignment="1" applyProtection="1">
      <alignment horizontal="right" vertical="center"/>
      <protection/>
    </xf>
    <xf numFmtId="38" fontId="0" fillId="0" borderId="148" xfId="50" applyFont="1" applyBorder="1" applyAlignment="1" applyProtection="1">
      <alignment horizontal="right" vertical="center"/>
      <protection/>
    </xf>
    <xf numFmtId="38" fontId="0" fillId="0" borderId="129" xfId="50" applyFont="1" applyBorder="1" applyAlignment="1" applyProtection="1">
      <alignment horizontal="right" vertical="center"/>
      <protection/>
    </xf>
    <xf numFmtId="38" fontId="0" fillId="0" borderId="15" xfId="50" applyFont="1" applyBorder="1" applyAlignment="1" applyProtection="1">
      <alignment horizontal="right" vertical="center"/>
      <protection/>
    </xf>
    <xf numFmtId="38" fontId="0" fillId="0" borderId="149" xfId="50" applyFont="1" applyBorder="1" applyAlignment="1" applyProtection="1">
      <alignment horizontal="right" vertical="center"/>
      <protection/>
    </xf>
    <xf numFmtId="38" fontId="0" fillId="0" borderId="97" xfId="50" applyFont="1" applyBorder="1" applyAlignment="1" applyProtection="1">
      <alignment horizontal="right" vertical="center"/>
      <protection/>
    </xf>
    <xf numFmtId="38" fontId="0" fillId="33" borderId="108" xfId="50" applyFont="1" applyFill="1" applyBorder="1" applyAlignment="1" applyProtection="1">
      <alignment horizontal="right" vertical="center"/>
      <protection/>
    </xf>
    <xf numFmtId="38" fontId="0" fillId="33" borderId="12" xfId="50" applyFont="1" applyFill="1" applyBorder="1" applyAlignment="1" applyProtection="1">
      <alignment horizontal="right" vertical="center"/>
      <protection/>
    </xf>
    <xf numFmtId="38" fontId="0" fillId="33" borderId="12" xfId="50" applyFont="1" applyFill="1" applyBorder="1" applyAlignment="1" applyProtection="1">
      <alignment horizontal="right" vertical="center"/>
      <protection locked="0"/>
    </xf>
    <xf numFmtId="38" fontId="0" fillId="33" borderId="115" xfId="50" applyFont="1" applyFill="1" applyBorder="1" applyAlignment="1" applyProtection="1">
      <alignment horizontal="right" vertical="center"/>
      <protection/>
    </xf>
    <xf numFmtId="38" fontId="0" fillId="0" borderId="150" xfId="50" applyFont="1" applyBorder="1" applyAlignment="1" applyProtection="1">
      <alignment horizontal="right" vertical="center"/>
      <protection/>
    </xf>
    <xf numFmtId="38" fontId="0" fillId="0" borderId="151" xfId="50" applyFont="1" applyBorder="1" applyAlignment="1" applyProtection="1">
      <alignment horizontal="right" vertical="center"/>
      <protection/>
    </xf>
    <xf numFmtId="38" fontId="0" fillId="0" borderId="152" xfId="50" applyFont="1" applyBorder="1" applyAlignment="1" applyProtection="1">
      <alignment horizontal="right" vertical="center"/>
      <protection/>
    </xf>
    <xf numFmtId="0" fontId="146" fillId="33" borderId="111" xfId="0" applyFont="1" applyFill="1" applyBorder="1" applyAlignment="1" applyProtection="1">
      <alignment horizontal="right" vertical="center" wrapText="1"/>
      <protection locked="0"/>
    </xf>
    <xf numFmtId="0" fontId="146" fillId="33" borderId="153" xfId="0" applyFont="1" applyFill="1" applyBorder="1" applyAlignment="1" applyProtection="1">
      <alignment horizontal="right" vertical="center" wrapText="1"/>
      <protection locked="0"/>
    </xf>
    <xf numFmtId="176" fontId="26" fillId="33" borderId="115" xfId="0" applyNumberFormat="1" applyFont="1" applyFill="1" applyBorder="1" applyAlignment="1" applyProtection="1">
      <alignment horizontal="right" vertical="center" wrapText="1"/>
      <protection/>
    </xf>
    <xf numFmtId="184" fontId="26" fillId="0" borderId="103" xfId="0" applyNumberFormat="1" applyFont="1" applyFill="1" applyBorder="1" applyAlignment="1" applyProtection="1">
      <alignment horizontal="right" vertical="center" wrapText="1"/>
      <protection locked="0"/>
    </xf>
    <xf numFmtId="176" fontId="26" fillId="0" borderId="116" xfId="0" applyNumberFormat="1" applyFont="1" applyFill="1" applyBorder="1" applyAlignment="1" applyProtection="1">
      <alignment horizontal="right" vertical="center" wrapText="1"/>
      <protection/>
    </xf>
    <xf numFmtId="176" fontId="26" fillId="0" borderId="154" xfId="0" applyNumberFormat="1" applyFont="1" applyFill="1" applyBorder="1" applyAlignment="1" applyProtection="1">
      <alignment horizontal="right" vertical="center" wrapText="1"/>
      <protection locked="0"/>
    </xf>
    <xf numFmtId="176" fontId="26" fillId="33" borderId="151" xfId="0" applyNumberFormat="1" applyFont="1" applyFill="1" applyBorder="1" applyAlignment="1" applyProtection="1">
      <alignment horizontal="right" vertical="center" wrapText="1"/>
      <protection/>
    </xf>
    <xf numFmtId="176" fontId="26" fillId="0" borderId="110" xfId="0" applyNumberFormat="1" applyFont="1" applyFill="1" applyBorder="1" applyAlignment="1" applyProtection="1">
      <alignment horizontal="right" vertical="center" wrapText="1"/>
      <protection/>
    </xf>
    <xf numFmtId="176" fontId="26" fillId="0" borderId="107" xfId="0" applyNumberFormat="1" applyFont="1" applyFill="1" applyBorder="1" applyAlignment="1" applyProtection="1">
      <alignment horizontal="right" vertical="center" wrapText="1"/>
      <protection locked="0"/>
    </xf>
    <xf numFmtId="176" fontId="26" fillId="33" borderId="130" xfId="0" applyNumberFormat="1" applyFont="1" applyFill="1" applyBorder="1" applyAlignment="1" applyProtection="1">
      <alignment horizontal="right" vertical="center" wrapText="1"/>
      <protection/>
    </xf>
    <xf numFmtId="176" fontId="26" fillId="0" borderId="127" xfId="0" applyNumberFormat="1" applyFont="1" applyFill="1" applyBorder="1" applyAlignment="1" applyProtection="1">
      <alignment horizontal="right" vertical="center" wrapText="1"/>
      <protection/>
    </xf>
    <xf numFmtId="176" fontId="26" fillId="0" borderId="155" xfId="0" applyNumberFormat="1" applyFont="1" applyFill="1" applyBorder="1" applyAlignment="1" applyProtection="1">
      <alignment horizontal="right" vertical="center" wrapText="1"/>
      <protection locked="0"/>
    </xf>
    <xf numFmtId="176" fontId="26" fillId="33" borderId="131" xfId="0" applyNumberFormat="1" applyFont="1" applyFill="1" applyBorder="1" applyAlignment="1" applyProtection="1">
      <alignment horizontal="right" vertical="center" wrapText="1"/>
      <protection/>
    </xf>
    <xf numFmtId="38" fontId="116" fillId="7" borderId="114" xfId="50" applyFont="1" applyFill="1" applyBorder="1" applyAlignment="1" applyProtection="1">
      <alignment horizontal="right" vertical="center"/>
      <protection locked="0"/>
    </xf>
    <xf numFmtId="38" fontId="116" fillId="7" borderId="117" xfId="50" applyFont="1" applyFill="1" applyBorder="1" applyAlignment="1" applyProtection="1">
      <alignment horizontal="right" vertical="center"/>
      <protection locked="0"/>
    </xf>
    <xf numFmtId="176" fontId="26" fillId="0" borderId="120" xfId="0" applyNumberFormat="1" applyFont="1" applyFill="1" applyBorder="1" applyAlignment="1" applyProtection="1">
      <alignment horizontal="right" vertical="center" wrapText="1"/>
      <protection/>
    </xf>
    <xf numFmtId="176" fontId="26" fillId="0" borderId="112" xfId="0" applyNumberFormat="1" applyFont="1" applyFill="1" applyBorder="1" applyAlignment="1" applyProtection="1">
      <alignment horizontal="right" vertical="center" wrapText="1"/>
      <protection locked="0"/>
    </xf>
    <xf numFmtId="176" fontId="26" fillId="0" borderId="120" xfId="0" applyNumberFormat="1" applyFont="1" applyFill="1" applyBorder="1" applyAlignment="1" applyProtection="1">
      <alignment horizontal="right" vertical="center" wrapText="1"/>
      <protection locked="0"/>
    </xf>
    <xf numFmtId="176" fontId="26" fillId="0" borderId="92" xfId="0" applyNumberFormat="1" applyFont="1" applyFill="1" applyBorder="1" applyAlignment="1" applyProtection="1">
      <alignment horizontal="right" vertical="center" wrapText="1"/>
      <protection locked="0"/>
    </xf>
    <xf numFmtId="176" fontId="26" fillId="0" borderId="37" xfId="0" applyNumberFormat="1" applyFont="1" applyFill="1" applyBorder="1" applyAlignment="1" applyProtection="1">
      <alignment horizontal="right" vertical="center" wrapText="1"/>
      <protection locked="0"/>
    </xf>
    <xf numFmtId="176" fontId="26" fillId="0" borderId="40" xfId="0" applyNumberFormat="1" applyFont="1" applyFill="1" applyBorder="1" applyAlignment="1" applyProtection="1">
      <alignment horizontal="right" vertical="center" wrapText="1"/>
      <protection locked="0"/>
    </xf>
    <xf numFmtId="176" fontId="26" fillId="0" borderId="13" xfId="0" applyNumberFormat="1" applyFont="1" applyFill="1" applyBorder="1" applyAlignment="1" applyProtection="1">
      <alignment horizontal="right" vertical="center" wrapText="1"/>
      <protection/>
    </xf>
    <xf numFmtId="176" fontId="26" fillId="0" borderId="40" xfId="0" applyNumberFormat="1" applyFont="1" applyFill="1" applyBorder="1" applyAlignment="1" applyProtection="1">
      <alignment horizontal="right" vertical="center" wrapText="1"/>
      <protection/>
    </xf>
    <xf numFmtId="176" fontId="26" fillId="0" borderId="29" xfId="0" applyNumberFormat="1" applyFont="1" applyFill="1" applyBorder="1" applyAlignment="1" applyProtection="1">
      <alignment horizontal="right" vertical="center" wrapText="1"/>
      <protection/>
    </xf>
    <xf numFmtId="176" fontId="26" fillId="0" borderId="38" xfId="0" applyNumberFormat="1" applyFont="1" applyFill="1" applyBorder="1" applyAlignment="1" applyProtection="1">
      <alignment horizontal="right" vertical="center" wrapText="1"/>
      <protection/>
    </xf>
    <xf numFmtId="176" fontId="26" fillId="0" borderId="156" xfId="0" applyNumberFormat="1" applyFont="1" applyFill="1" applyBorder="1" applyAlignment="1" applyProtection="1">
      <alignment horizontal="right" vertical="center" wrapText="1"/>
      <protection/>
    </xf>
    <xf numFmtId="38" fontId="26" fillId="0" borderId="33" xfId="50" applyFont="1" applyFill="1" applyBorder="1" applyAlignment="1" applyProtection="1">
      <alignment horizontal="right" vertical="center" wrapText="1"/>
      <protection/>
    </xf>
    <xf numFmtId="38" fontId="150" fillId="0" borderId="29" xfId="50" applyFont="1" applyBorder="1" applyAlignment="1" applyProtection="1">
      <alignment horizontal="right" vertical="center" wrapText="1"/>
      <protection/>
    </xf>
    <xf numFmtId="3" fontId="150" fillId="36" borderId="13" xfId="0" applyNumberFormat="1" applyFont="1" applyFill="1" applyBorder="1" applyAlignment="1" applyProtection="1">
      <alignment horizontal="right" vertical="center" wrapText="1"/>
      <protection/>
    </xf>
    <xf numFmtId="3" fontId="150" fillId="0" borderId="14" xfId="0" applyNumberFormat="1" applyFont="1" applyBorder="1" applyAlignment="1" applyProtection="1">
      <alignment horizontal="right" vertical="center" wrapText="1"/>
      <protection locked="0"/>
    </xf>
    <xf numFmtId="0" fontId="150" fillId="0" borderId="13" xfId="0" applyFont="1" applyBorder="1" applyAlignment="1" applyProtection="1">
      <alignment horizontal="right" vertical="center" wrapText="1"/>
      <protection locked="0"/>
    </xf>
    <xf numFmtId="3" fontId="150" fillId="0" borderId="13" xfId="0" applyNumberFormat="1" applyFont="1" applyBorder="1" applyAlignment="1" applyProtection="1">
      <alignment horizontal="right" vertical="center" wrapText="1"/>
      <protection/>
    </xf>
    <xf numFmtId="38" fontId="150" fillId="0" borderId="29" xfId="50" applyFont="1" applyBorder="1" applyAlignment="1" applyProtection="1">
      <alignment horizontal="right" vertical="center" wrapText="1"/>
      <protection locked="0"/>
    </xf>
    <xf numFmtId="38" fontId="150" fillId="0" borderId="13" xfId="50" applyFont="1" applyBorder="1" applyAlignment="1" applyProtection="1">
      <alignment horizontal="right" vertical="center" wrapText="1"/>
      <protection/>
    </xf>
    <xf numFmtId="38" fontId="150" fillId="37" borderId="13" xfId="50" applyFont="1" applyFill="1" applyBorder="1" applyAlignment="1" applyProtection="1">
      <alignment horizontal="right" vertical="center" wrapText="1"/>
      <protection/>
    </xf>
    <xf numFmtId="0" fontId="135" fillId="0" borderId="0" xfId="0" applyFont="1" applyBorder="1" applyAlignment="1" applyProtection="1">
      <alignment horizontal="center" vertical="center"/>
      <protection locked="0"/>
    </xf>
    <xf numFmtId="0" fontId="150" fillId="0" borderId="92" xfId="0" applyFont="1" applyBorder="1" applyAlignment="1" applyProtection="1">
      <alignment horizontal="center" vertical="center" wrapText="1"/>
      <protection locked="0"/>
    </xf>
    <xf numFmtId="0" fontId="136" fillId="0" borderId="0" xfId="0" applyFont="1" applyBorder="1" applyAlignment="1" applyProtection="1">
      <alignment horizontal="left" vertical="top" wrapText="1"/>
      <protection locked="0"/>
    </xf>
    <xf numFmtId="0" fontId="146" fillId="0" borderId="0" xfId="0" applyFont="1" applyAlignment="1" applyProtection="1">
      <alignment horizontal="left" vertical="center"/>
      <protection locked="0"/>
    </xf>
    <xf numFmtId="0" fontId="135" fillId="0" borderId="45" xfId="0" applyFont="1" applyBorder="1" applyAlignment="1" applyProtection="1">
      <alignment horizontal="center" vertical="center"/>
      <protection locked="0"/>
    </xf>
    <xf numFmtId="0" fontId="162" fillId="0" borderId="0" xfId="0" applyFont="1" applyBorder="1" applyAlignment="1" applyProtection="1">
      <alignment vertical="center"/>
      <protection locked="0"/>
    </xf>
    <xf numFmtId="0" fontId="135" fillId="0" borderId="148" xfId="0" applyFont="1" applyBorder="1" applyAlignment="1" applyProtection="1">
      <alignment vertical="center"/>
      <protection locked="0"/>
    </xf>
    <xf numFmtId="0" fontId="18" fillId="0" borderId="157" xfId="0" applyFont="1" applyBorder="1" applyAlignment="1" applyProtection="1">
      <alignment horizontal="center" vertical="center" wrapText="1"/>
      <protection locked="0"/>
    </xf>
    <xf numFmtId="0" fontId="18" fillId="0" borderId="132" xfId="0" applyFont="1" applyBorder="1" applyAlignment="1" applyProtection="1">
      <alignment horizontal="center" vertical="center" wrapText="1"/>
      <protection locked="0"/>
    </xf>
    <xf numFmtId="0" fontId="18" fillId="0" borderId="141" xfId="0" applyFont="1" applyBorder="1" applyAlignment="1" applyProtection="1">
      <alignment vertical="top" wrapText="1"/>
      <protection locked="0"/>
    </xf>
    <xf numFmtId="0" fontId="18" fillId="0" borderId="158" xfId="0" applyFont="1" applyFill="1" applyBorder="1" applyAlignment="1" applyProtection="1">
      <alignment vertical="center" wrapText="1"/>
      <protection locked="0"/>
    </xf>
    <xf numFmtId="0" fontId="135" fillId="0" borderId="159" xfId="0" applyFont="1" applyBorder="1" applyAlignment="1" applyProtection="1">
      <alignment vertical="center"/>
      <protection locked="0"/>
    </xf>
    <xf numFmtId="0" fontId="18" fillId="0" borderId="147" xfId="0" applyFont="1" applyFill="1" applyBorder="1" applyAlignment="1" applyProtection="1">
      <alignment vertical="center" wrapText="1"/>
      <protection locked="0"/>
    </xf>
    <xf numFmtId="0" fontId="157" fillId="0" borderId="148" xfId="0" applyFont="1" applyBorder="1" applyAlignment="1" applyProtection="1">
      <alignment vertical="center"/>
      <protection locked="0"/>
    </xf>
    <xf numFmtId="0" fontId="157" fillId="0" borderId="148" xfId="0" applyFont="1" applyBorder="1" applyAlignment="1" applyProtection="1">
      <alignment vertical="center"/>
      <protection locked="0"/>
    </xf>
    <xf numFmtId="0" fontId="135" fillId="0" borderId="148" xfId="0" applyFont="1" applyBorder="1" applyAlignment="1" applyProtection="1">
      <alignment vertical="center"/>
      <protection locked="0"/>
    </xf>
    <xf numFmtId="0" fontId="18" fillId="0" borderId="141" xfId="0" applyFont="1" applyFill="1" applyBorder="1" applyAlignment="1" applyProtection="1">
      <alignment vertical="center" wrapText="1"/>
      <protection locked="0"/>
    </xf>
    <xf numFmtId="0" fontId="135" fillId="0" borderId="102" xfId="0" applyFont="1" applyBorder="1" applyAlignment="1" applyProtection="1">
      <alignment vertical="center"/>
      <protection locked="0"/>
    </xf>
    <xf numFmtId="0" fontId="18" fillId="0" borderId="143" xfId="0" applyFont="1" applyFill="1" applyBorder="1" applyAlignment="1" applyProtection="1">
      <alignment horizontal="center" vertical="center" wrapText="1"/>
      <protection locked="0"/>
    </xf>
    <xf numFmtId="0" fontId="31" fillId="0" borderId="128" xfId="0" applyFont="1" applyFill="1" applyBorder="1" applyAlignment="1" applyProtection="1" quotePrefix="1">
      <alignment horizontal="center" vertical="center" wrapText="1"/>
      <protection locked="0"/>
    </xf>
    <xf numFmtId="176" fontId="14" fillId="0" borderId="160" xfId="0" applyNumberFormat="1" applyFont="1" applyFill="1" applyBorder="1" applyAlignment="1" applyProtection="1">
      <alignment horizontal="right" vertical="center" wrapText="1"/>
      <protection/>
    </xf>
    <xf numFmtId="176" fontId="14" fillId="0" borderId="98" xfId="0" applyNumberFormat="1" applyFont="1" applyFill="1" applyBorder="1" applyAlignment="1" applyProtection="1">
      <alignment horizontal="right" vertical="center" wrapText="1"/>
      <protection/>
    </xf>
    <xf numFmtId="176" fontId="14" fillId="0" borderId="144" xfId="0" applyNumberFormat="1" applyFont="1" applyFill="1" applyBorder="1" applyAlignment="1" applyProtection="1">
      <alignment horizontal="right" vertical="center" wrapText="1"/>
      <protection/>
    </xf>
    <xf numFmtId="0" fontId="135" fillId="0" borderId="42" xfId="0" applyFont="1" applyBorder="1" applyAlignment="1" applyProtection="1">
      <alignment vertical="center"/>
      <protection locked="0"/>
    </xf>
    <xf numFmtId="0" fontId="135" fillId="0" borderId="37" xfId="0" applyFont="1" applyBorder="1" applyAlignment="1" applyProtection="1">
      <alignment vertical="center"/>
      <protection locked="0"/>
    </xf>
    <xf numFmtId="0" fontId="143" fillId="33" borderId="118" xfId="0" applyFont="1" applyFill="1" applyBorder="1" applyAlignment="1" applyProtection="1">
      <alignment horizontal="center" vertical="center"/>
      <protection/>
    </xf>
    <xf numFmtId="213" fontId="29" fillId="0" borderId="119" xfId="50" applyNumberFormat="1" applyFont="1" applyFill="1" applyBorder="1" applyAlignment="1" applyProtection="1">
      <alignment vertical="center" wrapText="1"/>
      <protection/>
    </xf>
    <xf numFmtId="0" fontId="144" fillId="0" borderId="38" xfId="0" applyFont="1" applyBorder="1" applyAlignment="1" applyProtection="1">
      <alignment vertical="center"/>
      <protection locked="0"/>
    </xf>
    <xf numFmtId="0" fontId="144" fillId="0" borderId="42" xfId="0" applyFont="1" applyBorder="1" applyAlignment="1" applyProtection="1">
      <alignment vertical="center"/>
      <protection locked="0"/>
    </xf>
    <xf numFmtId="0" fontId="144" fillId="0" borderId="40" xfId="0" applyFont="1" applyBorder="1" applyAlignment="1" applyProtection="1">
      <alignment vertical="center"/>
      <protection locked="0"/>
    </xf>
    <xf numFmtId="0" fontId="135" fillId="33" borderId="42" xfId="0" applyFont="1" applyFill="1" applyBorder="1" applyAlignment="1" applyProtection="1">
      <alignment horizontal="center" vertical="center"/>
      <protection locked="0"/>
    </xf>
    <xf numFmtId="0" fontId="163" fillId="0" borderId="0" xfId="0" applyFont="1" applyAlignment="1" applyProtection="1">
      <alignment vertical="center"/>
      <protection locked="0"/>
    </xf>
    <xf numFmtId="196" fontId="116" fillId="7" borderId="0" xfId="0" applyNumberFormat="1" applyFont="1" applyFill="1" applyBorder="1" applyAlignment="1" applyProtection="1">
      <alignment horizontal="left" vertical="center"/>
      <protection locked="0"/>
    </xf>
    <xf numFmtId="196" fontId="116" fillId="33" borderId="0" xfId="0" applyNumberFormat="1" applyFont="1" applyFill="1" applyBorder="1" applyAlignment="1" applyProtection="1">
      <alignment horizontal="left" vertical="center"/>
      <protection locked="0"/>
    </xf>
    <xf numFmtId="0" fontId="135" fillId="7" borderId="13" xfId="0" applyFont="1" applyFill="1" applyBorder="1" applyAlignment="1" applyProtection="1">
      <alignment horizontal="center" vertical="center"/>
      <protection locked="0"/>
    </xf>
    <xf numFmtId="0" fontId="18" fillId="7" borderId="13" xfId="0" applyFont="1" applyFill="1" applyBorder="1" applyAlignment="1" applyProtection="1">
      <alignment horizontal="center" vertical="top" wrapText="1"/>
      <protection locked="0"/>
    </xf>
    <xf numFmtId="0" fontId="18" fillId="7"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vertical="center" wrapText="1"/>
      <protection locked="0"/>
    </xf>
    <xf numFmtId="38" fontId="14" fillId="0" borderId="13" xfId="50" applyFont="1" applyFill="1" applyBorder="1" applyAlignment="1" applyProtection="1">
      <alignment vertical="center"/>
      <protection/>
    </xf>
    <xf numFmtId="38" fontId="14" fillId="0" borderId="13" xfId="50" applyFont="1" applyFill="1" applyBorder="1" applyAlignment="1" applyProtection="1">
      <alignment horizontal="right" vertical="center"/>
      <protection/>
    </xf>
    <xf numFmtId="0" fontId="153" fillId="0" borderId="13" xfId="0" applyFont="1" applyBorder="1" applyAlignment="1" applyProtection="1">
      <alignment horizontal="right" vertical="center" indent="1"/>
      <protection locked="0"/>
    </xf>
    <xf numFmtId="0" fontId="135" fillId="0" borderId="13"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43" fillId="33" borderId="29" xfId="0" applyFont="1" applyFill="1" applyBorder="1" applyAlignment="1" applyProtection="1">
      <alignment horizontal="center" vertical="center"/>
      <protection locked="0"/>
    </xf>
    <xf numFmtId="213" fontId="29" fillId="33" borderId="120" xfId="50" applyNumberFormat="1" applyFont="1" applyFill="1" applyBorder="1" applyAlignment="1" applyProtection="1">
      <alignment horizontal="center" vertical="center"/>
      <protection/>
    </xf>
    <xf numFmtId="0" fontId="143" fillId="33" borderId="156" xfId="0" applyFont="1" applyFill="1" applyBorder="1" applyAlignment="1" applyProtection="1">
      <alignment horizontal="center" vertical="center"/>
      <protection locked="0"/>
    </xf>
    <xf numFmtId="213" fontId="29" fillId="33" borderId="120" xfId="50" applyNumberFormat="1" applyFont="1" applyFill="1" applyBorder="1" applyAlignment="1" applyProtection="1">
      <alignment horizontal="right" vertical="center"/>
      <protection/>
    </xf>
    <xf numFmtId="213" fontId="29" fillId="0" borderId="120" xfId="50" applyNumberFormat="1" applyFont="1" applyFill="1" applyBorder="1" applyAlignment="1" applyProtection="1">
      <alignment horizontal="right" vertical="center" wrapText="1"/>
      <protection/>
    </xf>
    <xf numFmtId="0" fontId="148" fillId="33" borderId="38" xfId="0" applyFont="1" applyFill="1" applyBorder="1" applyAlignment="1" applyProtection="1">
      <alignment horizontal="center" vertical="center"/>
      <protection locked="0"/>
    </xf>
    <xf numFmtId="213" fontId="147" fillId="33" borderId="38" xfId="50" applyNumberFormat="1" applyFont="1" applyFill="1" applyBorder="1" applyAlignment="1" applyProtection="1">
      <alignment horizontal="right" vertical="center"/>
      <protection locked="0"/>
    </xf>
    <xf numFmtId="0" fontId="123" fillId="0" borderId="92" xfId="0" applyFont="1" applyBorder="1" applyAlignment="1" applyProtection="1">
      <alignment vertical="center" wrapText="1"/>
      <protection locked="0"/>
    </xf>
    <xf numFmtId="0" fontId="123" fillId="0" borderId="13" xfId="0" applyFont="1" applyBorder="1" applyAlignment="1" applyProtection="1">
      <alignment vertical="center" wrapText="1"/>
      <protection locked="0"/>
    </xf>
    <xf numFmtId="0" fontId="123" fillId="0" borderId="29" xfId="0" applyFont="1" applyBorder="1" applyAlignment="1" applyProtection="1">
      <alignment vertical="center" wrapText="1"/>
      <protection locked="0"/>
    </xf>
    <xf numFmtId="0" fontId="146" fillId="0" borderId="0" xfId="0" applyFont="1" applyBorder="1" applyAlignment="1" applyProtection="1">
      <alignment horizontal="left" vertical="center"/>
      <protection locked="0"/>
    </xf>
    <xf numFmtId="0" fontId="143" fillId="33" borderId="14" xfId="0" applyFont="1" applyFill="1" applyBorder="1" applyAlignment="1" applyProtection="1">
      <alignment horizontal="center" vertical="center"/>
      <protection/>
    </xf>
    <xf numFmtId="0" fontId="135" fillId="0" borderId="130" xfId="0" applyFont="1" applyBorder="1" applyAlignment="1" applyProtection="1">
      <alignment horizontal="center" vertical="center" wrapText="1"/>
      <protection locked="0"/>
    </xf>
    <xf numFmtId="0" fontId="135" fillId="0" borderId="112" xfId="0" applyFont="1" applyBorder="1" applyAlignment="1" applyProtection="1">
      <alignment horizontal="center" vertical="center" wrapText="1"/>
      <protection/>
    </xf>
    <xf numFmtId="0" fontId="135" fillId="0" borderId="131" xfId="0" applyFont="1" applyBorder="1" applyAlignment="1" applyProtection="1">
      <alignment horizontal="center" vertical="center" wrapText="1"/>
      <protection/>
    </xf>
    <xf numFmtId="213" fontId="30" fillId="33" borderId="118" xfId="50" applyNumberFormat="1" applyFont="1" applyFill="1" applyBorder="1" applyAlignment="1" applyProtection="1">
      <alignment horizontal="center" vertical="center"/>
      <protection/>
    </xf>
    <xf numFmtId="0" fontId="8" fillId="0" borderId="0" xfId="0" applyFont="1" applyAlignment="1" applyProtection="1">
      <alignment horizontal="left" vertical="center"/>
      <protection locked="0"/>
    </xf>
    <xf numFmtId="0" fontId="122" fillId="0" borderId="0" xfId="0" applyFont="1" applyAlignment="1" applyProtection="1">
      <alignment horizontal="left" vertical="center"/>
      <protection locked="0"/>
    </xf>
    <xf numFmtId="0" fontId="144" fillId="0" borderId="118" xfId="0" applyFont="1" applyBorder="1" applyAlignment="1" applyProtection="1">
      <alignment vertical="center"/>
      <protection locked="0"/>
    </xf>
    <xf numFmtId="0" fontId="144" fillId="0" borderId="0" xfId="0" applyFont="1" applyBorder="1" applyAlignment="1" applyProtection="1">
      <alignment horizontal="center" vertical="center"/>
      <protection/>
    </xf>
    <xf numFmtId="0" fontId="18" fillId="7" borderId="112" xfId="0" applyFont="1" applyFill="1" applyBorder="1" applyAlignment="1" applyProtection="1">
      <alignment horizontal="center" vertical="top" wrapText="1"/>
      <protection locked="0"/>
    </xf>
    <xf numFmtId="0" fontId="18" fillId="7" borderId="112" xfId="0" applyFont="1" applyFill="1" applyBorder="1" applyAlignment="1" applyProtection="1">
      <alignment horizontal="center" vertical="center" wrapText="1"/>
      <protection locked="0"/>
    </xf>
    <xf numFmtId="0" fontId="18" fillId="0" borderId="14" xfId="0" applyFont="1" applyFill="1" applyBorder="1" applyAlignment="1" applyProtection="1">
      <alignment vertical="center" wrapText="1"/>
      <protection locked="0"/>
    </xf>
    <xf numFmtId="0" fontId="135" fillId="0" borderId="126" xfId="0" applyFont="1" applyBorder="1" applyAlignment="1" applyProtection="1">
      <alignment horizontal="center" vertical="center"/>
      <protection locked="0"/>
    </xf>
    <xf numFmtId="0" fontId="135" fillId="0" borderId="161" xfId="0" applyFont="1" applyBorder="1" applyAlignment="1" applyProtection="1">
      <alignment horizontal="center" vertical="center"/>
      <protection locked="0"/>
    </xf>
    <xf numFmtId="0" fontId="135" fillId="0" borderId="127" xfId="0" applyFont="1" applyBorder="1" applyAlignment="1" applyProtection="1">
      <alignment horizontal="center" vertical="center"/>
      <protection locked="0"/>
    </xf>
    <xf numFmtId="0" fontId="135" fillId="0" borderId="142" xfId="0" applyFont="1" applyBorder="1" applyAlignment="1" applyProtection="1">
      <alignment horizontal="center" vertical="center"/>
      <protection locked="0"/>
    </xf>
    <xf numFmtId="0" fontId="135" fillId="0" borderId="154" xfId="0" applyFont="1" applyBorder="1" applyAlignment="1" applyProtection="1">
      <alignment horizontal="center" vertical="center"/>
      <protection locked="0"/>
    </xf>
    <xf numFmtId="0" fontId="146" fillId="7" borderId="107" xfId="0" applyFont="1" applyFill="1" applyBorder="1" applyAlignment="1" applyProtection="1">
      <alignment horizontal="center" vertical="center"/>
      <protection locked="0"/>
    </xf>
    <xf numFmtId="0" fontId="146" fillId="7" borderId="0" xfId="0" applyFont="1" applyFill="1" applyAlignment="1" applyProtection="1">
      <alignment horizontal="left" vertical="center"/>
      <protection locked="0"/>
    </xf>
    <xf numFmtId="0" fontId="164" fillId="7" borderId="0" xfId="0" applyFont="1" applyFill="1" applyAlignment="1" applyProtection="1">
      <alignment vertical="center"/>
      <protection locked="0"/>
    </xf>
    <xf numFmtId="0" fontId="164" fillId="33" borderId="0" xfId="0" applyFont="1" applyFill="1" applyAlignment="1" applyProtection="1">
      <alignment vertical="center"/>
      <protection locked="0"/>
    </xf>
    <xf numFmtId="0" fontId="165" fillId="0" borderId="0" xfId="0" applyFont="1" applyBorder="1" applyAlignment="1" applyProtection="1">
      <alignment horizontal="left" vertical="center"/>
      <protection locked="0"/>
    </xf>
    <xf numFmtId="0" fontId="166" fillId="0" borderId="0" xfId="0" applyFont="1" applyAlignment="1" applyProtection="1">
      <alignment vertical="center"/>
      <protection locked="0"/>
    </xf>
    <xf numFmtId="0" fontId="165" fillId="0" borderId="0" xfId="0" applyFont="1" applyBorder="1" applyAlignment="1" applyProtection="1">
      <alignment horizontal="center" vertical="center"/>
      <protection locked="0"/>
    </xf>
    <xf numFmtId="0" fontId="165" fillId="0" borderId="0" xfId="0" applyFont="1" applyBorder="1" applyAlignment="1" applyProtection="1">
      <alignment vertical="center"/>
      <protection locked="0"/>
    </xf>
    <xf numFmtId="0" fontId="135" fillId="7" borderId="37" xfId="0" applyFont="1" applyFill="1" applyBorder="1" applyAlignment="1" applyProtection="1">
      <alignment horizontal="center" vertical="center" wrapText="1"/>
      <protection locked="0"/>
    </xf>
    <xf numFmtId="0" fontId="135" fillId="7" borderId="12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35" fillId="33" borderId="0" xfId="0" applyFont="1" applyFill="1" applyBorder="1" applyAlignment="1" applyProtection="1">
      <alignment horizontal="center" vertical="center" wrapText="1"/>
      <protection locked="0"/>
    </xf>
    <xf numFmtId="194" fontId="0" fillId="33" borderId="0" xfId="50" applyNumberFormat="1" applyFont="1" applyFill="1" applyBorder="1" applyAlignment="1" applyProtection="1">
      <alignment vertical="center"/>
      <protection locked="0"/>
    </xf>
    <xf numFmtId="0" fontId="144" fillId="0" borderId="42" xfId="0" applyFont="1" applyBorder="1" applyAlignment="1" applyProtection="1">
      <alignment horizontal="right"/>
      <protection locked="0"/>
    </xf>
    <xf numFmtId="0" fontId="143" fillId="33" borderId="38" xfId="0" applyFont="1" applyFill="1" applyBorder="1" applyAlignment="1" applyProtection="1">
      <alignment horizontal="center" vertical="center"/>
      <protection locked="0"/>
    </xf>
    <xf numFmtId="213" fontId="29" fillId="0" borderId="37" xfId="50" applyNumberFormat="1" applyFont="1" applyFill="1" applyBorder="1" applyAlignment="1" applyProtection="1">
      <alignment horizontal="right" vertical="center" wrapText="1"/>
      <protection locked="0"/>
    </xf>
    <xf numFmtId="213" fontId="29" fillId="33" borderId="45" xfId="50" applyNumberFormat="1" applyFont="1" applyFill="1" applyBorder="1" applyAlignment="1" applyProtection="1">
      <alignment horizontal="right" vertical="center"/>
      <protection locked="0"/>
    </xf>
    <xf numFmtId="213" fontId="30" fillId="33" borderId="38" xfId="50" applyNumberFormat="1" applyFont="1" applyFill="1" applyBorder="1" applyAlignment="1" applyProtection="1">
      <alignment horizontal="center" vertical="center"/>
      <protection locked="0"/>
    </xf>
    <xf numFmtId="213" fontId="29" fillId="33" borderId="45" xfId="50" applyNumberFormat="1" applyFont="1" applyFill="1" applyBorder="1" applyAlignment="1" applyProtection="1">
      <alignment horizontal="center" vertical="center"/>
      <protection locked="0"/>
    </xf>
    <xf numFmtId="0" fontId="151" fillId="0" borderId="0" xfId="0" applyFont="1" applyAlignment="1" applyProtection="1">
      <alignment vertical="center"/>
      <protection/>
    </xf>
    <xf numFmtId="38" fontId="14" fillId="0" borderId="92" xfId="50" applyFont="1" applyFill="1" applyBorder="1" applyAlignment="1" applyProtection="1">
      <alignment vertical="center"/>
      <protection/>
    </xf>
    <xf numFmtId="38" fontId="14" fillId="0" borderId="92" xfId="50" applyFont="1" applyFill="1" applyBorder="1" applyAlignment="1" applyProtection="1">
      <alignment horizontal="center" vertical="center"/>
      <protection/>
    </xf>
    <xf numFmtId="176" fontId="14" fillId="0" borderId="92" xfId="0" applyNumberFormat="1" applyFont="1" applyFill="1" applyBorder="1" applyAlignment="1" applyProtection="1">
      <alignment horizontal="center" vertical="center" wrapText="1"/>
      <protection locked="0"/>
    </xf>
    <xf numFmtId="0" fontId="11" fillId="0" borderId="9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7" fillId="0" borderId="40"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143" fillId="33" borderId="13"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right" vertical="center" wrapText="1"/>
      <protection locked="0"/>
    </xf>
    <xf numFmtId="176" fontId="26" fillId="0" borderId="0" xfId="0" applyNumberFormat="1" applyFont="1" applyFill="1" applyBorder="1" applyAlignment="1" applyProtection="1">
      <alignment horizontal="center" vertical="center" wrapText="1"/>
      <protection locked="0"/>
    </xf>
    <xf numFmtId="0" fontId="116" fillId="0" borderId="0" xfId="0" applyFont="1" applyBorder="1" applyAlignment="1" applyProtection="1">
      <alignment horizontal="left" vertical="center"/>
      <protection locked="0"/>
    </xf>
    <xf numFmtId="3" fontId="136" fillId="0" borderId="0" xfId="0" applyNumberFormat="1" applyFont="1" applyBorder="1" applyAlignment="1" applyProtection="1">
      <alignment horizontal="right" vertical="center" wrapText="1"/>
      <protection locked="0"/>
    </xf>
    <xf numFmtId="0" fontId="159" fillId="0" borderId="0" xfId="0" applyFont="1" applyAlignment="1" applyProtection="1">
      <alignment horizontal="center" vertical="center"/>
      <protection/>
    </xf>
    <xf numFmtId="176" fontId="9" fillId="0" borderId="37" xfId="0" applyNumberFormat="1" applyFont="1" applyFill="1" applyBorder="1" applyAlignment="1" applyProtection="1">
      <alignment vertical="center" wrapText="1"/>
      <protection/>
    </xf>
    <xf numFmtId="0" fontId="164" fillId="0" borderId="0" xfId="0" applyFont="1" applyAlignment="1" applyProtection="1">
      <alignment vertical="center"/>
      <protection/>
    </xf>
    <xf numFmtId="0" fontId="0" fillId="33" borderId="96" xfId="0" applyFill="1" applyBorder="1" applyAlignment="1" applyProtection="1">
      <alignment horizontal="center" vertical="center"/>
      <protection locked="0"/>
    </xf>
    <xf numFmtId="0" fontId="135" fillId="0" borderId="0" xfId="0" applyFont="1" applyBorder="1" applyAlignment="1" applyProtection="1">
      <alignment horizontal="center" vertical="center"/>
      <protection locked="0"/>
    </xf>
    <xf numFmtId="0" fontId="146"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shrinkToFit="1"/>
      <protection locked="0"/>
    </xf>
    <xf numFmtId="38" fontId="0" fillId="33" borderId="131" xfId="50" applyFont="1" applyFill="1" applyBorder="1" applyAlignment="1" applyProtection="1">
      <alignment horizontal="right" vertical="center"/>
      <protection/>
    </xf>
    <xf numFmtId="38" fontId="0" fillId="0" borderId="160" xfId="50" applyFont="1" applyBorder="1" applyAlignment="1" applyProtection="1">
      <alignment horizontal="right" vertical="center"/>
      <protection/>
    </xf>
    <xf numFmtId="0" fontId="126" fillId="0" borderId="0" xfId="0" applyFont="1" applyAlignment="1" applyProtection="1">
      <alignment horizontal="center" vertical="center"/>
      <protection locked="0"/>
    </xf>
    <xf numFmtId="0" fontId="126" fillId="33" borderId="0" xfId="0" applyFont="1" applyFill="1" applyAlignment="1" applyProtection="1">
      <alignment vertical="center"/>
      <protection/>
    </xf>
    <xf numFmtId="0" fontId="138" fillId="0" borderId="119" xfId="0" applyFont="1" applyBorder="1" applyAlignment="1" applyProtection="1">
      <alignment vertical="center"/>
      <protection locked="0"/>
    </xf>
    <xf numFmtId="0" fontId="138" fillId="0" borderId="99" xfId="0" applyFont="1" applyBorder="1" applyAlignment="1" applyProtection="1">
      <alignment vertical="center"/>
      <protection locked="0"/>
    </xf>
    <xf numFmtId="0" fontId="138" fillId="0" borderId="99" xfId="0" applyFont="1" applyBorder="1" applyAlignment="1" applyProtection="1">
      <alignment horizontal="left" vertical="center"/>
      <protection locked="0"/>
    </xf>
    <xf numFmtId="0" fontId="0" fillId="33" borderId="0" xfId="0" applyFont="1" applyFill="1" applyAlignment="1" applyProtection="1">
      <alignment horizontal="left" vertical="center"/>
      <protection locked="0"/>
    </xf>
    <xf numFmtId="40" fontId="3" fillId="0" borderId="60" xfId="53" applyNumberFormat="1" applyFont="1" applyFill="1" applyBorder="1" applyAlignment="1" applyProtection="1">
      <alignment horizontal="right" vertical="center" shrinkToFit="1"/>
      <protection/>
    </xf>
    <xf numFmtId="40" fontId="3" fillId="34" borderId="56" xfId="53" applyNumberFormat="1" applyFont="1" applyFill="1" applyBorder="1" applyAlignment="1" applyProtection="1">
      <alignment horizontal="right" vertical="center" shrinkToFit="1"/>
      <protection/>
    </xf>
    <xf numFmtId="40" fontId="3" fillId="0" borderId="56" xfId="53" applyNumberFormat="1" applyFont="1" applyFill="1" applyBorder="1" applyAlignment="1" applyProtection="1">
      <alignment horizontal="right" vertical="center" shrinkToFit="1"/>
      <protection/>
    </xf>
    <xf numFmtId="40" fontId="3" fillId="34" borderId="84" xfId="53" applyNumberFormat="1" applyFont="1" applyFill="1" applyBorder="1" applyAlignment="1" applyProtection="1">
      <alignment horizontal="right" vertical="center" shrinkToFit="1"/>
      <protection/>
    </xf>
    <xf numFmtId="190" fontId="3" fillId="0" borderId="46" xfId="53" applyNumberFormat="1" applyFont="1" applyFill="1" applyBorder="1" applyAlignment="1" applyProtection="1">
      <alignment vertical="center" shrinkToFit="1"/>
      <protection/>
    </xf>
    <xf numFmtId="0" fontId="167" fillId="33" borderId="0" xfId="0" applyFont="1" applyFill="1" applyAlignment="1" applyProtection="1">
      <alignment vertical="center"/>
      <protection/>
    </xf>
    <xf numFmtId="0" fontId="167" fillId="33" borderId="0" xfId="0" applyFont="1" applyFill="1" applyAlignment="1" applyProtection="1">
      <alignment vertical="center"/>
      <protection locked="0"/>
    </xf>
    <xf numFmtId="0" fontId="167" fillId="33" borderId="0" xfId="0" applyFont="1" applyFill="1" applyAlignment="1" applyProtection="1">
      <alignment horizontal="left" vertical="center"/>
      <protection locked="0"/>
    </xf>
    <xf numFmtId="0" fontId="117" fillId="0" borderId="126" xfId="0" applyFont="1" applyBorder="1" applyAlignment="1" applyProtection="1">
      <alignment horizontal="center" vertical="top" wrapText="1"/>
      <protection locked="0"/>
    </xf>
    <xf numFmtId="0" fontId="168" fillId="33" borderId="144" xfId="0" applyFont="1" applyFill="1" applyBorder="1" applyAlignment="1" applyProtection="1">
      <alignment horizontal="center" vertical="center" wrapText="1"/>
      <protection locked="0"/>
    </xf>
    <xf numFmtId="0" fontId="169" fillId="33" borderId="144" xfId="0" applyFont="1" applyFill="1" applyBorder="1" applyAlignment="1" applyProtection="1">
      <alignment horizontal="center" vertical="center" wrapText="1"/>
      <protection locked="0"/>
    </xf>
    <xf numFmtId="0" fontId="120" fillId="0" borderId="126" xfId="0" applyFont="1" applyBorder="1" applyAlignment="1" applyProtection="1">
      <alignment horizontal="center" vertical="top" wrapText="1"/>
      <protection locked="0"/>
    </xf>
    <xf numFmtId="0" fontId="117" fillId="33" borderId="162"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176" fontId="161" fillId="33" borderId="164" xfId="0" applyNumberFormat="1" applyFont="1" applyFill="1" applyBorder="1" applyAlignment="1" applyProtection="1">
      <alignment horizontal="right" vertical="center" wrapText="1"/>
      <protection locked="0"/>
    </xf>
    <xf numFmtId="0" fontId="117" fillId="33" borderId="165" xfId="0" applyFont="1" applyFill="1" applyBorder="1" applyAlignment="1" applyProtection="1">
      <alignment horizontal="justify" vertical="center" wrapText="1"/>
      <protection locked="0"/>
    </xf>
    <xf numFmtId="0" fontId="117" fillId="33" borderId="148" xfId="0" applyFont="1" applyFill="1" applyBorder="1" applyAlignment="1" applyProtection="1">
      <alignment horizontal="justify" vertical="center" wrapText="1"/>
      <protection locked="0"/>
    </xf>
    <xf numFmtId="0" fontId="146" fillId="33" borderId="139" xfId="0" applyFont="1" applyFill="1" applyBorder="1" applyAlignment="1" applyProtection="1">
      <alignment horizontal="right" vertical="center" wrapText="1"/>
      <protection locked="0"/>
    </xf>
    <xf numFmtId="0" fontId="146" fillId="33" borderId="137" xfId="0" applyFont="1" applyFill="1" applyBorder="1" applyAlignment="1" applyProtection="1">
      <alignment horizontal="right" vertical="center" wrapText="1"/>
      <protection locked="0"/>
    </xf>
    <xf numFmtId="0" fontId="146" fillId="33" borderId="154" xfId="0" applyFont="1" applyFill="1" applyBorder="1" applyAlignment="1" applyProtection="1">
      <alignment horizontal="right" vertical="center" wrapText="1"/>
      <protection locked="0"/>
    </xf>
    <xf numFmtId="0" fontId="146" fillId="33" borderId="150" xfId="0" applyFont="1" applyFill="1" applyBorder="1" applyAlignment="1" applyProtection="1">
      <alignment horizontal="right" vertical="center"/>
      <protection locked="0"/>
    </xf>
    <xf numFmtId="177" fontId="121" fillId="0" borderId="95" xfId="0" applyNumberFormat="1" applyFont="1" applyBorder="1" applyAlignment="1" applyProtection="1">
      <alignment horizontal="center" vertical="center" wrapText="1"/>
      <protection locked="0"/>
    </xf>
    <xf numFmtId="176" fontId="121" fillId="0" borderId="95" xfId="0" applyNumberFormat="1" applyFont="1" applyBorder="1" applyAlignment="1" applyProtection="1">
      <alignment horizontal="right" vertical="center" wrapText="1"/>
      <protection locked="0"/>
    </xf>
    <xf numFmtId="177" fontId="121" fillId="0" borderId="14" xfId="0" applyNumberFormat="1" applyFont="1" applyBorder="1" applyAlignment="1" applyProtection="1">
      <alignment horizontal="center" vertical="center" wrapText="1"/>
      <protection locked="0"/>
    </xf>
    <xf numFmtId="176" fontId="121" fillId="0" borderId="13" xfId="0" applyNumberFormat="1" applyFont="1" applyBorder="1" applyAlignment="1" applyProtection="1">
      <alignment horizontal="right" vertical="center" wrapText="1"/>
      <protection locked="0"/>
    </xf>
    <xf numFmtId="176" fontId="121" fillId="33" borderId="13" xfId="0" applyNumberFormat="1" applyFont="1" applyFill="1" applyBorder="1" applyAlignment="1" applyProtection="1">
      <alignment horizontal="right" vertical="center" wrapText="1"/>
      <protection locked="0"/>
    </xf>
    <xf numFmtId="0" fontId="120" fillId="0" borderId="115" xfId="0" applyFont="1" applyBorder="1" applyAlignment="1" applyProtection="1">
      <alignment horizontal="right" vertical="center" wrapText="1"/>
      <protection locked="0"/>
    </xf>
    <xf numFmtId="177" fontId="121" fillId="0" borderId="103" xfId="0" applyNumberFormat="1" applyFont="1" applyBorder="1" applyAlignment="1" applyProtection="1">
      <alignment horizontal="center" vertical="center" wrapText="1"/>
      <protection locked="0"/>
    </xf>
    <xf numFmtId="176" fontId="121" fillId="0" borderId="103" xfId="0" applyNumberFormat="1" applyFont="1" applyBorder="1" applyAlignment="1" applyProtection="1">
      <alignment horizontal="right" vertical="center" wrapText="1"/>
      <protection/>
    </xf>
    <xf numFmtId="176" fontId="121" fillId="0" borderId="98" xfId="0" applyNumberFormat="1" applyFont="1" applyBorder="1" applyAlignment="1" applyProtection="1">
      <alignment horizontal="right" vertical="center" wrapText="1"/>
      <protection locked="0"/>
    </xf>
    <xf numFmtId="0" fontId="120" fillId="0" borderId="108" xfId="0" applyFont="1" applyBorder="1" applyAlignment="1" applyProtection="1">
      <alignment horizontal="right" vertical="center" wrapText="1"/>
      <protection locked="0"/>
    </xf>
    <xf numFmtId="176" fontId="121" fillId="0" borderId="95" xfId="0" applyNumberFormat="1" applyFont="1" applyBorder="1" applyAlignment="1" applyProtection="1">
      <alignment horizontal="right" vertical="center" wrapText="1"/>
      <protection/>
    </xf>
    <xf numFmtId="0" fontId="120" fillId="0" borderId="115" xfId="0" applyFont="1" applyBorder="1" applyAlignment="1" applyProtection="1">
      <alignment horizontal="center" vertical="center" wrapText="1"/>
      <protection locked="0"/>
    </xf>
    <xf numFmtId="0" fontId="117" fillId="0" borderId="115" xfId="0" applyFont="1" applyBorder="1" applyAlignment="1" applyProtection="1">
      <alignment horizontal="right" vertical="center" wrapText="1"/>
      <protection locked="0"/>
    </xf>
    <xf numFmtId="0" fontId="122" fillId="0" borderId="115" xfId="0" applyFont="1" applyBorder="1" applyAlignment="1" applyProtection="1">
      <alignment horizontal="right" vertical="center" wrapText="1"/>
      <protection locked="0"/>
    </xf>
    <xf numFmtId="0" fontId="127" fillId="0" borderId="0" xfId="0" applyFont="1" applyBorder="1" applyAlignment="1" applyProtection="1">
      <alignment horizontal="center" vertical="top" wrapText="1"/>
      <protection locked="0"/>
    </xf>
    <xf numFmtId="0" fontId="127" fillId="0" borderId="45" xfId="0" applyFont="1" applyBorder="1" applyAlignment="1" applyProtection="1">
      <alignment horizontal="center" vertical="top" wrapText="1"/>
      <protection locked="0"/>
    </xf>
    <xf numFmtId="0" fontId="117" fillId="0" borderId="156" xfId="0" applyFont="1" applyBorder="1" applyAlignment="1" applyProtection="1">
      <alignment horizontal="left" vertical="center" shrinkToFit="1"/>
      <protection locked="0"/>
    </xf>
    <xf numFmtId="0" fontId="0" fillId="0" borderId="156" xfId="0" applyBorder="1" applyAlignment="1" applyProtection="1">
      <alignment horizontal="center" vertical="top" wrapText="1"/>
      <protection locked="0"/>
    </xf>
    <xf numFmtId="0" fontId="117" fillId="0" borderId="156" xfId="0" applyFont="1" applyBorder="1" applyAlignment="1" applyProtection="1">
      <alignment horizontal="center" vertical="center" wrapText="1"/>
      <protection locked="0"/>
    </xf>
    <xf numFmtId="0" fontId="117" fillId="0" borderId="38" xfId="0" applyFont="1" applyBorder="1" applyAlignment="1" applyProtection="1">
      <alignment horizontal="center" vertical="center" wrapText="1"/>
      <protection locked="0"/>
    </xf>
    <xf numFmtId="0" fontId="117" fillId="0" borderId="156" xfId="0" applyFont="1" applyBorder="1" applyAlignment="1" applyProtection="1">
      <alignment horizontal="left" vertical="center" wrapText="1"/>
      <protection locked="0"/>
    </xf>
    <xf numFmtId="38" fontId="117" fillId="0" borderId="156" xfId="50" applyFont="1" applyBorder="1" applyAlignment="1" applyProtection="1">
      <alignment horizontal="center" vertical="center" wrapText="1"/>
      <protection locked="0"/>
    </xf>
    <xf numFmtId="0" fontId="120" fillId="0" borderId="156" xfId="0" applyFont="1" applyBorder="1" applyAlignment="1" applyProtection="1">
      <alignment horizontal="center" vertical="center" wrapText="1"/>
      <protection locked="0"/>
    </xf>
    <xf numFmtId="0" fontId="120" fillId="0" borderId="38" xfId="0" applyFont="1" applyBorder="1" applyAlignment="1" applyProtection="1">
      <alignment horizontal="center" vertical="center" wrapText="1"/>
      <protection locked="0"/>
    </xf>
    <xf numFmtId="0" fontId="170" fillId="33" borderId="144" xfId="0" applyFont="1" applyFill="1" applyBorder="1" applyAlignment="1" applyProtection="1">
      <alignment horizontal="center" vertical="center" wrapText="1"/>
      <protection locked="0"/>
    </xf>
    <xf numFmtId="195" fontId="9" fillId="0" borderId="95" xfId="0" applyNumberFormat="1" applyFont="1" applyBorder="1" applyAlignment="1" applyProtection="1">
      <alignment horizontal="right" vertical="center" wrapText="1"/>
      <protection locked="0"/>
    </xf>
    <xf numFmtId="177" fontId="9" fillId="0" borderId="95" xfId="0" applyNumberFormat="1" applyFont="1" applyBorder="1" applyAlignment="1" applyProtection="1">
      <alignment horizontal="right" vertical="center" wrapText="1"/>
      <protection locked="0"/>
    </xf>
    <xf numFmtId="176" fontId="9" fillId="0" borderId="95" xfId="0" applyNumberFormat="1" applyFont="1" applyBorder="1" applyAlignment="1" applyProtection="1">
      <alignment horizontal="right" vertical="center" wrapText="1"/>
      <protection/>
    </xf>
    <xf numFmtId="176" fontId="9" fillId="0" borderId="95" xfId="0" applyNumberFormat="1" applyFont="1" applyBorder="1" applyAlignment="1" applyProtection="1">
      <alignment horizontal="right" vertical="center" wrapText="1"/>
      <protection locked="0"/>
    </xf>
    <xf numFmtId="0" fontId="120" fillId="0" borderId="95" xfId="0" applyFont="1" applyBorder="1" applyAlignment="1" applyProtection="1">
      <alignment horizontal="center" vertical="center" wrapText="1"/>
      <protection locked="0"/>
    </xf>
    <xf numFmtId="0" fontId="120" fillId="0" borderId="13" xfId="0" applyFont="1" applyBorder="1" applyAlignment="1" applyProtection="1">
      <alignment horizontal="center" vertical="center" wrapText="1"/>
      <protection locked="0"/>
    </xf>
    <xf numFmtId="0" fontId="120" fillId="0" borderId="14" xfId="0" applyFont="1" applyBorder="1" applyAlignment="1" applyProtection="1">
      <alignment horizontal="center" vertical="center" wrapText="1"/>
      <protection locked="0"/>
    </xf>
    <xf numFmtId="176" fontId="9" fillId="0" borderId="98" xfId="0" applyNumberFormat="1" applyFont="1" applyBorder="1" applyAlignment="1" applyProtection="1">
      <alignment horizontal="right" vertical="center" wrapText="1"/>
      <protection locked="0"/>
    </xf>
    <xf numFmtId="184" fontId="9" fillId="0" borderId="98" xfId="0" applyNumberFormat="1" applyFont="1" applyBorder="1" applyAlignment="1" applyProtection="1">
      <alignment horizontal="right" vertical="center" wrapText="1"/>
      <protection locked="0"/>
    </xf>
    <xf numFmtId="176" fontId="9" fillId="0" borderId="103" xfId="0" applyNumberFormat="1" applyFont="1" applyBorder="1" applyAlignment="1" applyProtection="1">
      <alignment horizontal="right" vertical="center" wrapText="1"/>
      <protection/>
    </xf>
    <xf numFmtId="176" fontId="9" fillId="0" borderId="98" xfId="0" applyNumberFormat="1" applyFont="1" applyBorder="1" applyAlignment="1" applyProtection="1">
      <alignment horizontal="right" vertical="center" wrapText="1"/>
      <protection/>
    </xf>
    <xf numFmtId="0" fontId="120" fillId="0" borderId="98" xfId="0" applyFont="1" applyBorder="1" applyAlignment="1" applyProtection="1">
      <alignment horizontal="center" vertical="center" wrapText="1"/>
      <protection locked="0"/>
    </xf>
    <xf numFmtId="195" fontId="9" fillId="0" borderId="103" xfId="0" applyNumberFormat="1" applyFont="1" applyBorder="1" applyAlignment="1" applyProtection="1">
      <alignment horizontal="right" vertical="center" wrapText="1"/>
      <protection locked="0"/>
    </xf>
    <xf numFmtId="177" fontId="9" fillId="0" borderId="103" xfId="0" applyNumberFormat="1" applyFont="1" applyBorder="1" applyAlignment="1" applyProtection="1">
      <alignment horizontal="right" vertical="center" wrapText="1"/>
      <protection locked="0"/>
    </xf>
    <xf numFmtId="176" fontId="9" fillId="0" borderId="103" xfId="0" applyNumberFormat="1" applyFont="1" applyBorder="1" applyAlignment="1" applyProtection="1">
      <alignment horizontal="right" vertical="center" wrapText="1"/>
      <protection locked="0"/>
    </xf>
    <xf numFmtId="176" fontId="9" fillId="0" borderId="110" xfId="0" applyNumberFormat="1" applyFont="1" applyBorder="1" applyAlignment="1" applyProtection="1">
      <alignment horizontal="right" vertical="center" wrapText="1"/>
      <protection/>
    </xf>
    <xf numFmtId="176" fontId="9" fillId="0" borderId="92" xfId="0" applyNumberFormat="1" applyFont="1" applyBorder="1" applyAlignment="1" applyProtection="1">
      <alignment horizontal="right" vertical="center" wrapText="1"/>
      <protection/>
    </xf>
    <xf numFmtId="176" fontId="9" fillId="0" borderId="127" xfId="0" applyNumberFormat="1" applyFont="1" applyBorder="1" applyAlignment="1" applyProtection="1">
      <alignment horizontal="right" vertical="center" wrapText="1"/>
      <protection/>
    </xf>
    <xf numFmtId="176" fontId="121" fillId="0" borderId="110" xfId="0" applyNumberFormat="1" applyFont="1" applyBorder="1" applyAlignment="1" applyProtection="1">
      <alignment horizontal="right" vertical="center" wrapText="1"/>
      <protection/>
    </xf>
    <xf numFmtId="176" fontId="121" fillId="0" borderId="118" xfId="0" applyNumberFormat="1" applyFont="1" applyBorder="1" applyAlignment="1" applyProtection="1">
      <alignment horizontal="right" vertical="center" wrapText="1"/>
      <protection/>
    </xf>
    <xf numFmtId="176" fontId="121" fillId="0" borderId="128" xfId="0" applyNumberFormat="1" applyFont="1" applyBorder="1" applyAlignment="1" applyProtection="1">
      <alignment horizontal="right" vertical="center" wrapText="1"/>
      <protection/>
    </xf>
    <xf numFmtId="0" fontId="117" fillId="0" borderId="109" xfId="0" applyFont="1" applyBorder="1" applyAlignment="1" applyProtection="1">
      <alignment horizontal="center" vertical="center" wrapText="1"/>
      <protection locked="0"/>
    </xf>
    <xf numFmtId="0" fontId="117" fillId="0" borderId="113" xfId="0" applyFont="1" applyBorder="1" applyAlignment="1" applyProtection="1">
      <alignment horizontal="center" vertical="center" wrapText="1"/>
      <protection locked="0"/>
    </xf>
    <xf numFmtId="0" fontId="117" fillId="0" borderId="166" xfId="0" applyFont="1" applyBorder="1" applyAlignment="1" applyProtection="1">
      <alignment horizontal="center" vertical="center" wrapText="1"/>
      <protection locked="0"/>
    </xf>
    <xf numFmtId="0" fontId="117" fillId="0" borderId="116" xfId="0" applyFont="1" applyBorder="1" applyAlignment="1" applyProtection="1">
      <alignment horizontal="center" vertical="center" wrapText="1"/>
      <protection locked="0"/>
    </xf>
    <xf numFmtId="0" fontId="120" fillId="0" borderId="109" xfId="0" applyFont="1" applyBorder="1" applyAlignment="1" applyProtection="1">
      <alignment horizontal="center" vertical="center" wrapText="1"/>
      <protection locked="0"/>
    </xf>
    <xf numFmtId="0" fontId="120" fillId="0" borderId="113" xfId="0" applyFont="1" applyBorder="1" applyAlignment="1" applyProtection="1">
      <alignment horizontal="center" vertical="center" wrapText="1"/>
      <protection locked="0"/>
    </xf>
    <xf numFmtId="0" fontId="120" fillId="0" borderId="166" xfId="0" applyFont="1" applyBorder="1" applyAlignment="1" applyProtection="1">
      <alignment horizontal="center" vertical="center" wrapText="1"/>
      <protection locked="0"/>
    </xf>
    <xf numFmtId="0" fontId="120" fillId="0" borderId="116" xfId="0" applyFont="1" applyBorder="1" applyAlignment="1" applyProtection="1">
      <alignment horizontal="center" vertical="center" wrapText="1"/>
      <protection locked="0"/>
    </xf>
    <xf numFmtId="0" fontId="159" fillId="0" borderId="0" xfId="0" applyFont="1" applyBorder="1" applyAlignment="1">
      <alignment horizontal="center" vertical="center" wrapText="1"/>
    </xf>
    <xf numFmtId="0" fontId="159" fillId="0" borderId="0" xfId="0" applyFont="1" applyBorder="1" applyAlignment="1">
      <alignment vertical="center" wrapText="1"/>
    </xf>
    <xf numFmtId="0" fontId="159" fillId="0" borderId="0" xfId="0" applyFont="1" applyAlignment="1">
      <alignment horizontal="center" vertical="center" wrapText="1"/>
    </xf>
    <xf numFmtId="0" fontId="116" fillId="0" borderId="0" xfId="0" applyFont="1" applyAlignment="1">
      <alignment vertical="center"/>
    </xf>
    <xf numFmtId="0" fontId="116" fillId="0" borderId="0" xfId="0" applyFont="1" applyBorder="1" applyAlignment="1">
      <alignment horizontal="center" vertical="center"/>
    </xf>
    <xf numFmtId="0" fontId="116" fillId="0" borderId="0" xfId="0" applyFont="1" applyBorder="1" applyAlignment="1">
      <alignment vertical="center"/>
    </xf>
    <xf numFmtId="0" fontId="116" fillId="0" borderId="0" xfId="0" applyFont="1" applyBorder="1" applyAlignment="1">
      <alignment vertical="center" wrapText="1"/>
    </xf>
    <xf numFmtId="49" fontId="116" fillId="0" borderId="0" xfId="0" applyNumberFormat="1" applyFont="1" applyBorder="1" applyAlignment="1" quotePrefix="1">
      <alignment horizontal="right" vertical="center"/>
    </xf>
    <xf numFmtId="0" fontId="116" fillId="0" borderId="0" xfId="0" applyFont="1" applyAlignment="1">
      <alignment horizontal="center" vertical="center"/>
    </xf>
    <xf numFmtId="49" fontId="116" fillId="0" borderId="0" xfId="0" applyNumberFormat="1" applyFont="1" applyBorder="1" applyAlignment="1">
      <alignment horizontal="right" vertical="center"/>
    </xf>
    <xf numFmtId="0" fontId="116" fillId="0" borderId="0" xfId="0" applyFont="1" applyBorder="1" applyAlignment="1">
      <alignment horizontal="left" vertical="center" indent="1"/>
    </xf>
    <xf numFmtId="0" fontId="116" fillId="33" borderId="0" xfId="0" applyFont="1" applyFill="1" applyBorder="1" applyAlignment="1">
      <alignment vertical="center"/>
    </xf>
    <xf numFmtId="0" fontId="0" fillId="0" borderId="167" xfId="0" applyBorder="1" applyAlignment="1" applyProtection="1">
      <alignment horizontal="center" vertical="center"/>
      <protection locked="0"/>
    </xf>
    <xf numFmtId="38" fontId="0" fillId="7" borderId="109" xfId="50" applyFont="1" applyFill="1" applyBorder="1" applyAlignment="1" applyProtection="1">
      <alignment horizontal="right" vertical="center"/>
      <protection locked="0"/>
    </xf>
    <xf numFmtId="38" fontId="0" fillId="7" borderId="113" xfId="50" applyFont="1" applyFill="1" applyBorder="1" applyAlignment="1" applyProtection="1">
      <alignment horizontal="right" vertical="center"/>
      <protection locked="0"/>
    </xf>
    <xf numFmtId="38" fontId="0" fillId="7" borderId="116" xfId="50" applyFont="1" applyFill="1" applyBorder="1" applyAlignment="1" applyProtection="1">
      <alignment horizontal="right" vertical="center"/>
      <protection locked="0"/>
    </xf>
    <xf numFmtId="38" fontId="116" fillId="7" borderId="113" xfId="50" applyFont="1" applyFill="1" applyBorder="1" applyAlignment="1" applyProtection="1">
      <alignment horizontal="right" vertical="center"/>
      <protection locked="0"/>
    </xf>
    <xf numFmtId="38" fontId="116" fillId="7" borderId="116" xfId="50" applyFont="1" applyFill="1" applyBorder="1" applyAlignment="1" applyProtection="1">
      <alignment horizontal="right" vertical="center"/>
      <protection locked="0"/>
    </xf>
    <xf numFmtId="38" fontId="0" fillId="33" borderId="109" xfId="50" applyFont="1" applyFill="1" applyBorder="1" applyAlignment="1" applyProtection="1">
      <alignment horizontal="right" vertical="center"/>
      <protection/>
    </xf>
    <xf numFmtId="38" fontId="0" fillId="33" borderId="113" xfId="50" applyFont="1" applyFill="1" applyBorder="1" applyAlignment="1" applyProtection="1">
      <alignment horizontal="right" vertical="center"/>
      <protection/>
    </xf>
    <xf numFmtId="38" fontId="0" fillId="33" borderId="113" xfId="50" applyFont="1" applyFill="1" applyBorder="1" applyAlignment="1" applyProtection="1">
      <alignment horizontal="right" vertical="center"/>
      <protection locked="0"/>
    </xf>
    <xf numFmtId="38" fontId="0" fillId="33" borderId="116" xfId="50" applyFont="1" applyFill="1" applyBorder="1" applyAlignment="1" applyProtection="1">
      <alignment horizontal="right" vertical="center"/>
      <protection/>
    </xf>
    <xf numFmtId="38" fontId="0" fillId="0" borderId="168" xfId="50" applyFont="1" applyBorder="1" applyAlignment="1" applyProtection="1">
      <alignment horizontal="right" vertical="center"/>
      <protection/>
    </xf>
    <xf numFmtId="38" fontId="0" fillId="33" borderId="169" xfId="50" applyFont="1" applyFill="1" applyBorder="1" applyAlignment="1" applyProtection="1">
      <alignment horizontal="right" vertical="center"/>
      <protection/>
    </xf>
    <xf numFmtId="38" fontId="0" fillId="0" borderId="16" xfId="50" applyFont="1" applyBorder="1" applyAlignment="1" applyProtection="1">
      <alignment horizontal="right" vertical="center"/>
      <protection/>
    </xf>
    <xf numFmtId="38" fontId="116" fillId="0" borderId="13" xfId="50" applyFont="1" applyFill="1" applyBorder="1" applyAlignment="1" applyProtection="1">
      <alignment horizontal="right" vertical="center"/>
      <protection locked="0"/>
    </xf>
    <xf numFmtId="38" fontId="116" fillId="0" borderId="98" xfId="50" applyFont="1" applyFill="1" applyBorder="1" applyAlignment="1" applyProtection="1">
      <alignment horizontal="right" vertical="center"/>
      <protection locked="0"/>
    </xf>
    <xf numFmtId="38" fontId="116" fillId="0" borderId="112" xfId="50" applyFont="1" applyFill="1" applyBorder="1" applyAlignment="1" applyProtection="1">
      <alignment horizontal="right" vertical="center"/>
      <protection locked="0"/>
    </xf>
    <xf numFmtId="38" fontId="116" fillId="0" borderId="131" xfId="50" applyFont="1" applyFill="1" applyBorder="1" applyAlignment="1" applyProtection="1">
      <alignment horizontal="right" vertical="center"/>
      <protection locked="0"/>
    </xf>
    <xf numFmtId="0" fontId="117" fillId="33" borderId="170" xfId="0" applyFont="1" applyFill="1" applyBorder="1" applyAlignment="1" applyProtection="1">
      <alignment horizontal="center" vertical="center" wrapText="1"/>
      <protection locked="0"/>
    </xf>
    <xf numFmtId="0" fontId="117" fillId="33" borderId="171" xfId="0" applyFont="1" applyFill="1" applyBorder="1" applyAlignment="1" applyProtection="1">
      <alignment horizontal="center" vertical="center" wrapText="1"/>
      <protection locked="0"/>
    </xf>
    <xf numFmtId="176" fontId="26" fillId="0" borderId="153" xfId="0" applyNumberFormat="1" applyFont="1" applyFill="1" applyBorder="1" applyAlignment="1" applyProtection="1">
      <alignment horizontal="right" vertical="center" wrapText="1"/>
      <protection/>
    </xf>
    <xf numFmtId="176" fontId="26" fillId="0" borderId="99" xfId="0" applyNumberFormat="1" applyFont="1" applyFill="1" applyBorder="1" applyAlignment="1" applyProtection="1">
      <alignment horizontal="right" vertical="center" wrapText="1"/>
      <protection/>
    </xf>
    <xf numFmtId="176" fontId="26" fillId="0" borderId="142" xfId="0" applyNumberFormat="1" applyFont="1" applyFill="1" applyBorder="1" applyAlignment="1" applyProtection="1">
      <alignment horizontal="right" vertical="center" wrapText="1"/>
      <protection/>
    </xf>
    <xf numFmtId="176" fontId="161" fillId="33" borderId="172" xfId="0" applyNumberFormat="1" applyFont="1" applyFill="1" applyBorder="1" applyAlignment="1" applyProtection="1">
      <alignment horizontal="right" vertical="center" wrapText="1"/>
      <protection/>
    </xf>
    <xf numFmtId="176" fontId="161" fillId="33" borderId="173" xfId="0" applyNumberFormat="1" applyFont="1" applyFill="1" applyBorder="1" applyAlignment="1" applyProtection="1">
      <alignment horizontal="right" vertical="center" wrapText="1"/>
      <protection/>
    </xf>
    <xf numFmtId="176" fontId="26" fillId="0" borderId="174" xfId="0" applyNumberFormat="1" applyFont="1" applyFill="1" applyBorder="1" applyAlignment="1" applyProtection="1">
      <alignment horizontal="right" vertical="center" wrapText="1"/>
      <protection locked="0"/>
    </xf>
    <xf numFmtId="176" fontId="26" fillId="0" borderId="175" xfId="0" applyNumberFormat="1" applyFont="1" applyFill="1" applyBorder="1" applyAlignment="1" applyProtection="1">
      <alignment horizontal="right" vertical="center" wrapText="1"/>
      <protection locked="0"/>
    </xf>
    <xf numFmtId="176" fontId="26" fillId="0" borderId="176" xfId="0" applyNumberFormat="1" applyFont="1" applyFill="1" applyBorder="1" applyAlignment="1" applyProtection="1">
      <alignment horizontal="right" vertical="center" wrapText="1"/>
      <protection locked="0"/>
    </xf>
    <xf numFmtId="0" fontId="117" fillId="33" borderId="177" xfId="0" applyFont="1" applyFill="1" applyBorder="1" applyAlignment="1" applyProtection="1">
      <alignment horizontal="center" vertical="center" wrapText="1"/>
      <protection locked="0"/>
    </xf>
    <xf numFmtId="0" fontId="117" fillId="33" borderId="178" xfId="0" applyFont="1" applyFill="1" applyBorder="1" applyAlignment="1" applyProtection="1">
      <alignment horizontal="center" vertical="center" wrapText="1"/>
      <protection locked="0"/>
    </xf>
    <xf numFmtId="176" fontId="26" fillId="33" borderId="120" xfId="0" applyNumberFormat="1" applyFont="1" applyFill="1" applyBorder="1" applyAlignment="1" applyProtection="1">
      <alignment horizontal="right" vertical="center" wrapText="1"/>
      <protection/>
    </xf>
    <xf numFmtId="176" fontId="26" fillId="33" borderId="160" xfId="0" applyNumberFormat="1" applyFont="1" applyFill="1" applyBorder="1" applyAlignment="1" applyProtection="1">
      <alignment horizontal="right" vertical="center" wrapText="1"/>
      <protection/>
    </xf>
    <xf numFmtId="176" fontId="161" fillId="33" borderId="32" xfId="0" applyNumberFormat="1" applyFont="1" applyFill="1" applyBorder="1" applyAlignment="1" applyProtection="1">
      <alignment horizontal="right" vertical="center" wrapText="1"/>
      <protection/>
    </xf>
    <xf numFmtId="0" fontId="124" fillId="0" borderId="99" xfId="0" applyFont="1" applyBorder="1" applyAlignment="1" applyProtection="1">
      <alignment vertical="center"/>
      <protection/>
    </xf>
    <xf numFmtId="38" fontId="3" fillId="34" borderId="61" xfId="53" applyFont="1" applyFill="1" applyBorder="1" applyAlignment="1" applyProtection="1">
      <alignment horizontal="right" vertical="center" shrinkToFit="1"/>
      <protection locked="0"/>
    </xf>
    <xf numFmtId="38" fontId="3" fillId="0" borderId="64" xfId="53" applyFont="1" applyFill="1" applyBorder="1" applyAlignment="1" applyProtection="1">
      <alignment horizontal="right" vertical="center" shrinkToFit="1"/>
      <protection locked="0"/>
    </xf>
    <xf numFmtId="38" fontId="3" fillId="34" borderId="64" xfId="53" applyFont="1" applyFill="1" applyBorder="1" applyAlignment="1" applyProtection="1">
      <alignment horizontal="right" vertical="center" shrinkToFit="1"/>
      <protection locked="0"/>
    </xf>
    <xf numFmtId="38" fontId="3" fillId="0" borderId="74" xfId="53" applyFont="1" applyFill="1" applyBorder="1" applyAlignment="1" applyProtection="1">
      <alignment horizontal="right" vertical="center" shrinkToFit="1"/>
      <protection locked="0"/>
    </xf>
    <xf numFmtId="38" fontId="3" fillId="0" borderId="179" xfId="53" applyFont="1" applyFill="1" applyBorder="1" applyAlignment="1" applyProtection="1">
      <alignment horizontal="right" vertical="center"/>
      <protection locked="0"/>
    </xf>
    <xf numFmtId="38" fontId="3" fillId="0" borderId="180" xfId="53" applyFont="1" applyFill="1" applyBorder="1" applyAlignment="1" applyProtection="1">
      <alignment horizontal="right" vertical="center" shrinkToFit="1"/>
      <protection locked="0"/>
    </xf>
    <xf numFmtId="38" fontId="3" fillId="34" borderId="181" xfId="53" applyFont="1" applyFill="1" applyBorder="1" applyAlignment="1" applyProtection="1">
      <alignment horizontal="right" vertical="center" shrinkToFit="1"/>
      <protection locked="0"/>
    </xf>
    <xf numFmtId="38" fontId="3" fillId="0" borderId="181" xfId="53" applyFont="1" applyFill="1" applyBorder="1" applyAlignment="1" applyProtection="1">
      <alignment horizontal="right" vertical="center" shrinkToFit="1"/>
      <protection locked="0"/>
    </xf>
    <xf numFmtId="38" fontId="3" fillId="34" borderId="182" xfId="53" applyFont="1" applyFill="1" applyBorder="1" applyAlignment="1" applyProtection="1">
      <alignment horizontal="right" vertical="center" shrinkToFit="1"/>
      <protection locked="0"/>
    </xf>
    <xf numFmtId="38" fontId="3" fillId="0" borderId="182" xfId="53" applyFont="1" applyFill="1" applyBorder="1" applyAlignment="1" applyProtection="1">
      <alignment horizontal="right" vertical="center" shrinkToFit="1"/>
      <protection locked="0"/>
    </xf>
    <xf numFmtId="38" fontId="3" fillId="34" borderId="54" xfId="53" applyFont="1" applyFill="1" applyBorder="1" applyAlignment="1" applyProtection="1">
      <alignment horizontal="right" vertical="center" shrinkToFit="1"/>
      <protection locked="0"/>
    </xf>
    <xf numFmtId="38" fontId="3" fillId="0" borderId="183" xfId="53" applyFont="1" applyFill="1" applyBorder="1" applyAlignment="1" applyProtection="1">
      <alignment horizontal="right" vertical="center" shrinkToFit="1"/>
      <protection locked="0"/>
    </xf>
    <xf numFmtId="190" fontId="3" fillId="0" borderId="0" xfId="53" applyNumberFormat="1" applyFont="1" applyFill="1" applyBorder="1" applyAlignment="1" applyProtection="1">
      <alignment horizontal="right" vertical="center" shrinkToFit="1"/>
      <protection/>
    </xf>
    <xf numFmtId="38" fontId="3" fillId="0" borderId="184" xfId="53" applyFont="1" applyFill="1" applyBorder="1" applyAlignment="1" applyProtection="1">
      <alignment horizontal="centerContinuous" vertical="center"/>
      <protection locked="0"/>
    </xf>
    <xf numFmtId="190" fontId="3" fillId="0" borderId="184" xfId="53" applyNumberFormat="1" applyFont="1" applyFill="1" applyBorder="1" applyAlignment="1" applyProtection="1">
      <alignment vertical="center" shrinkToFit="1"/>
      <protection/>
    </xf>
    <xf numFmtId="190" fontId="3" fillId="34" borderId="185" xfId="53" applyNumberFormat="1" applyFont="1" applyFill="1" applyBorder="1" applyAlignment="1" applyProtection="1">
      <alignment vertical="center" shrinkToFit="1"/>
      <protection/>
    </xf>
    <xf numFmtId="190" fontId="3" fillId="0" borderId="185" xfId="53" applyNumberFormat="1" applyFont="1" applyFill="1" applyBorder="1" applyAlignment="1" applyProtection="1">
      <alignment vertical="center" shrinkToFit="1"/>
      <protection/>
    </xf>
    <xf numFmtId="190" fontId="3" fillId="0" borderId="185" xfId="53" applyNumberFormat="1" applyFont="1" applyFill="1" applyBorder="1" applyAlignment="1" applyProtection="1">
      <alignment horizontal="right" vertical="center" shrinkToFit="1"/>
      <protection/>
    </xf>
    <xf numFmtId="190" fontId="3" fillId="34" borderId="185" xfId="53" applyNumberFormat="1" applyFont="1" applyFill="1" applyBorder="1" applyAlignment="1" applyProtection="1">
      <alignment horizontal="right" vertical="center" shrinkToFit="1"/>
      <protection/>
    </xf>
    <xf numFmtId="190" fontId="3" fillId="34" borderId="186" xfId="53" applyNumberFormat="1" applyFont="1" applyFill="1" applyBorder="1" applyAlignment="1" applyProtection="1">
      <alignment horizontal="right" vertical="center" shrinkToFit="1"/>
      <protection/>
    </xf>
    <xf numFmtId="190" fontId="3" fillId="0" borderId="186" xfId="53" applyNumberFormat="1" applyFont="1" applyFill="1" applyBorder="1" applyAlignment="1" applyProtection="1">
      <alignment horizontal="right" vertical="center" shrinkToFit="1"/>
      <protection/>
    </xf>
    <xf numFmtId="190" fontId="3" fillId="0" borderId="184" xfId="53" applyNumberFormat="1" applyFont="1" applyFill="1" applyBorder="1" applyAlignment="1" applyProtection="1">
      <alignment horizontal="right" vertical="center" shrinkToFit="1"/>
      <protection/>
    </xf>
    <xf numFmtId="190" fontId="3" fillId="0" borderId="187" xfId="53" applyNumberFormat="1" applyFont="1" applyFill="1" applyBorder="1" applyAlignment="1" applyProtection="1">
      <alignment horizontal="right" vertical="center" shrinkToFit="1"/>
      <protection/>
    </xf>
    <xf numFmtId="190" fontId="3" fillId="34" borderId="56" xfId="53" applyNumberFormat="1" applyFont="1" applyFill="1" applyBorder="1" applyAlignment="1" applyProtection="1">
      <alignment vertical="center" shrinkToFit="1"/>
      <protection/>
    </xf>
    <xf numFmtId="190" fontId="3" fillId="0" borderId="56" xfId="53" applyNumberFormat="1" applyFont="1" applyFill="1" applyBorder="1" applyAlignment="1" applyProtection="1">
      <alignment vertical="center" shrinkToFit="1"/>
      <protection/>
    </xf>
    <xf numFmtId="190" fontId="3" fillId="0" borderId="84" xfId="53" applyNumberFormat="1" applyFont="1" applyFill="1" applyBorder="1" applyAlignment="1" applyProtection="1">
      <alignment vertical="center" shrinkToFit="1"/>
      <protection/>
    </xf>
    <xf numFmtId="38" fontId="3" fillId="0" borderId="188" xfId="53" applyFont="1" applyFill="1" applyBorder="1" applyAlignment="1" applyProtection="1">
      <alignment horizontal="centerContinuous" vertical="center"/>
      <protection locked="0"/>
    </xf>
    <xf numFmtId="190" fontId="3" fillId="0" borderId="187" xfId="53" applyNumberFormat="1" applyFont="1" applyFill="1" applyBorder="1" applyAlignment="1" applyProtection="1">
      <alignment vertical="center" shrinkToFit="1"/>
      <protection/>
    </xf>
    <xf numFmtId="38" fontId="3" fillId="0" borderId="189" xfId="53" applyFont="1" applyFill="1" applyBorder="1" applyAlignment="1" applyProtection="1">
      <alignment horizontal="centerContinuous" vertical="center"/>
      <protection locked="0"/>
    </xf>
    <xf numFmtId="38" fontId="3" fillId="0" borderId="189" xfId="53" applyFont="1" applyFill="1" applyBorder="1" applyAlignment="1" applyProtection="1">
      <alignment horizontal="center" vertical="center" shrinkToFit="1"/>
      <protection locked="0"/>
    </xf>
    <xf numFmtId="40" fontId="3" fillId="0" borderId="190" xfId="53" applyNumberFormat="1" applyFont="1" applyFill="1" applyBorder="1" applyAlignment="1" applyProtection="1">
      <alignment horizontal="right" vertical="center" shrinkToFit="1"/>
      <protection/>
    </xf>
    <xf numFmtId="40" fontId="3" fillId="34" borderId="191" xfId="53" applyNumberFormat="1" applyFont="1" applyFill="1" applyBorder="1" applyAlignment="1" applyProtection="1">
      <alignment horizontal="right" vertical="center" shrinkToFit="1"/>
      <protection/>
    </xf>
    <xf numFmtId="40" fontId="3" fillId="0" borderId="191" xfId="53" applyNumberFormat="1" applyFont="1" applyFill="1" applyBorder="1" applyAlignment="1" applyProtection="1">
      <alignment horizontal="right" vertical="center" shrinkToFit="1"/>
      <protection/>
    </xf>
    <xf numFmtId="40" fontId="3" fillId="34" borderId="192" xfId="53" applyNumberFormat="1" applyFont="1" applyFill="1" applyBorder="1" applyAlignment="1" applyProtection="1">
      <alignment horizontal="right" vertical="center" shrinkToFit="1"/>
      <protection/>
    </xf>
    <xf numFmtId="40" fontId="3" fillId="0" borderId="59" xfId="53" applyNumberFormat="1" applyFont="1" applyFill="1" applyBorder="1" applyAlignment="1" applyProtection="1">
      <alignment horizontal="right" vertical="center" shrinkToFit="1"/>
      <protection/>
    </xf>
    <xf numFmtId="40" fontId="3" fillId="34" borderId="51" xfId="53" applyNumberFormat="1" applyFont="1" applyFill="1" applyBorder="1" applyAlignment="1" applyProtection="1">
      <alignment horizontal="right" vertical="center" shrinkToFit="1"/>
      <protection/>
    </xf>
    <xf numFmtId="40" fontId="3" fillId="0" borderId="51" xfId="53" applyNumberFormat="1" applyFont="1" applyFill="1" applyBorder="1" applyAlignment="1" applyProtection="1">
      <alignment horizontal="right" vertical="center" shrinkToFit="1"/>
      <protection/>
    </xf>
    <xf numFmtId="40" fontId="3" fillId="34" borderId="82" xfId="53" applyNumberFormat="1" applyFont="1" applyFill="1" applyBorder="1" applyAlignment="1" applyProtection="1">
      <alignment horizontal="right" vertical="center" shrinkToFit="1"/>
      <protection/>
    </xf>
    <xf numFmtId="38" fontId="3" fillId="0" borderId="184" xfId="53" applyFont="1" applyFill="1" applyBorder="1" applyAlignment="1" applyProtection="1">
      <alignment horizontal="center" vertical="center" shrinkToFit="1"/>
      <protection locked="0"/>
    </xf>
    <xf numFmtId="40" fontId="3" fillId="0" borderId="193" xfId="53" applyNumberFormat="1" applyFont="1" applyFill="1" applyBorder="1" applyAlignment="1" applyProtection="1">
      <alignment horizontal="right" vertical="center" shrinkToFit="1"/>
      <protection/>
    </xf>
    <xf numFmtId="40" fontId="3" fillId="34" borderId="185" xfId="53" applyNumberFormat="1" applyFont="1" applyFill="1" applyBorder="1" applyAlignment="1" applyProtection="1">
      <alignment horizontal="right" vertical="center" shrinkToFit="1"/>
      <protection/>
    </xf>
    <xf numFmtId="40" fontId="3" fillId="0" borderId="185" xfId="53" applyNumberFormat="1" applyFont="1" applyFill="1" applyBorder="1" applyAlignment="1" applyProtection="1">
      <alignment horizontal="right" vertical="center" shrinkToFit="1"/>
      <protection/>
    </xf>
    <xf numFmtId="40" fontId="3" fillId="34" borderId="187" xfId="53" applyNumberFormat="1" applyFont="1" applyFill="1" applyBorder="1" applyAlignment="1" applyProtection="1">
      <alignment horizontal="right" vertical="center" shrinkToFit="1"/>
      <protection/>
    </xf>
    <xf numFmtId="0" fontId="127" fillId="0" borderId="17" xfId="0" applyFont="1" applyFill="1" applyBorder="1" applyAlignment="1" applyProtection="1">
      <alignment horizontal="left" vertical="center"/>
      <protection locked="0"/>
    </xf>
    <xf numFmtId="0" fontId="127" fillId="0" borderId="194" xfId="0" applyFont="1" applyFill="1" applyBorder="1" applyAlignment="1" applyProtection="1">
      <alignment horizontal="left" vertical="center" shrinkToFit="1"/>
      <protection locked="0"/>
    </xf>
    <xf numFmtId="0" fontId="127" fillId="0" borderId="194" xfId="0" applyFont="1" applyFill="1" applyBorder="1" applyAlignment="1" applyProtection="1">
      <alignment horizontal="left" vertical="center"/>
      <protection locked="0"/>
    </xf>
    <xf numFmtId="0" fontId="127" fillId="0" borderId="195" xfId="0" applyFont="1" applyFill="1" applyBorder="1" applyAlignment="1" applyProtection="1">
      <alignment horizontal="left" vertical="center"/>
      <protection locked="0"/>
    </xf>
    <xf numFmtId="38" fontId="11" fillId="0" borderId="0" xfId="53" applyFont="1" applyFill="1" applyBorder="1" applyAlignment="1" applyProtection="1">
      <alignment horizontal="left" vertical="top" wrapText="1"/>
      <protection locked="0"/>
    </xf>
    <xf numFmtId="0" fontId="7" fillId="33" borderId="119" xfId="0" applyFont="1" applyFill="1" applyBorder="1" applyAlignment="1" applyProtection="1">
      <alignment vertical="center"/>
      <protection/>
    </xf>
    <xf numFmtId="0" fontId="123" fillId="0" borderId="119" xfId="0" applyFont="1" applyBorder="1" applyAlignment="1" applyProtection="1">
      <alignment vertical="center"/>
      <protection locked="0"/>
    </xf>
    <xf numFmtId="0" fontId="126" fillId="33" borderId="0" xfId="0" applyFont="1" applyFill="1" applyAlignment="1" applyProtection="1">
      <alignment horizontal="left" vertical="center"/>
      <protection locked="0"/>
    </xf>
    <xf numFmtId="0" fontId="0" fillId="0" borderId="0" xfId="0" applyAlignment="1" applyProtection="1">
      <alignment horizontal="right" vertical="center"/>
      <protection locked="0"/>
    </xf>
    <xf numFmtId="0" fontId="115" fillId="0" borderId="0" xfId="0" applyFont="1" applyFill="1" applyBorder="1" applyAlignment="1" applyProtection="1">
      <alignment horizontal="center" vertical="center"/>
      <protection locked="0"/>
    </xf>
    <xf numFmtId="0" fontId="171" fillId="0" borderId="0" xfId="0" applyFont="1" applyAlignment="1" applyProtection="1">
      <alignment horizontal="left" vertical="center"/>
      <protection locked="0"/>
    </xf>
    <xf numFmtId="0" fontId="109" fillId="0" borderId="0" xfId="0" applyFont="1" applyAlignment="1" applyProtection="1">
      <alignment vertical="center"/>
      <protection locked="0"/>
    </xf>
    <xf numFmtId="0" fontId="0"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118" fillId="0" borderId="0" xfId="0" applyFont="1" applyAlignment="1" applyProtection="1">
      <alignment vertical="center"/>
      <protection locked="0"/>
    </xf>
    <xf numFmtId="188" fontId="125" fillId="0" borderId="0" xfId="0" applyNumberFormat="1" applyFont="1" applyBorder="1" applyAlignment="1" applyProtection="1">
      <alignment horizontal="right" vertical="center"/>
      <protection/>
    </xf>
    <xf numFmtId="188" fontId="126" fillId="0" borderId="0" xfId="0" applyNumberFormat="1" applyFont="1" applyBorder="1" applyAlignment="1" applyProtection="1">
      <alignment horizontal="right" vertical="center"/>
      <protection/>
    </xf>
    <xf numFmtId="216" fontId="125" fillId="0" borderId="0" xfId="0" applyNumberFormat="1" applyFont="1" applyBorder="1" applyAlignment="1" applyProtection="1">
      <alignment vertical="center"/>
      <protection/>
    </xf>
    <xf numFmtId="187" fontId="126" fillId="0" borderId="0" xfId="0" applyNumberFormat="1" applyFont="1" applyAlignment="1" applyProtection="1">
      <alignment horizontal="right" vertical="center"/>
      <protection locked="0"/>
    </xf>
    <xf numFmtId="216" fontId="126" fillId="0" borderId="0" xfId="0" applyNumberFormat="1" applyFont="1" applyAlignment="1" applyProtection="1">
      <alignment horizontal="center" vertical="center"/>
      <protection/>
    </xf>
    <xf numFmtId="0" fontId="126" fillId="0" borderId="0" xfId="0" applyFont="1" applyBorder="1" applyAlignment="1" applyProtection="1" quotePrefix="1">
      <alignment horizontal="center" vertical="center"/>
      <protection locked="0"/>
    </xf>
    <xf numFmtId="0" fontId="146" fillId="0" borderId="0" xfId="0" applyFont="1" applyAlignment="1" applyProtection="1" quotePrefix="1">
      <alignment horizontal="left" vertical="center"/>
      <protection locked="0"/>
    </xf>
    <xf numFmtId="0" fontId="126" fillId="0" borderId="0" xfId="0" applyFont="1" applyAlignment="1" applyProtection="1">
      <alignment horizontal="center" vertical="center"/>
      <protection locked="0"/>
    </xf>
    <xf numFmtId="0" fontId="172" fillId="0" borderId="0" xfId="0" applyFont="1" applyAlignment="1" applyProtection="1">
      <alignment horizontal="right" vertical="center"/>
      <protection locked="0"/>
    </xf>
    <xf numFmtId="0" fontId="0" fillId="0" borderId="0" xfId="0" applyFill="1" applyAlignment="1" applyProtection="1">
      <alignment vertical="center"/>
      <protection locked="0"/>
    </xf>
    <xf numFmtId="0" fontId="9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46" fillId="7" borderId="33" xfId="0" applyFont="1" applyFill="1" applyBorder="1" applyAlignment="1" applyProtection="1">
      <alignment horizontal="center" vertical="center"/>
      <protection locked="0"/>
    </xf>
    <xf numFmtId="0" fontId="0" fillId="33" borderId="96" xfId="0" applyFill="1" applyBorder="1" applyAlignment="1" applyProtection="1">
      <alignment horizontal="center" vertical="center"/>
      <protection locked="0"/>
    </xf>
    <xf numFmtId="0" fontId="0" fillId="33" borderId="97" xfId="0" applyFill="1" applyBorder="1" applyAlignment="1" applyProtection="1">
      <alignment horizontal="center" vertical="center"/>
      <protection locked="0"/>
    </xf>
    <xf numFmtId="0" fontId="0" fillId="38" borderId="0" xfId="0" applyFill="1" applyAlignment="1" applyProtection="1">
      <alignment vertical="center"/>
      <protection locked="0"/>
    </xf>
    <xf numFmtId="0" fontId="0" fillId="39" borderId="0" xfId="0" applyFill="1" applyAlignment="1" applyProtection="1">
      <alignment vertical="center"/>
      <protection locked="0"/>
    </xf>
    <xf numFmtId="0" fontId="0" fillId="14" borderId="0" xfId="0" applyFill="1" applyAlignment="1" applyProtection="1">
      <alignment vertical="center"/>
      <protection locked="0"/>
    </xf>
    <xf numFmtId="0" fontId="0" fillId="40" borderId="0" xfId="0" applyFill="1" applyAlignment="1" applyProtection="1">
      <alignment vertical="center"/>
      <protection locked="0"/>
    </xf>
    <xf numFmtId="0" fontId="97" fillId="41" borderId="0" xfId="0" applyFont="1" applyFill="1" applyAlignment="1" applyProtection="1">
      <alignment vertical="center"/>
      <protection locked="0"/>
    </xf>
    <xf numFmtId="0" fontId="97" fillId="42" borderId="0" xfId="0" applyFont="1" applyFill="1" applyAlignment="1" applyProtection="1">
      <alignment vertical="center"/>
      <protection locked="0"/>
    </xf>
    <xf numFmtId="0" fontId="116" fillId="8"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9" borderId="0" xfId="0" applyFill="1" applyAlignment="1" applyProtection="1">
      <alignment vertical="center"/>
      <protection locked="0"/>
    </xf>
    <xf numFmtId="0" fontId="0" fillId="0" borderId="0" xfId="0" applyAlignment="1" applyProtection="1">
      <alignment vertical="center" shrinkToFit="1"/>
      <protection locked="0"/>
    </xf>
    <xf numFmtId="0" fontId="0" fillId="43" borderId="0" xfId="0" applyFill="1" applyAlignment="1" applyProtection="1">
      <alignment vertical="center"/>
      <protection locked="0"/>
    </xf>
    <xf numFmtId="0" fontId="0" fillId="10" borderId="0" xfId="0" applyFill="1" applyAlignment="1" applyProtection="1">
      <alignment vertical="center"/>
      <protection locked="0"/>
    </xf>
    <xf numFmtId="0" fontId="0" fillId="11" borderId="0" xfId="0" applyFill="1" applyAlignment="1" applyProtection="1">
      <alignment vertical="center"/>
      <protection locked="0"/>
    </xf>
    <xf numFmtId="0" fontId="0" fillId="12" borderId="0" xfId="0" applyFill="1" applyAlignment="1" applyProtection="1">
      <alignment vertical="center"/>
      <protection locked="0"/>
    </xf>
    <xf numFmtId="0" fontId="0" fillId="13" borderId="0" xfId="0" applyFill="1" applyAlignment="1" applyProtection="1">
      <alignment vertical="center"/>
      <protection locked="0"/>
    </xf>
    <xf numFmtId="0" fontId="97" fillId="44" borderId="0" xfId="0" applyFont="1" applyFill="1" applyAlignment="1" applyProtection="1">
      <alignment vertical="center"/>
      <protection locked="0"/>
    </xf>
    <xf numFmtId="213" fontId="26" fillId="33" borderId="118" xfId="50" applyNumberFormat="1" applyFont="1" applyFill="1" applyBorder="1" applyAlignment="1" applyProtection="1">
      <alignment horizontal="left" vertical="center" wrapText="1"/>
      <protection/>
    </xf>
    <xf numFmtId="213" fontId="26" fillId="33" borderId="119" xfId="50" applyNumberFormat="1" applyFont="1" applyFill="1" applyBorder="1" applyAlignment="1" applyProtection="1">
      <alignment horizontal="left" vertical="center" wrapText="1"/>
      <protection/>
    </xf>
    <xf numFmtId="0" fontId="18" fillId="0" borderId="126" xfId="0" applyFont="1" applyBorder="1" applyAlignment="1" applyProtection="1">
      <alignment horizontal="center" vertical="center" wrapText="1"/>
      <protection locked="0"/>
    </xf>
    <xf numFmtId="0" fontId="18" fillId="0" borderId="196" xfId="0" applyFont="1" applyBorder="1" applyAlignment="1" applyProtection="1">
      <alignment horizontal="center" vertical="center" wrapText="1"/>
      <protection locked="0"/>
    </xf>
    <xf numFmtId="0" fontId="150" fillId="0" borderId="92" xfId="0" applyFont="1" applyBorder="1" applyAlignment="1" applyProtection="1">
      <alignment horizontal="center" vertical="center" wrapText="1"/>
      <protection locked="0"/>
    </xf>
    <xf numFmtId="0" fontId="150" fillId="0" borderId="112" xfId="0" applyFont="1" applyBorder="1" applyAlignment="1" applyProtection="1">
      <alignment horizontal="center" vertical="center" wrapText="1"/>
      <protection locked="0"/>
    </xf>
    <xf numFmtId="0" fontId="150" fillId="0" borderId="0" xfId="0" applyFont="1" applyBorder="1" applyAlignment="1" applyProtection="1">
      <alignment horizontal="left" vertical="top"/>
      <protection locked="0"/>
    </xf>
    <xf numFmtId="38" fontId="150" fillId="0" borderId="92" xfId="50" applyFont="1" applyBorder="1" applyAlignment="1" applyProtection="1">
      <alignment horizontal="center" vertical="center" wrapText="1"/>
      <protection locked="0"/>
    </xf>
    <xf numFmtId="38" fontId="150" fillId="0" borderId="112" xfId="50" applyFont="1" applyBorder="1" applyAlignment="1" applyProtection="1">
      <alignment horizontal="center" vertical="center" wrapText="1"/>
      <protection locked="0"/>
    </xf>
    <xf numFmtId="0" fontId="135" fillId="0" borderId="0" xfId="0" applyFont="1" applyBorder="1" applyAlignment="1" applyProtection="1">
      <alignment horizontal="left" vertical="center"/>
      <protection/>
    </xf>
    <xf numFmtId="0" fontId="18" fillId="0" borderId="38"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126" xfId="0" applyFont="1" applyBorder="1" applyAlignment="1" applyProtection="1">
      <alignment horizontal="center" vertical="center"/>
      <protection locked="0"/>
    </xf>
    <xf numFmtId="0" fontId="18" fillId="0" borderId="196" xfId="0" applyFont="1" applyBorder="1" applyAlignment="1" applyProtection="1">
      <alignment horizontal="center" vertical="center"/>
      <protection locked="0"/>
    </xf>
    <xf numFmtId="0" fontId="135" fillId="0" borderId="0" xfId="0" applyFont="1" applyBorder="1" applyAlignment="1" applyProtection="1">
      <alignment horizontal="center" vertical="center"/>
      <protection locked="0"/>
    </xf>
    <xf numFmtId="0" fontId="18" fillId="0" borderId="132" xfId="0" applyFont="1" applyBorder="1" applyAlignment="1" applyProtection="1">
      <alignment horizontal="center" vertical="center" wrapText="1"/>
      <protection locked="0"/>
    </xf>
    <xf numFmtId="0" fontId="150" fillId="0" borderId="119" xfId="0" applyFont="1" applyBorder="1" applyAlignment="1" applyProtection="1">
      <alignment horizontal="left" vertical="top" wrapText="1"/>
      <protection locked="0"/>
    </xf>
    <xf numFmtId="0" fontId="144" fillId="0" borderId="92" xfId="0" applyFont="1" applyBorder="1" applyAlignment="1" applyProtection="1">
      <alignment horizontal="center" vertical="center"/>
      <protection locked="0"/>
    </xf>
    <xf numFmtId="0" fontId="144" fillId="0" borderId="99" xfId="0" applyFont="1" applyBorder="1" applyAlignment="1" applyProtection="1">
      <alignment horizontal="center" vertical="center"/>
      <protection locked="0"/>
    </xf>
    <xf numFmtId="0" fontId="144" fillId="0" borderId="112" xfId="0" applyFont="1" applyBorder="1" applyAlignment="1" applyProtection="1">
      <alignment horizontal="center" vertical="center"/>
      <protection locked="0"/>
    </xf>
    <xf numFmtId="0" fontId="143" fillId="33" borderId="29" xfId="0" applyFont="1" applyFill="1" applyBorder="1" applyAlignment="1" applyProtection="1">
      <alignment horizontal="center" vertical="center"/>
      <protection locked="0"/>
    </xf>
    <xf numFmtId="0" fontId="143" fillId="33" borderId="14"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38" fontId="150" fillId="37" borderId="92" xfId="50" applyFont="1" applyFill="1" applyBorder="1" applyAlignment="1" applyProtection="1">
      <alignment horizontal="center" vertical="center" wrapText="1"/>
      <protection locked="0"/>
    </xf>
    <xf numFmtId="38" fontId="150" fillId="37" borderId="112" xfId="50" applyFont="1" applyFill="1" applyBorder="1" applyAlignment="1" applyProtection="1">
      <alignment horizontal="center" vertical="center" wrapText="1"/>
      <protection locked="0"/>
    </xf>
    <xf numFmtId="176" fontId="26" fillId="0" borderId="92" xfId="0" applyNumberFormat="1" applyFont="1" applyFill="1" applyBorder="1" applyAlignment="1" applyProtection="1">
      <alignment horizontal="center" vertical="center" wrapText="1"/>
      <protection locked="0"/>
    </xf>
    <xf numFmtId="176" fontId="26" fillId="0" borderId="112" xfId="0" applyNumberFormat="1" applyFont="1" applyFill="1" applyBorder="1" applyAlignment="1" applyProtection="1">
      <alignment horizontal="center" vertical="center" wrapText="1"/>
      <protection locked="0"/>
    </xf>
    <xf numFmtId="176" fontId="26" fillId="0" borderId="92" xfId="0" applyNumberFormat="1" applyFont="1" applyFill="1" applyBorder="1" applyAlignment="1" applyProtection="1">
      <alignment horizontal="center" vertical="center" wrapText="1"/>
      <protection/>
    </xf>
    <xf numFmtId="176" fontId="26" fillId="0" borderId="112" xfId="0" applyNumberFormat="1" applyFont="1" applyFill="1" applyBorder="1" applyAlignment="1" applyProtection="1">
      <alignment horizontal="center" vertical="center" wrapText="1"/>
      <protection/>
    </xf>
    <xf numFmtId="0" fontId="135" fillId="0" borderId="119" xfId="0" applyFont="1" applyBorder="1" applyAlignment="1" applyProtection="1">
      <alignment horizontal="center" vertical="center"/>
      <protection locked="0"/>
    </xf>
    <xf numFmtId="0" fontId="135" fillId="0" borderId="102"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36" fillId="0" borderId="0" xfId="0" applyFont="1" applyBorder="1" applyAlignment="1" applyProtection="1">
      <alignment horizontal="left" vertical="top"/>
      <protection locked="0"/>
    </xf>
    <xf numFmtId="0" fontId="136" fillId="0" borderId="0" xfId="0" applyFont="1" applyBorder="1" applyAlignment="1" applyProtection="1">
      <alignment horizontal="left" vertical="top" wrapText="1"/>
      <protection locked="0"/>
    </xf>
    <xf numFmtId="0" fontId="116" fillId="0" borderId="92" xfId="0" applyFont="1" applyBorder="1" applyAlignment="1" applyProtection="1">
      <alignment horizontal="center" vertical="center"/>
      <protection locked="0"/>
    </xf>
    <xf numFmtId="0" fontId="116" fillId="0" borderId="112" xfId="0" applyFont="1" applyBorder="1" applyAlignment="1" applyProtection="1">
      <alignment horizontal="center" vertical="center"/>
      <protection locked="0"/>
    </xf>
    <xf numFmtId="0" fontId="11" fillId="0" borderId="40"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176" fontId="26" fillId="0" borderId="127" xfId="0" applyNumberFormat="1" applyFont="1" applyFill="1" applyBorder="1" applyAlignment="1" applyProtection="1">
      <alignment horizontal="center" vertical="center" wrapText="1"/>
      <protection locked="0"/>
    </xf>
    <xf numFmtId="176" fontId="26" fillId="0" borderId="131" xfId="0" applyNumberFormat="1" applyFont="1" applyFill="1" applyBorder="1" applyAlignment="1" applyProtection="1">
      <alignment horizontal="center" vertical="center" wrapText="1"/>
      <protection locked="0"/>
    </xf>
    <xf numFmtId="0" fontId="11" fillId="0" borderId="118" xfId="0" applyFont="1" applyFill="1" applyBorder="1" applyAlignment="1" applyProtection="1">
      <alignment horizontal="center" vertical="center" wrapText="1"/>
      <protection locked="0"/>
    </xf>
    <xf numFmtId="0" fontId="11" fillId="0" borderId="120" xfId="0" applyFont="1" applyFill="1" applyBorder="1" applyAlignment="1" applyProtection="1">
      <alignment horizontal="center" vertical="center" wrapText="1"/>
      <protection locked="0"/>
    </xf>
    <xf numFmtId="176" fontId="26" fillId="0" borderId="96" xfId="0" applyNumberFormat="1" applyFont="1" applyFill="1" applyBorder="1" applyAlignment="1" applyProtection="1">
      <alignment horizontal="center" vertical="center" wrapText="1"/>
      <protection/>
    </xf>
    <xf numFmtId="176" fontId="26" fillId="0" borderId="97" xfId="0" applyNumberFormat="1"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56"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6" fillId="0" borderId="119" xfId="0" applyFont="1" applyBorder="1" applyAlignment="1" applyProtection="1">
      <alignment horizontal="center" vertical="center"/>
      <protection locked="0"/>
    </xf>
    <xf numFmtId="0" fontId="116" fillId="0" borderId="40" xfId="0" applyFont="1" applyBorder="1" applyAlignment="1" applyProtection="1">
      <alignment horizontal="center" vertical="center"/>
      <protection locked="0"/>
    </xf>
    <xf numFmtId="0" fontId="116" fillId="0" borderId="37" xfId="0" applyFont="1" applyBorder="1" applyAlignment="1" applyProtection="1">
      <alignment horizontal="center" vertical="center"/>
      <protection locked="0"/>
    </xf>
    <xf numFmtId="0" fontId="116" fillId="0" borderId="38" xfId="0" applyFont="1" applyBorder="1" applyAlignment="1" applyProtection="1">
      <alignment horizontal="center" vertical="center"/>
      <protection locked="0"/>
    </xf>
    <xf numFmtId="0" fontId="116" fillId="0" borderId="45" xfId="0" applyFont="1" applyBorder="1" applyAlignment="1" applyProtection="1">
      <alignment horizontal="center" vertical="center"/>
      <protection locked="0"/>
    </xf>
    <xf numFmtId="0" fontId="116" fillId="0" borderId="118" xfId="0" applyFont="1" applyBorder="1" applyAlignment="1" applyProtection="1">
      <alignment horizontal="center" vertical="center"/>
      <protection locked="0"/>
    </xf>
    <xf numFmtId="0" fontId="116" fillId="0" borderId="120" xfId="0" applyFont="1" applyBorder="1" applyAlignment="1" applyProtection="1">
      <alignment horizontal="center" vertical="center"/>
      <protection locked="0"/>
    </xf>
    <xf numFmtId="0" fontId="11" fillId="0" borderId="40" xfId="0" applyFont="1" applyBorder="1" applyAlignment="1" applyProtection="1">
      <alignment horizontal="center" vertical="top" wrapText="1"/>
      <protection locked="0"/>
    </xf>
    <xf numFmtId="0" fontId="11" fillId="0" borderId="37" xfId="0" applyFont="1" applyBorder="1" applyAlignment="1" applyProtection="1">
      <alignment horizontal="center" vertical="top" wrapText="1"/>
      <protection locked="0"/>
    </xf>
    <xf numFmtId="0" fontId="11" fillId="0" borderId="118" xfId="0" applyFont="1" applyBorder="1" applyAlignment="1" applyProtection="1">
      <alignment horizontal="center" vertical="center" wrapText="1"/>
      <protection locked="0"/>
    </xf>
    <xf numFmtId="0" fontId="11" fillId="0" borderId="120" xfId="0" applyFont="1" applyBorder="1" applyAlignment="1" applyProtection="1">
      <alignment horizontal="center" vertical="center" wrapText="1"/>
      <protection locked="0"/>
    </xf>
    <xf numFmtId="14" fontId="121" fillId="0" borderId="14" xfId="0" applyNumberFormat="1" applyFont="1" applyBorder="1" applyAlignment="1" applyProtection="1">
      <alignment horizontal="center" vertical="center" wrapText="1"/>
      <protection locked="0"/>
    </xf>
    <xf numFmtId="0" fontId="121" fillId="0" borderId="14" xfId="0" applyFont="1" applyBorder="1" applyAlignment="1" applyProtection="1">
      <alignment horizontal="center" vertical="center" wrapText="1"/>
      <protection locked="0"/>
    </xf>
    <xf numFmtId="14" fontId="121" fillId="0" borderId="103" xfId="0" applyNumberFormat="1" applyFont="1" applyBorder="1" applyAlignment="1" applyProtection="1">
      <alignment horizontal="center" vertical="center" wrapText="1"/>
      <protection locked="0"/>
    </xf>
    <xf numFmtId="0" fontId="121" fillId="0" borderId="103" xfId="0" applyFont="1" applyBorder="1" applyAlignment="1" applyProtection="1">
      <alignment horizontal="center" vertical="center" wrapText="1"/>
      <protection locked="0"/>
    </xf>
    <xf numFmtId="0" fontId="168" fillId="33" borderId="96" xfId="0" applyFont="1" applyFill="1" applyBorder="1" applyAlignment="1" applyProtection="1">
      <alignment horizontal="center" vertical="center" wrapText="1"/>
      <protection locked="0"/>
    </xf>
    <xf numFmtId="0" fontId="168" fillId="33" borderId="144" xfId="0" applyFont="1" applyFill="1" applyBorder="1" applyAlignment="1" applyProtection="1">
      <alignment horizontal="center" vertical="center" wrapText="1"/>
      <protection locked="0"/>
    </xf>
    <xf numFmtId="14" fontId="121" fillId="0" borderId="95" xfId="0" applyNumberFormat="1" applyFont="1" applyBorder="1" applyAlignment="1" applyProtection="1">
      <alignment horizontal="center" vertical="center" wrapText="1"/>
      <protection locked="0"/>
    </xf>
    <xf numFmtId="0" fontId="121" fillId="0" borderId="95" xfId="0" applyFont="1" applyBorder="1" applyAlignment="1" applyProtection="1">
      <alignment horizontal="center" vertical="center" wrapText="1"/>
      <protection locked="0"/>
    </xf>
    <xf numFmtId="0" fontId="117" fillId="0" borderId="0" xfId="0" applyFont="1" applyAlignment="1" applyProtection="1">
      <alignment horizontal="left" vertical="center"/>
      <protection locked="0"/>
    </xf>
    <xf numFmtId="0" fontId="120" fillId="0" borderId="197" xfId="0" applyFont="1" applyBorder="1" applyAlignment="1" applyProtection="1">
      <alignment horizontal="center" vertical="center" wrapText="1"/>
      <protection locked="0"/>
    </xf>
    <xf numFmtId="0" fontId="120" fillId="0" borderId="151" xfId="0" applyFont="1" applyBorder="1" applyAlignment="1" applyProtection="1">
      <alignment horizontal="center" vertical="center" wrapText="1"/>
      <protection locked="0"/>
    </xf>
    <xf numFmtId="0" fontId="117" fillId="0" borderId="132" xfId="0" applyFont="1" applyBorder="1" applyAlignment="1" applyProtection="1">
      <alignment horizontal="center" vertical="top" wrapText="1"/>
      <protection locked="0"/>
    </xf>
    <xf numFmtId="0" fontId="117" fillId="0" borderId="196" xfId="0" applyFont="1" applyBorder="1" applyAlignment="1" applyProtection="1">
      <alignment horizontal="center" vertical="top" wrapText="1"/>
      <protection locked="0"/>
    </xf>
    <xf numFmtId="0" fontId="117" fillId="0" borderId="126" xfId="0" applyFont="1" applyBorder="1" applyAlignment="1" applyProtection="1">
      <alignment horizontal="center" vertical="top" wrapText="1"/>
      <protection locked="0"/>
    </xf>
    <xf numFmtId="0" fontId="120" fillId="0" borderId="10" xfId="0" applyFont="1" applyBorder="1" applyAlignment="1" applyProtection="1">
      <alignment horizontal="center" vertical="center" wrapText="1"/>
      <protection locked="0"/>
    </xf>
    <xf numFmtId="0" fontId="120" fillId="0" borderId="156" xfId="0" applyFont="1" applyBorder="1" applyAlignment="1" applyProtection="1">
      <alignment horizontal="center" vertical="center" wrapText="1"/>
      <protection locked="0"/>
    </xf>
    <xf numFmtId="0" fontId="120" fillId="0" borderId="167" xfId="0" applyFont="1" applyBorder="1" applyAlignment="1" applyProtection="1">
      <alignment horizontal="center" vertical="center" wrapText="1"/>
      <protection locked="0"/>
    </xf>
    <xf numFmtId="0" fontId="120" fillId="0" borderId="198" xfId="0" applyFont="1" applyBorder="1" applyAlignment="1" applyProtection="1">
      <alignment horizontal="center" vertical="center" wrapText="1"/>
      <protection locked="0"/>
    </xf>
    <xf numFmtId="0" fontId="169" fillId="33" borderId="96" xfId="0" applyFont="1" applyFill="1" applyBorder="1" applyAlignment="1" applyProtection="1">
      <alignment horizontal="center" vertical="center" wrapText="1"/>
      <protection locked="0"/>
    </xf>
    <xf numFmtId="0" fontId="169" fillId="33" borderId="144" xfId="0" applyFont="1" applyFill="1" applyBorder="1" applyAlignment="1" applyProtection="1">
      <alignment horizontal="center" vertical="center" wrapText="1"/>
      <protection locked="0"/>
    </xf>
    <xf numFmtId="0" fontId="170" fillId="33" borderId="96" xfId="0" applyFont="1" applyFill="1" applyBorder="1" applyAlignment="1" applyProtection="1">
      <alignment horizontal="center" vertical="center" wrapText="1"/>
      <protection locked="0"/>
    </xf>
    <xf numFmtId="0" fontId="170" fillId="33" borderId="144" xfId="0" applyFont="1" applyFill="1" applyBorder="1" applyAlignment="1" applyProtection="1">
      <alignment horizontal="center" vertical="center" wrapText="1"/>
      <protection locked="0"/>
    </xf>
    <xf numFmtId="0" fontId="120" fillId="0" borderId="126" xfId="0" applyFont="1" applyBorder="1" applyAlignment="1" applyProtection="1">
      <alignment horizontal="center" vertical="top" wrapText="1"/>
      <protection locked="0"/>
    </xf>
    <xf numFmtId="0" fontId="120" fillId="0" borderId="196" xfId="0" applyFont="1" applyBorder="1" applyAlignment="1" applyProtection="1">
      <alignment horizontal="center" vertical="top" wrapText="1"/>
      <protection locked="0"/>
    </xf>
    <xf numFmtId="0" fontId="120" fillId="0" borderId="168" xfId="0" applyFont="1" applyBorder="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26" fillId="0" borderId="0" xfId="0" applyFont="1" applyAlignment="1" applyProtection="1">
      <alignment horizontal="center" vertical="center"/>
      <protection locked="0"/>
    </xf>
    <xf numFmtId="0" fontId="122" fillId="33" borderId="199" xfId="0" applyFont="1" applyFill="1" applyBorder="1" applyAlignment="1" applyProtection="1">
      <alignment horizontal="center" vertical="center" wrapText="1"/>
      <protection locked="0"/>
    </xf>
    <xf numFmtId="0" fontId="122" fillId="33" borderId="200" xfId="0" applyFont="1" applyFill="1" applyBorder="1" applyAlignment="1" applyProtection="1">
      <alignment horizontal="center" vertical="center" wrapText="1"/>
      <protection locked="0"/>
    </xf>
    <xf numFmtId="0" fontId="117" fillId="33" borderId="201" xfId="0" applyFont="1" applyFill="1" applyBorder="1" applyAlignment="1" applyProtection="1">
      <alignment horizontal="justify" vertical="center" wrapText="1"/>
      <protection locked="0"/>
    </xf>
    <xf numFmtId="0" fontId="117" fillId="33" borderId="147" xfId="0" applyFont="1" applyFill="1" applyBorder="1" applyAlignment="1" applyProtection="1">
      <alignment horizontal="justify" vertical="center" wrapText="1"/>
      <protection locked="0"/>
    </xf>
    <xf numFmtId="0" fontId="146" fillId="33" borderId="199" xfId="0" applyFont="1" applyFill="1" applyBorder="1" applyAlignment="1" applyProtection="1">
      <alignment horizontal="center" vertical="center"/>
      <protection locked="0"/>
    </xf>
    <xf numFmtId="0" fontId="146" fillId="33" borderId="200" xfId="0" applyFont="1" applyFill="1" applyBorder="1" applyAlignment="1" applyProtection="1">
      <alignment horizontal="center" vertical="center"/>
      <protection locked="0"/>
    </xf>
    <xf numFmtId="0" fontId="117" fillId="33" borderId="202" xfId="0" applyFont="1" applyFill="1" applyBorder="1" applyAlignment="1" applyProtection="1">
      <alignment horizontal="justify" vertical="center" wrapText="1"/>
      <protection locked="0"/>
    </xf>
    <xf numFmtId="0" fontId="117" fillId="33" borderId="203" xfId="0" applyFont="1" applyFill="1" applyBorder="1" applyAlignment="1" applyProtection="1">
      <alignment horizontal="justify" vertical="center" wrapText="1"/>
      <protection locked="0"/>
    </xf>
    <xf numFmtId="0" fontId="117" fillId="33" borderId="204" xfId="0" applyFont="1" applyFill="1" applyBorder="1" applyAlignment="1" applyProtection="1">
      <alignment horizontal="center" vertical="center" wrapText="1"/>
      <protection locked="0"/>
    </xf>
    <xf numFmtId="0" fontId="117" fillId="33" borderId="205" xfId="0" applyFont="1" applyFill="1" applyBorder="1" applyAlignment="1" applyProtection="1">
      <alignment horizontal="center" vertical="center" wrapText="1"/>
      <protection locked="0"/>
    </xf>
    <xf numFmtId="0" fontId="146" fillId="0" borderId="0" xfId="0" applyFont="1" applyAlignment="1" applyProtection="1">
      <alignment horizontal="left" vertical="center"/>
      <protection locked="0"/>
    </xf>
    <xf numFmtId="0" fontId="146" fillId="33" borderId="0" xfId="0" applyFont="1" applyFill="1" applyAlignment="1" applyProtection="1">
      <alignment horizontal="left" vertical="center"/>
      <protection locked="0"/>
    </xf>
    <xf numFmtId="0" fontId="146" fillId="33" borderId="206" xfId="0" applyFont="1" applyFill="1" applyBorder="1" applyAlignment="1" applyProtection="1">
      <alignment horizontal="center" vertical="center"/>
      <protection locked="0"/>
    </xf>
    <xf numFmtId="0" fontId="146" fillId="33" borderId="207" xfId="0" applyFont="1" applyFill="1" applyBorder="1" applyAlignment="1" applyProtection="1">
      <alignment horizontal="center" vertical="center"/>
      <protection locked="0"/>
    </xf>
    <xf numFmtId="0" fontId="146" fillId="33" borderId="208" xfId="0" applyFont="1" applyFill="1" applyBorder="1" applyAlignment="1" applyProtection="1">
      <alignment horizontal="center" vertical="center"/>
      <protection locked="0"/>
    </xf>
    <xf numFmtId="0" fontId="146" fillId="33" borderId="209" xfId="0" applyFont="1" applyFill="1" applyBorder="1" applyAlignment="1" applyProtection="1">
      <alignment horizontal="left" vertical="center"/>
      <protection/>
    </xf>
    <xf numFmtId="0" fontId="146" fillId="33" borderId="207" xfId="0" applyFont="1" applyFill="1" applyBorder="1" applyAlignment="1" applyProtection="1">
      <alignment horizontal="left" vertical="center"/>
      <protection/>
    </xf>
    <xf numFmtId="0" fontId="146" fillId="33" borderId="208" xfId="0" applyFont="1" applyFill="1" applyBorder="1" applyAlignment="1" applyProtection="1">
      <alignment horizontal="left" vertical="center"/>
      <protection/>
    </xf>
    <xf numFmtId="38" fontId="146" fillId="33" borderId="209" xfId="0" applyNumberFormat="1" applyFont="1" applyFill="1" applyBorder="1" applyAlignment="1" applyProtection="1">
      <alignment horizontal="left" vertical="center"/>
      <protection/>
    </xf>
    <xf numFmtId="38" fontId="146" fillId="33" borderId="207" xfId="0" applyNumberFormat="1" applyFont="1" applyFill="1" applyBorder="1" applyAlignment="1" applyProtection="1">
      <alignment horizontal="left" vertical="center"/>
      <protection/>
    </xf>
    <xf numFmtId="38" fontId="146" fillId="33" borderId="208" xfId="0" applyNumberFormat="1" applyFont="1" applyFill="1" applyBorder="1" applyAlignment="1" applyProtection="1">
      <alignment horizontal="left" vertical="center"/>
      <protection/>
    </xf>
    <xf numFmtId="0" fontId="146" fillId="33" borderId="206" xfId="0" applyFont="1" applyFill="1" applyBorder="1" applyAlignment="1" applyProtection="1">
      <alignment horizontal="left" vertical="center"/>
      <protection/>
    </xf>
    <xf numFmtId="0" fontId="146" fillId="33" borderId="132" xfId="0" applyFont="1" applyFill="1" applyBorder="1" applyAlignment="1" applyProtection="1">
      <alignment horizontal="left" vertical="center"/>
      <protection/>
    </xf>
    <xf numFmtId="0" fontId="146" fillId="33" borderId="210" xfId="0" applyFont="1" applyFill="1" applyBorder="1" applyAlignment="1" applyProtection="1">
      <alignment horizontal="left" vertical="center"/>
      <protection/>
    </xf>
    <xf numFmtId="0" fontId="146" fillId="33" borderId="211" xfId="0" applyFont="1" applyFill="1" applyBorder="1" applyAlignment="1" applyProtection="1">
      <alignment horizontal="center" vertical="center"/>
      <protection locked="0"/>
    </xf>
    <xf numFmtId="0" fontId="117" fillId="33" borderId="145" xfId="0" applyFont="1" applyFill="1" applyBorder="1" applyAlignment="1" applyProtection="1">
      <alignment horizontal="justify" vertical="center" wrapText="1"/>
      <protection locked="0"/>
    </xf>
    <xf numFmtId="0" fontId="146" fillId="33" borderId="157" xfId="0" applyFont="1" applyFill="1" applyBorder="1" applyAlignment="1" applyProtection="1">
      <alignment horizontal="left" vertical="center"/>
      <protection/>
    </xf>
    <xf numFmtId="0" fontId="146" fillId="33" borderId="212" xfId="0" applyFont="1" applyFill="1" applyBorder="1" applyAlignment="1" applyProtection="1">
      <alignment horizontal="left" vertical="center"/>
      <protection/>
    </xf>
    <xf numFmtId="0" fontId="124" fillId="0" borderId="119" xfId="0" applyFont="1" applyBorder="1" applyAlignment="1" applyProtection="1">
      <alignment vertical="center"/>
      <protection/>
    </xf>
    <xf numFmtId="0" fontId="124" fillId="0" borderId="99" xfId="0" applyFont="1" applyBorder="1" applyAlignment="1" applyProtection="1">
      <alignment vertical="center"/>
      <protection/>
    </xf>
    <xf numFmtId="0" fontId="0" fillId="0" borderId="111"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58" fontId="124" fillId="0" borderId="99" xfId="0" applyNumberFormat="1" applyFont="1" applyBorder="1" applyAlignment="1" applyProtection="1">
      <alignment horizontal="left" vertical="center"/>
      <protection/>
    </xf>
    <xf numFmtId="0" fontId="0" fillId="7" borderId="194" xfId="0" applyFill="1" applyBorder="1" applyAlignment="1" applyProtection="1">
      <alignment horizontal="center" vertical="center"/>
      <protection locked="0"/>
    </xf>
    <xf numFmtId="0" fontId="0" fillId="7" borderId="213" xfId="0" applyFill="1" applyBorder="1" applyAlignment="1" applyProtection="1">
      <alignment horizontal="center" vertical="center"/>
      <protection locked="0"/>
    </xf>
    <xf numFmtId="0" fontId="124" fillId="0" borderId="0" xfId="0" applyFont="1" applyAlignment="1" applyProtection="1">
      <alignment vertical="center"/>
      <protection locked="0"/>
    </xf>
    <xf numFmtId="0" fontId="124" fillId="0" borderId="144" xfId="0" applyFont="1" applyBorder="1" applyAlignment="1" applyProtection="1">
      <alignment vertical="center"/>
      <protection locked="0"/>
    </xf>
    <xf numFmtId="0" fontId="0" fillId="7" borderId="214" xfId="0" applyFill="1" applyBorder="1" applyAlignment="1" applyProtection="1">
      <alignment horizontal="center" vertical="center"/>
      <protection locked="0"/>
    </xf>
    <xf numFmtId="0" fontId="0" fillId="7" borderId="215" xfId="0" applyFill="1"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33" borderId="144"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0" fillId="7" borderId="216" xfId="0" applyFill="1" applyBorder="1" applyAlignment="1" applyProtection="1">
      <alignment horizontal="center" vertical="center"/>
      <protection locked="0"/>
    </xf>
    <xf numFmtId="0" fontId="115" fillId="0" borderId="143" xfId="0" applyFont="1" applyBorder="1" applyAlignment="1" applyProtection="1">
      <alignment horizontal="center" vertical="center"/>
      <protection locked="0"/>
    </xf>
    <xf numFmtId="0" fontId="115" fillId="0" borderId="150" xfId="0" applyFont="1" applyBorder="1" applyAlignment="1" applyProtection="1">
      <alignment horizontal="center" vertical="center"/>
      <protection locked="0"/>
    </xf>
    <xf numFmtId="201" fontId="125" fillId="33" borderId="157" xfId="50" applyNumberFormat="1" applyFont="1" applyFill="1" applyBorder="1" applyAlignment="1" applyProtection="1">
      <alignment horizontal="center" vertical="center"/>
      <protection/>
    </xf>
    <xf numFmtId="201" fontId="125" fillId="33" borderId="161" xfId="50" applyNumberFormat="1" applyFont="1" applyFill="1" applyBorder="1" applyAlignment="1" applyProtection="1">
      <alignment horizontal="center" vertical="center"/>
      <protection/>
    </xf>
    <xf numFmtId="201" fontId="125" fillId="33" borderId="143" xfId="50" applyNumberFormat="1" applyFont="1" applyFill="1" applyBorder="1" applyAlignment="1" applyProtection="1">
      <alignment horizontal="center" vertical="center"/>
      <protection/>
    </xf>
    <xf numFmtId="201" fontId="125" fillId="33" borderId="150" xfId="50" applyNumberFormat="1" applyFont="1" applyFill="1" applyBorder="1" applyAlignment="1" applyProtection="1">
      <alignment horizontal="center" vertical="center"/>
      <protection/>
    </xf>
    <xf numFmtId="38" fontId="144" fillId="33" borderId="96" xfId="50" applyFont="1" applyFill="1" applyBorder="1" applyAlignment="1" applyProtection="1">
      <alignment horizontal="center" vertical="center"/>
      <protection/>
    </xf>
    <xf numFmtId="38" fontId="144" fillId="33" borderId="97" xfId="50" applyFont="1" applyFill="1" applyBorder="1" applyAlignment="1" applyProtection="1">
      <alignment horizontal="center" vertical="center"/>
      <protection/>
    </xf>
    <xf numFmtId="194" fontId="144" fillId="33" borderId="96" xfId="50" applyNumberFormat="1" applyFont="1" applyFill="1" applyBorder="1" applyAlignment="1" applyProtection="1">
      <alignment horizontal="center" vertical="center"/>
      <protection/>
    </xf>
    <xf numFmtId="194" fontId="144" fillId="33" borderId="138" xfId="50" applyNumberFormat="1" applyFont="1" applyFill="1" applyBorder="1" applyAlignment="1" applyProtection="1">
      <alignment horizontal="center" vertical="center"/>
      <protection/>
    </xf>
    <xf numFmtId="194" fontId="144" fillId="33" borderId="97" xfId="50" applyNumberFormat="1" applyFont="1" applyFill="1" applyBorder="1" applyAlignment="1" applyProtection="1">
      <alignment horizontal="center" vertical="center"/>
      <protection/>
    </xf>
    <xf numFmtId="38" fontId="125" fillId="33" borderId="96" xfId="50" applyFont="1" applyFill="1" applyBorder="1" applyAlignment="1" applyProtection="1">
      <alignment horizontal="center" vertical="center"/>
      <protection/>
    </xf>
    <xf numFmtId="38" fontId="125" fillId="33" borderId="138" xfId="50" applyFont="1" applyFill="1" applyBorder="1" applyAlignment="1" applyProtection="1">
      <alignment horizontal="center" vertical="center"/>
      <protection/>
    </xf>
    <xf numFmtId="38" fontId="125" fillId="33" borderId="97" xfId="5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locked="0"/>
    </xf>
    <xf numFmtId="194" fontId="125" fillId="33" borderId="96" xfId="50" applyNumberFormat="1" applyFont="1" applyFill="1" applyBorder="1" applyAlignment="1" applyProtection="1">
      <alignment horizontal="center" vertical="center"/>
      <protection/>
    </xf>
    <xf numFmtId="194" fontId="125" fillId="33" borderId="97" xfId="50" applyNumberFormat="1" applyFont="1" applyFill="1" applyBorder="1" applyAlignment="1" applyProtection="1">
      <alignment horizontal="center" vertical="center"/>
      <protection/>
    </xf>
    <xf numFmtId="58" fontId="125" fillId="33" borderId="0" xfId="0" applyNumberFormat="1" applyFont="1" applyFill="1" applyAlignment="1" applyProtection="1">
      <alignment vertical="center"/>
      <protection locked="0"/>
    </xf>
    <xf numFmtId="0" fontId="115" fillId="0" borderId="141" xfId="0" applyFont="1" applyBorder="1" applyAlignment="1" applyProtection="1">
      <alignment horizontal="center" vertical="center"/>
      <protection locked="0"/>
    </xf>
    <xf numFmtId="0" fontId="115" fillId="0" borderId="102" xfId="0" applyFont="1" applyBorder="1" applyAlignment="1" applyProtection="1">
      <alignment horizontal="center" vertical="center"/>
      <protection locked="0"/>
    </xf>
    <xf numFmtId="0" fontId="124" fillId="0" borderId="132" xfId="0" applyFont="1" applyBorder="1" applyAlignment="1" applyProtection="1">
      <alignment vertical="center"/>
      <protection locked="0"/>
    </xf>
    <xf numFmtId="38" fontId="21" fillId="0" borderId="0" xfId="53" applyFont="1" applyAlignment="1">
      <alignment horizontal="left" vertical="center"/>
    </xf>
    <xf numFmtId="38" fontId="3" fillId="0" borderId="0" xfId="53" applyFont="1" applyAlignment="1">
      <alignment horizontal="left" vertical="center"/>
    </xf>
    <xf numFmtId="38" fontId="21" fillId="0" borderId="0" xfId="53" applyFont="1" applyAlignment="1">
      <alignment horizontal="left" vertical="center" shrinkToFit="1"/>
    </xf>
    <xf numFmtId="0" fontId="22" fillId="0" borderId="0" xfId="65" applyFont="1" applyAlignment="1">
      <alignment horizontal="left" vertical="center" shrinkToFit="1"/>
      <protection/>
    </xf>
    <xf numFmtId="38" fontId="8" fillId="0" borderId="0" xfId="53" applyFont="1" applyAlignment="1">
      <alignment horizontal="left" vertical="center"/>
    </xf>
    <xf numFmtId="0" fontId="22" fillId="0" borderId="0" xfId="65" applyFont="1" applyAlignment="1">
      <alignment horizontal="left" vertical="center"/>
      <protection/>
    </xf>
    <xf numFmtId="38" fontId="20" fillId="0" borderId="0" xfId="53" applyFont="1" applyAlignment="1">
      <alignment horizontal="left" vertical="center"/>
    </xf>
    <xf numFmtId="190" fontId="3" fillId="0" borderId="217" xfId="53" applyNumberFormat="1" applyFont="1" applyFill="1" applyBorder="1" applyAlignment="1">
      <alignment vertical="center" wrapText="1" shrinkToFit="1"/>
    </xf>
    <xf numFmtId="190" fontId="3" fillId="0" borderId="217" xfId="53" applyNumberFormat="1" applyFont="1" applyFill="1" applyBorder="1" applyAlignment="1">
      <alignment vertical="center" shrinkToFit="1"/>
    </xf>
    <xf numFmtId="190" fontId="3" fillId="0" borderId="0" xfId="53" applyNumberFormat="1" applyFont="1" applyFill="1" applyBorder="1" applyAlignment="1">
      <alignment vertical="center" shrinkToFit="1"/>
    </xf>
    <xf numFmtId="210" fontId="8" fillId="0" borderId="0" xfId="53" applyNumberFormat="1" applyFont="1" applyFill="1" applyBorder="1" applyAlignment="1">
      <alignment horizontal="left" vertical="center" wrapText="1"/>
    </xf>
    <xf numFmtId="38" fontId="8" fillId="0" borderId="0" xfId="53" applyFont="1" applyFill="1" applyBorder="1" applyAlignment="1">
      <alignment horizontal="left" vertical="center" wrapText="1"/>
    </xf>
    <xf numFmtId="38" fontId="8" fillId="0" borderId="0" xfId="53" applyFont="1" applyFill="1" applyBorder="1" applyAlignment="1">
      <alignment vertical="center" wrapText="1"/>
    </xf>
    <xf numFmtId="0" fontId="4" fillId="0" borderId="0" xfId="65" applyFont="1" applyAlignment="1">
      <alignment vertical="center"/>
      <protection/>
    </xf>
    <xf numFmtId="38" fontId="3" fillId="0" borderId="40" xfId="53" applyFont="1" applyFill="1" applyBorder="1" applyAlignment="1">
      <alignment horizontal="center" vertical="center"/>
    </xf>
    <xf numFmtId="38" fontId="3" fillId="0" borderId="41" xfId="53" applyFont="1" applyFill="1" applyBorder="1" applyAlignment="1" quotePrefix="1">
      <alignment horizontal="center" vertical="center"/>
    </xf>
    <xf numFmtId="38" fontId="3" fillId="0" borderId="118" xfId="53" applyFont="1" applyFill="1" applyBorder="1" applyAlignment="1" quotePrefix="1">
      <alignment horizontal="center" vertical="center"/>
    </xf>
    <xf numFmtId="38" fontId="3" fillId="0" borderId="218" xfId="53" applyFont="1" applyFill="1" applyBorder="1" applyAlignment="1" quotePrefix="1">
      <alignment horizontal="center" vertical="center"/>
    </xf>
    <xf numFmtId="38" fontId="3" fillId="0" borderId="39" xfId="53" applyFont="1" applyFill="1" applyBorder="1" applyAlignment="1" quotePrefix="1">
      <alignment horizontal="center" vertical="center"/>
    </xf>
    <xf numFmtId="38" fontId="3" fillId="0" borderId="43" xfId="53" applyFont="1" applyFill="1" applyBorder="1" applyAlignment="1" quotePrefix="1">
      <alignment horizontal="center" vertical="center"/>
    </xf>
    <xf numFmtId="38" fontId="3" fillId="0" borderId="219" xfId="53" applyFont="1" applyFill="1" applyBorder="1" applyAlignment="1" quotePrefix="1">
      <alignment horizontal="center" vertical="center"/>
    </xf>
    <xf numFmtId="38" fontId="3" fillId="0" borderId="220" xfId="53" applyFont="1" applyFill="1" applyBorder="1" applyAlignment="1" quotePrefix="1">
      <alignment horizontal="center" vertical="center"/>
    </xf>
    <xf numFmtId="38" fontId="3" fillId="0" borderId="42" xfId="53" applyFont="1" applyFill="1" applyBorder="1" applyAlignment="1">
      <alignment horizontal="center" vertical="center"/>
    </xf>
    <xf numFmtId="0" fontId="7" fillId="0" borderId="41" xfId="65" applyBorder="1" applyAlignment="1">
      <alignment horizontal="center" vertical="center"/>
      <protection/>
    </xf>
    <xf numFmtId="0" fontId="7" fillId="0" borderId="119" xfId="65" applyBorder="1" applyAlignment="1">
      <alignment horizontal="center" vertical="center"/>
      <protection/>
    </xf>
    <xf numFmtId="0" fontId="7" fillId="0" borderId="218" xfId="65" applyBorder="1" applyAlignment="1">
      <alignment horizontal="center" vertical="center"/>
      <protection/>
    </xf>
    <xf numFmtId="38" fontId="3" fillId="0" borderId="37" xfId="53" applyFont="1" applyFill="1" applyBorder="1" applyAlignment="1" quotePrefix="1">
      <alignment horizontal="center" vertical="center"/>
    </xf>
    <xf numFmtId="38" fontId="3" fillId="0" borderId="119" xfId="53" applyFont="1" applyFill="1" applyBorder="1" applyAlignment="1" quotePrefix="1">
      <alignment horizontal="center" vertical="center"/>
    </xf>
    <xf numFmtId="38" fontId="3" fillId="0" borderId="120" xfId="53" applyFont="1" applyFill="1" applyBorder="1" applyAlignment="1" quotePrefix="1">
      <alignment horizontal="center" vertical="center"/>
    </xf>
    <xf numFmtId="190" fontId="3" fillId="35" borderId="40" xfId="53" applyNumberFormat="1" applyFont="1" applyFill="1" applyBorder="1" applyAlignment="1">
      <alignment horizontal="center" vertical="center" wrapText="1"/>
    </xf>
    <xf numFmtId="190" fontId="3" fillId="35" borderId="42" xfId="53" applyNumberFormat="1" applyFont="1" applyFill="1" applyBorder="1" applyAlignment="1">
      <alignment horizontal="center" vertical="center" wrapText="1"/>
    </xf>
    <xf numFmtId="190" fontId="3" fillId="35" borderId="43" xfId="53" applyNumberFormat="1" applyFont="1" applyFill="1" applyBorder="1" applyAlignment="1">
      <alignment horizontal="center" vertical="center" wrapText="1"/>
    </xf>
    <xf numFmtId="190" fontId="3" fillId="35" borderId="38" xfId="53" applyNumberFormat="1" applyFont="1" applyFill="1" applyBorder="1" applyAlignment="1">
      <alignment horizontal="center" vertical="center" wrapText="1"/>
    </xf>
    <xf numFmtId="190" fontId="3" fillId="35" borderId="0" xfId="53" applyNumberFormat="1" applyFont="1" applyFill="1" applyBorder="1" applyAlignment="1">
      <alignment horizontal="center" vertical="center" wrapText="1"/>
    </xf>
    <xf numFmtId="190" fontId="3" fillId="35" borderId="46" xfId="53" applyNumberFormat="1" applyFont="1" applyFill="1" applyBorder="1" applyAlignment="1">
      <alignment horizontal="center" vertical="center" wrapText="1"/>
    </xf>
    <xf numFmtId="0" fontId="7" fillId="35" borderId="118" xfId="65" applyFill="1" applyBorder="1" applyAlignment="1">
      <alignment horizontal="center" vertical="center" wrapText="1"/>
      <protection/>
    </xf>
    <xf numFmtId="0" fontId="7" fillId="35" borderId="119" xfId="65" applyFill="1" applyBorder="1" applyAlignment="1">
      <alignment horizontal="center" vertical="center" wrapText="1"/>
      <protection/>
    </xf>
    <xf numFmtId="0" fontId="7" fillId="35" borderId="220" xfId="65" applyFill="1" applyBorder="1" applyAlignment="1">
      <alignment horizontal="center" vertical="center" wrapText="1"/>
      <protection/>
    </xf>
    <xf numFmtId="10" fontId="11" fillId="0" borderId="221" xfId="43" applyNumberFormat="1" applyFont="1" applyFill="1" applyBorder="1" applyAlignment="1" applyProtection="1" quotePrefix="1">
      <alignment horizontal="center" vertical="center"/>
      <protection locked="0"/>
    </xf>
    <xf numFmtId="10" fontId="11" fillId="0" borderId="222" xfId="43" applyNumberFormat="1" applyFont="1" applyFill="1" applyBorder="1" applyAlignment="1" applyProtection="1" quotePrefix="1">
      <alignment horizontal="center" vertical="center"/>
      <protection locked="0"/>
    </xf>
    <xf numFmtId="10" fontId="11" fillId="0" borderId="223" xfId="43" applyNumberFormat="1" applyFont="1" applyFill="1" applyBorder="1" applyAlignment="1" applyProtection="1" quotePrefix="1">
      <alignment horizontal="center" vertical="center"/>
      <protection locked="0"/>
    </xf>
    <xf numFmtId="10" fontId="11" fillId="0" borderId="118" xfId="43" applyNumberFormat="1" applyFont="1" applyFill="1" applyBorder="1" applyAlignment="1" applyProtection="1" quotePrefix="1">
      <alignment horizontal="center" vertical="center"/>
      <protection locked="0"/>
    </xf>
    <xf numFmtId="10" fontId="11" fillId="0" borderId="119" xfId="43" applyNumberFormat="1" applyFont="1" applyFill="1" applyBorder="1" applyAlignment="1" applyProtection="1" quotePrefix="1">
      <alignment horizontal="center" vertical="center"/>
      <protection locked="0"/>
    </xf>
    <xf numFmtId="10" fontId="11" fillId="0" borderId="120" xfId="43" applyNumberFormat="1" applyFont="1" applyFill="1" applyBorder="1" applyAlignment="1" applyProtection="1" quotePrefix="1">
      <alignment horizontal="center" vertical="center"/>
      <protection locked="0"/>
    </xf>
    <xf numFmtId="202" fontId="11" fillId="0" borderId="222" xfId="43" applyNumberFormat="1" applyFont="1" applyFill="1" applyBorder="1" applyAlignment="1" applyProtection="1" quotePrefix="1">
      <alignment horizontal="center" vertical="center"/>
      <protection locked="0"/>
    </xf>
    <xf numFmtId="202" fontId="11" fillId="0" borderId="224" xfId="43" applyNumberFormat="1" applyFont="1" applyFill="1" applyBorder="1" applyAlignment="1" applyProtection="1" quotePrefix="1">
      <alignment horizontal="center" vertical="center"/>
      <protection locked="0"/>
    </xf>
    <xf numFmtId="202" fontId="11" fillId="0" borderId="118" xfId="43" applyNumberFormat="1" applyFont="1" applyFill="1" applyBorder="1" applyAlignment="1" applyProtection="1" quotePrefix="1">
      <alignment horizontal="center" vertical="center"/>
      <protection locked="0"/>
    </xf>
    <xf numFmtId="202" fontId="11" fillId="0" borderId="119" xfId="43" applyNumberFormat="1" applyFont="1" applyFill="1" applyBorder="1" applyAlignment="1" applyProtection="1" quotePrefix="1">
      <alignment horizontal="center" vertical="center"/>
      <protection locked="0"/>
    </xf>
    <xf numFmtId="202" fontId="11" fillId="0" borderId="220" xfId="43" applyNumberFormat="1" applyFont="1" applyFill="1" applyBorder="1" applyAlignment="1" applyProtection="1" quotePrefix="1">
      <alignment horizontal="center" vertical="center"/>
      <protection locked="0"/>
    </xf>
    <xf numFmtId="203" fontId="11" fillId="0" borderId="0" xfId="43" applyNumberFormat="1" applyFont="1" applyFill="1" applyBorder="1" applyAlignment="1" applyProtection="1" quotePrefix="1">
      <alignment horizontal="center" vertical="center"/>
      <protection locked="0"/>
    </xf>
    <xf numFmtId="203" fontId="11" fillId="0" borderId="45" xfId="43" applyNumberFormat="1" applyFont="1" applyFill="1" applyBorder="1" applyAlignment="1" applyProtection="1" quotePrefix="1">
      <alignment horizontal="center" vertical="center"/>
      <protection locked="0"/>
    </xf>
    <xf numFmtId="203" fontId="11" fillId="0" borderId="46" xfId="43" applyNumberFormat="1" applyFont="1" applyFill="1" applyBorder="1" applyAlignment="1" applyProtection="1" quotePrefix="1">
      <alignment horizontal="center" vertical="center"/>
      <protection locked="0"/>
    </xf>
    <xf numFmtId="38" fontId="3" fillId="0" borderId="225" xfId="53" applyFont="1" applyFill="1" applyBorder="1" applyAlignment="1">
      <alignment horizontal="center" vertical="center"/>
    </xf>
    <xf numFmtId="38" fontId="3" fillId="0" borderId="226" xfId="53" applyFont="1" applyFill="1" applyBorder="1" applyAlignment="1">
      <alignment horizontal="center" vertical="center"/>
    </xf>
    <xf numFmtId="38" fontId="3" fillId="0" borderId="227" xfId="53" applyFont="1" applyFill="1" applyBorder="1" applyAlignment="1">
      <alignment horizontal="center" vertical="center"/>
    </xf>
    <xf numFmtId="38" fontId="3" fillId="0" borderId="228" xfId="53" applyFont="1" applyFill="1" applyBorder="1" applyAlignment="1">
      <alignment horizontal="center" vertical="center"/>
    </xf>
    <xf numFmtId="38" fontId="3" fillId="0" borderId="229" xfId="53" applyFont="1" applyFill="1" applyBorder="1" applyAlignment="1">
      <alignment horizontal="center" vertical="center"/>
    </xf>
    <xf numFmtId="38" fontId="3" fillId="0" borderId="119" xfId="53" applyFont="1" applyFill="1" applyBorder="1" applyAlignment="1">
      <alignment horizontal="center" vertical="center"/>
    </xf>
    <xf numFmtId="38" fontId="3" fillId="0" borderId="37" xfId="53" applyFont="1" applyFill="1" applyBorder="1" applyAlignment="1">
      <alignment horizontal="center" vertical="center"/>
    </xf>
    <xf numFmtId="38" fontId="3" fillId="0" borderId="118" xfId="53" applyFont="1" applyFill="1" applyBorder="1" applyAlignment="1">
      <alignment horizontal="center" vertical="center"/>
    </xf>
    <xf numFmtId="38" fontId="3" fillId="0" borderId="120" xfId="53" applyFont="1" applyFill="1" applyBorder="1" applyAlignment="1">
      <alignment horizontal="center" vertical="center"/>
    </xf>
    <xf numFmtId="38" fontId="13" fillId="0" borderId="0" xfId="53" applyFont="1" applyFill="1" applyBorder="1" applyAlignment="1">
      <alignment horizontal="center" vertical="top" wrapText="1"/>
    </xf>
    <xf numFmtId="0" fontId="14" fillId="0" borderId="0" xfId="65" applyFont="1" applyAlignment="1">
      <alignment horizontal="center" vertical="top" wrapText="1"/>
      <protection/>
    </xf>
    <xf numFmtId="38" fontId="16" fillId="0" borderId="0" xfId="53" applyFont="1" applyFill="1" applyBorder="1" applyAlignment="1">
      <alignment vertical="top" wrapText="1"/>
    </xf>
    <xf numFmtId="38" fontId="11" fillId="0" borderId="230" xfId="53" applyFont="1" applyFill="1" applyBorder="1" applyAlignment="1">
      <alignment horizontal="left" vertical="center" wrapText="1"/>
    </xf>
    <xf numFmtId="38" fontId="3" fillId="0" borderId="231" xfId="53" applyFont="1" applyFill="1" applyBorder="1" applyAlignment="1">
      <alignment horizontal="center" vertical="center"/>
    </xf>
    <xf numFmtId="38" fontId="3" fillId="0" borderId="217" xfId="53" applyFont="1" applyFill="1" applyBorder="1" applyAlignment="1">
      <alignment horizontal="center" vertical="center"/>
    </xf>
    <xf numFmtId="38" fontId="3" fillId="0" borderId="232" xfId="53" applyFont="1" applyFill="1" applyBorder="1" applyAlignment="1">
      <alignment horizontal="center" vertical="center"/>
    </xf>
    <xf numFmtId="38" fontId="3" fillId="0" borderId="47" xfId="53" applyFont="1" applyFill="1" applyBorder="1" applyAlignment="1">
      <alignment horizontal="center" vertical="center"/>
    </xf>
    <xf numFmtId="38" fontId="3" fillId="0" borderId="0" xfId="53" applyFont="1" applyFill="1" applyBorder="1" applyAlignment="1">
      <alignment horizontal="center" vertical="center"/>
    </xf>
    <xf numFmtId="38" fontId="3" fillId="0" borderId="45" xfId="53" applyFont="1" applyFill="1" applyBorder="1" applyAlignment="1">
      <alignment horizontal="center" vertical="center"/>
    </xf>
    <xf numFmtId="38" fontId="3" fillId="35" borderId="233" xfId="53" applyFont="1" applyFill="1" applyBorder="1" applyAlignment="1">
      <alignment horizontal="center" vertical="center"/>
    </xf>
    <xf numFmtId="38" fontId="3" fillId="35" borderId="234" xfId="53" applyFont="1" applyFill="1" applyBorder="1" applyAlignment="1">
      <alignment horizontal="center" vertical="center"/>
    </xf>
    <xf numFmtId="38" fontId="3" fillId="35" borderId="235" xfId="53" applyFont="1" applyFill="1" applyBorder="1" applyAlignment="1">
      <alignment horizontal="center" vertical="center"/>
    </xf>
    <xf numFmtId="0" fontId="7" fillId="35" borderId="234" xfId="65" applyFill="1" applyBorder="1" applyAlignment="1">
      <alignment horizontal="center" vertical="center"/>
      <protection/>
    </xf>
    <xf numFmtId="0" fontId="7" fillId="35" borderId="235" xfId="65" applyFill="1" applyBorder="1" applyAlignment="1">
      <alignment horizontal="center" vertical="center"/>
      <protection/>
    </xf>
    <xf numFmtId="38" fontId="3" fillId="35" borderId="35" xfId="53" applyFont="1" applyFill="1" applyBorder="1" applyAlignment="1">
      <alignment horizontal="center" vertical="center" wrapText="1"/>
    </xf>
    <xf numFmtId="38" fontId="3" fillId="35" borderId="42" xfId="53" applyFont="1" applyFill="1" applyBorder="1" applyAlignment="1">
      <alignment horizontal="center" vertical="center" wrapText="1"/>
    </xf>
    <xf numFmtId="38" fontId="3" fillId="35" borderId="36" xfId="53" applyFont="1" applyFill="1" applyBorder="1" applyAlignment="1">
      <alignment horizontal="center" vertical="center" wrapText="1"/>
    </xf>
    <xf numFmtId="38" fontId="3" fillId="35" borderId="48" xfId="53" applyFont="1" applyFill="1" applyBorder="1" applyAlignment="1">
      <alignment horizontal="center" vertical="center" wrapText="1"/>
    </xf>
    <xf numFmtId="38" fontId="3" fillId="35" borderId="0" xfId="53" applyFont="1" applyFill="1" applyBorder="1" applyAlignment="1">
      <alignment horizontal="center" vertical="center" wrapText="1"/>
    </xf>
    <xf numFmtId="38" fontId="3" fillId="35" borderId="49" xfId="53" applyFont="1" applyFill="1" applyBorder="1" applyAlignment="1">
      <alignment horizontal="center" vertical="center" wrapText="1"/>
    </xf>
    <xf numFmtId="38" fontId="3" fillId="35" borderId="229" xfId="53" applyFont="1" applyFill="1" applyBorder="1" applyAlignment="1">
      <alignment horizontal="center" vertical="center" wrapText="1"/>
    </xf>
    <xf numFmtId="38" fontId="3" fillId="35" borderId="119" xfId="53" applyFont="1" applyFill="1" applyBorder="1" applyAlignment="1">
      <alignment horizontal="center" vertical="center" wrapText="1"/>
    </xf>
    <xf numFmtId="38" fontId="3" fillId="35" borderId="236" xfId="53" applyFont="1" applyFill="1" applyBorder="1" applyAlignment="1">
      <alignment horizontal="center" vertical="center" wrapText="1"/>
    </xf>
    <xf numFmtId="190" fontId="3" fillId="35" borderId="35" xfId="53" applyNumberFormat="1" applyFont="1" applyFill="1" applyBorder="1" applyAlignment="1">
      <alignment horizontal="center" vertical="center" wrapText="1"/>
    </xf>
    <xf numFmtId="190" fontId="3" fillId="35" borderId="48" xfId="53" applyNumberFormat="1" applyFont="1" applyFill="1" applyBorder="1" applyAlignment="1">
      <alignment horizontal="center" vertical="center" wrapText="1"/>
    </xf>
    <xf numFmtId="190" fontId="3" fillId="35" borderId="229" xfId="53" applyNumberFormat="1" applyFont="1" applyFill="1" applyBorder="1" applyAlignment="1">
      <alignment horizontal="center" vertical="center" wrapText="1"/>
    </xf>
    <xf numFmtId="190" fontId="3" fillId="35" borderId="119" xfId="53" applyNumberFormat="1" applyFont="1" applyFill="1" applyBorder="1" applyAlignment="1">
      <alignment horizontal="center" vertical="center" wrapText="1"/>
    </xf>
    <xf numFmtId="190" fontId="3" fillId="35" borderId="220" xfId="53" applyNumberFormat="1" applyFont="1" applyFill="1" applyBorder="1" applyAlignment="1">
      <alignment horizontal="center" vertical="center" wrapText="1"/>
    </xf>
    <xf numFmtId="190" fontId="3" fillId="35" borderId="237" xfId="53" applyNumberFormat="1" applyFont="1" applyFill="1" applyBorder="1" applyAlignment="1">
      <alignment horizontal="center" vertical="center" wrapText="1"/>
    </xf>
    <xf numFmtId="190" fontId="3" fillId="35" borderId="37" xfId="53" applyNumberFormat="1" applyFont="1" applyFill="1" applyBorder="1" applyAlignment="1">
      <alignment horizontal="center" vertical="center" wrapText="1"/>
    </xf>
    <xf numFmtId="190" fontId="3" fillId="35" borderId="47" xfId="53" applyNumberFormat="1" applyFont="1" applyFill="1" applyBorder="1" applyAlignment="1">
      <alignment horizontal="center" vertical="center" wrapText="1"/>
    </xf>
    <xf numFmtId="190" fontId="3" fillId="35" borderId="45" xfId="53" applyNumberFormat="1" applyFont="1" applyFill="1" applyBorder="1" applyAlignment="1">
      <alignment horizontal="center" vertical="center" wrapText="1"/>
    </xf>
    <xf numFmtId="0" fontId="7" fillId="35" borderId="238" xfId="65" applyFill="1" applyBorder="1" applyAlignment="1">
      <alignment horizontal="center" vertical="center" wrapText="1"/>
      <protection/>
    </xf>
    <xf numFmtId="0" fontId="7" fillId="35" borderId="120" xfId="65" applyFill="1" applyBorder="1" applyAlignment="1">
      <alignment horizontal="center" vertical="center" wrapText="1"/>
      <protection/>
    </xf>
    <xf numFmtId="38" fontId="3" fillId="0" borderId="0" xfId="53" applyFont="1" applyAlignment="1" applyProtection="1">
      <alignment horizontal="left" vertical="center"/>
      <protection locked="0"/>
    </xf>
    <xf numFmtId="38" fontId="8" fillId="0" borderId="0" xfId="53" applyFont="1" applyAlignment="1" applyProtection="1">
      <alignment horizontal="left" vertical="center"/>
      <protection locked="0"/>
    </xf>
    <xf numFmtId="38" fontId="21" fillId="0" borderId="0" xfId="53" applyFont="1" applyAlignment="1" applyProtection="1">
      <alignment horizontal="left" vertical="center"/>
      <protection locked="0"/>
    </xf>
    <xf numFmtId="0" fontId="22" fillId="0" borderId="0" xfId="65" applyFont="1" applyAlignment="1" applyProtection="1">
      <alignment horizontal="left" vertical="center"/>
      <protection locked="0"/>
    </xf>
    <xf numFmtId="38" fontId="21" fillId="0" borderId="0" xfId="53" applyFont="1" applyAlignment="1" applyProtection="1">
      <alignment horizontal="left" vertical="center" shrinkToFit="1"/>
      <protection locked="0"/>
    </xf>
    <xf numFmtId="0" fontId="22" fillId="0" borderId="0" xfId="65" applyFont="1" applyAlignment="1" applyProtection="1">
      <alignment horizontal="left" vertical="center" shrinkToFit="1"/>
      <protection locked="0"/>
    </xf>
    <xf numFmtId="204" fontId="8" fillId="0" borderId="0" xfId="53" applyNumberFormat="1" applyFont="1" applyFill="1" applyBorder="1" applyAlignment="1" applyProtection="1">
      <alignment horizontal="left" vertical="center" wrapText="1"/>
      <protection/>
    </xf>
    <xf numFmtId="38" fontId="8" fillId="0" borderId="0" xfId="53" applyFont="1" applyFill="1" applyBorder="1" applyAlignment="1" applyProtection="1">
      <alignment horizontal="left" vertical="center" wrapText="1"/>
      <protection locked="0"/>
    </xf>
    <xf numFmtId="38" fontId="8" fillId="0" borderId="0" xfId="53" applyFont="1" applyFill="1" applyBorder="1" applyAlignment="1" applyProtection="1">
      <alignment vertical="center" wrapText="1"/>
      <protection locked="0"/>
    </xf>
    <xf numFmtId="0" fontId="4" fillId="0" borderId="0" xfId="65" applyFont="1" applyAlignment="1" applyProtection="1">
      <alignment vertical="center"/>
      <protection locked="0"/>
    </xf>
    <xf numFmtId="38" fontId="20" fillId="0" borderId="0" xfId="53" applyFont="1" applyAlignment="1" applyProtection="1">
      <alignment horizontal="left" vertical="center"/>
      <protection locked="0"/>
    </xf>
    <xf numFmtId="38" fontId="3" fillId="0" borderId="43" xfId="53" applyFont="1" applyFill="1" applyBorder="1" applyAlignment="1" applyProtection="1" quotePrefix="1">
      <alignment horizontal="center" vertical="center"/>
      <protection locked="0"/>
    </xf>
    <xf numFmtId="38" fontId="3" fillId="0" borderId="220" xfId="53" applyFont="1" applyFill="1" applyBorder="1" applyAlignment="1" applyProtection="1" quotePrefix="1">
      <alignment horizontal="center" vertical="center"/>
      <protection locked="0"/>
    </xf>
    <xf numFmtId="38" fontId="3" fillId="0" borderId="239" xfId="53" applyFont="1" applyFill="1" applyBorder="1" applyAlignment="1" applyProtection="1">
      <alignment horizontal="center" vertical="center"/>
      <protection locked="0"/>
    </xf>
    <xf numFmtId="0" fontId="7" fillId="0" borderId="240" xfId="65" applyBorder="1" applyAlignment="1" applyProtection="1">
      <alignment horizontal="center" vertical="center"/>
      <protection locked="0"/>
    </xf>
    <xf numFmtId="38" fontId="3" fillId="0" borderId="37" xfId="53" applyFont="1" applyFill="1" applyBorder="1" applyAlignment="1" applyProtection="1">
      <alignment horizontal="center" vertical="center"/>
      <protection locked="0"/>
    </xf>
    <xf numFmtId="38" fontId="3" fillId="0" borderId="120" xfId="53" applyFont="1" applyFill="1" applyBorder="1" applyAlignment="1" applyProtection="1" quotePrefix="1">
      <alignment horizontal="center" vertical="center"/>
      <protection locked="0"/>
    </xf>
    <xf numFmtId="38" fontId="3" fillId="0" borderId="188" xfId="53" applyFont="1" applyFill="1" applyBorder="1" applyAlignment="1" applyProtection="1">
      <alignment horizontal="center" vertical="center"/>
      <protection locked="0"/>
    </xf>
    <xf numFmtId="0" fontId="7" fillId="0" borderId="241" xfId="65" applyBorder="1" applyAlignment="1" applyProtection="1">
      <alignment horizontal="center" vertical="center"/>
      <protection locked="0"/>
    </xf>
    <xf numFmtId="38" fontId="3" fillId="0" borderId="43" xfId="53" applyFont="1" applyFill="1" applyBorder="1" applyAlignment="1" applyProtection="1">
      <alignment horizontal="center" vertical="center"/>
      <protection locked="0"/>
    </xf>
    <xf numFmtId="190" fontId="3" fillId="0" borderId="217" xfId="53" applyNumberFormat="1" applyFont="1" applyFill="1" applyBorder="1" applyAlignment="1" applyProtection="1">
      <alignment vertical="center" wrapText="1" shrinkToFit="1"/>
      <protection locked="0"/>
    </xf>
    <xf numFmtId="190" fontId="3" fillId="0" borderId="217" xfId="53" applyNumberFormat="1" applyFont="1" applyFill="1" applyBorder="1" applyAlignment="1" applyProtection="1">
      <alignment vertical="center" shrinkToFit="1"/>
      <protection locked="0"/>
    </xf>
    <xf numFmtId="190" fontId="3" fillId="0" borderId="0" xfId="53" applyNumberFormat="1" applyFont="1" applyFill="1" applyBorder="1" applyAlignment="1" applyProtection="1">
      <alignment vertical="center" shrinkToFit="1"/>
      <protection locked="0"/>
    </xf>
    <xf numFmtId="190" fontId="3" fillId="34" borderId="42" xfId="53" applyNumberFormat="1" applyFont="1" applyFill="1" applyBorder="1" applyAlignment="1" applyProtection="1">
      <alignment horizontal="center" vertical="center" wrapText="1"/>
      <protection locked="0"/>
    </xf>
    <xf numFmtId="190" fontId="3" fillId="34" borderId="43" xfId="53" applyNumberFormat="1" applyFont="1" applyFill="1" applyBorder="1" applyAlignment="1" applyProtection="1">
      <alignment horizontal="center" vertical="center" wrapText="1"/>
      <protection locked="0"/>
    </xf>
    <xf numFmtId="190" fontId="3" fillId="34" borderId="0" xfId="53" applyNumberFormat="1" applyFont="1" applyFill="1" applyBorder="1" applyAlignment="1" applyProtection="1">
      <alignment horizontal="center" vertical="center" wrapText="1"/>
      <protection locked="0"/>
    </xf>
    <xf numFmtId="190" fontId="3" fillId="34" borderId="46" xfId="53" applyNumberFormat="1" applyFont="1" applyFill="1" applyBorder="1" applyAlignment="1" applyProtection="1">
      <alignment horizontal="center" vertical="center" wrapText="1"/>
      <protection locked="0"/>
    </xf>
    <xf numFmtId="0" fontId="7" fillId="34" borderId="119" xfId="65" applyFill="1" applyBorder="1" applyAlignment="1" applyProtection="1">
      <alignment horizontal="center" vertical="center" wrapText="1"/>
      <protection locked="0"/>
    </xf>
    <xf numFmtId="0" fontId="7" fillId="34" borderId="220" xfId="65" applyFill="1" applyBorder="1" applyAlignment="1" applyProtection="1">
      <alignment horizontal="center" vertical="center" wrapText="1"/>
      <protection locked="0"/>
    </xf>
    <xf numFmtId="10" fontId="11" fillId="0" borderId="221" xfId="43" applyNumberFormat="1" applyFont="1" applyFill="1" applyBorder="1" applyAlignment="1" applyProtection="1" quotePrefix="1">
      <alignment horizontal="center" vertical="center"/>
      <protection/>
    </xf>
    <xf numFmtId="202" fontId="11" fillId="0" borderId="224" xfId="43" applyNumberFormat="1" applyFont="1" applyFill="1" applyBorder="1" applyAlignment="1" applyProtection="1" quotePrefix="1">
      <alignment horizontal="center" vertical="center"/>
      <protection/>
    </xf>
    <xf numFmtId="202" fontId="11" fillId="0" borderId="118" xfId="43" applyNumberFormat="1" applyFont="1" applyFill="1" applyBorder="1" applyAlignment="1" applyProtection="1" quotePrefix="1">
      <alignment horizontal="center" vertical="center"/>
      <protection/>
    </xf>
    <xf numFmtId="202" fontId="11" fillId="0" borderId="220" xfId="43" applyNumberFormat="1" applyFont="1" applyFill="1" applyBorder="1" applyAlignment="1" applyProtection="1" quotePrefix="1">
      <alignment horizontal="center" vertical="center"/>
      <protection/>
    </xf>
    <xf numFmtId="203" fontId="11" fillId="0" borderId="47" xfId="43" applyNumberFormat="1" applyFont="1" applyFill="1" applyBorder="1" applyAlignment="1" applyProtection="1" quotePrefix="1">
      <alignment horizontal="center" vertical="center"/>
      <protection locked="0"/>
    </xf>
    <xf numFmtId="38" fontId="3" fillId="0" borderId="225" xfId="53" applyFont="1" applyFill="1" applyBorder="1" applyAlignment="1" applyProtection="1">
      <alignment horizontal="center" vertical="center"/>
      <protection locked="0"/>
    </xf>
    <xf numFmtId="38" fontId="3" fillId="0" borderId="226" xfId="53" applyFont="1" applyFill="1" applyBorder="1" applyAlignment="1" applyProtection="1">
      <alignment horizontal="center" vertical="center"/>
      <protection locked="0"/>
    </xf>
    <xf numFmtId="38" fontId="3" fillId="0" borderId="227" xfId="53" applyFont="1" applyFill="1" applyBorder="1" applyAlignment="1" applyProtection="1">
      <alignment horizontal="center" vertical="center"/>
      <protection locked="0"/>
    </xf>
    <xf numFmtId="38" fontId="3" fillId="0" borderId="229" xfId="53" applyFont="1" applyFill="1" applyBorder="1" applyAlignment="1" applyProtection="1">
      <alignment horizontal="center" vertical="center"/>
      <protection locked="0"/>
    </xf>
    <xf numFmtId="38" fontId="3" fillId="0" borderId="241" xfId="53" applyFont="1" applyFill="1" applyBorder="1" applyAlignment="1" applyProtection="1" quotePrefix="1">
      <alignment horizontal="center" vertical="center"/>
      <protection locked="0"/>
    </xf>
    <xf numFmtId="38" fontId="3" fillId="0" borderId="42" xfId="53" applyFont="1" applyFill="1" applyBorder="1" applyAlignment="1" applyProtection="1" quotePrefix="1">
      <alignment horizontal="center" vertical="center"/>
      <protection locked="0"/>
    </xf>
    <xf numFmtId="38" fontId="3" fillId="0" borderId="119" xfId="53" applyFont="1" applyFill="1" applyBorder="1" applyAlignment="1" applyProtection="1" quotePrefix="1">
      <alignment horizontal="center" vertical="center"/>
      <protection locked="0"/>
    </xf>
    <xf numFmtId="38" fontId="13" fillId="0" borderId="0" xfId="53" applyFont="1" applyFill="1" applyBorder="1" applyAlignment="1" applyProtection="1">
      <alignment horizontal="center" vertical="top" wrapText="1"/>
      <protection locked="0"/>
    </xf>
    <xf numFmtId="0" fontId="14" fillId="0" borderId="0" xfId="65" applyFont="1" applyAlignment="1" applyProtection="1">
      <alignment horizontal="center" vertical="top" wrapText="1"/>
      <protection locked="0"/>
    </xf>
    <xf numFmtId="38" fontId="16" fillId="0" borderId="0" xfId="53" applyFont="1" applyFill="1" applyBorder="1" applyAlignment="1" applyProtection="1">
      <alignment vertical="top" wrapText="1"/>
      <protection locked="0"/>
    </xf>
    <xf numFmtId="38" fontId="11" fillId="0" borderId="230" xfId="53" applyFont="1" applyFill="1" applyBorder="1" applyAlignment="1" applyProtection="1">
      <alignment horizontal="left" vertical="center" wrapText="1"/>
      <protection locked="0"/>
    </xf>
    <xf numFmtId="38" fontId="3" fillId="0" borderId="231" xfId="53" applyFont="1" applyFill="1" applyBorder="1" applyAlignment="1" applyProtection="1">
      <alignment horizontal="center" vertical="center"/>
      <protection locked="0"/>
    </xf>
    <xf numFmtId="38" fontId="3" fillId="0" borderId="217" xfId="53" applyFont="1" applyFill="1" applyBorder="1" applyAlignment="1" applyProtection="1">
      <alignment horizontal="center" vertical="center"/>
      <protection locked="0"/>
    </xf>
    <xf numFmtId="38" fontId="3" fillId="0" borderId="47" xfId="53" applyFont="1" applyFill="1" applyBorder="1" applyAlignment="1" applyProtection="1">
      <alignment horizontal="center" vertical="center"/>
      <protection locked="0"/>
    </xf>
    <xf numFmtId="38" fontId="3" fillId="0" borderId="0" xfId="53" applyFont="1" applyFill="1" applyBorder="1" applyAlignment="1" applyProtection="1">
      <alignment horizontal="center" vertical="center"/>
      <protection locked="0"/>
    </xf>
    <xf numFmtId="38" fontId="3" fillId="0" borderId="242" xfId="53" applyFont="1" applyFill="1" applyBorder="1" applyAlignment="1" applyProtection="1">
      <alignment horizontal="center" vertical="center"/>
      <protection locked="0"/>
    </xf>
    <xf numFmtId="38" fontId="3" fillId="0" borderId="38" xfId="53" applyFont="1" applyFill="1" applyBorder="1" applyAlignment="1" applyProtection="1">
      <alignment horizontal="center" vertical="center"/>
      <protection locked="0"/>
    </xf>
    <xf numFmtId="38" fontId="3" fillId="0" borderId="118" xfId="53" applyFont="1" applyFill="1" applyBorder="1" applyAlignment="1" applyProtection="1">
      <alignment horizontal="center" vertical="center"/>
      <protection locked="0"/>
    </xf>
    <xf numFmtId="38" fontId="3" fillId="0" borderId="119" xfId="53" applyFont="1" applyFill="1" applyBorder="1" applyAlignment="1" applyProtection="1">
      <alignment horizontal="center" vertical="center"/>
      <protection locked="0"/>
    </xf>
    <xf numFmtId="38" fontId="3" fillId="34" borderId="233" xfId="53" applyFont="1" applyFill="1" applyBorder="1" applyAlignment="1" applyProtection="1">
      <alignment horizontal="center" vertical="center"/>
      <protection locked="0"/>
    </xf>
    <xf numFmtId="38" fontId="3" fillId="34" borderId="234" xfId="53" applyFont="1" applyFill="1" applyBorder="1" applyAlignment="1" applyProtection="1">
      <alignment horizontal="center" vertical="center"/>
      <protection locked="0"/>
    </xf>
    <xf numFmtId="0" fontId="7" fillId="34" borderId="234" xfId="65" applyFill="1" applyBorder="1" applyAlignment="1" applyProtection="1">
      <alignment horizontal="center" vertical="center"/>
      <protection locked="0"/>
    </xf>
    <xf numFmtId="0" fontId="7" fillId="34" borderId="235" xfId="65" applyFill="1" applyBorder="1" applyAlignment="1" applyProtection="1">
      <alignment horizontal="center" vertical="center"/>
      <protection locked="0"/>
    </xf>
    <xf numFmtId="38" fontId="3" fillId="34" borderId="35" xfId="53" applyFont="1" applyFill="1" applyBorder="1" applyAlignment="1" applyProtection="1">
      <alignment horizontal="center" vertical="center" wrapText="1"/>
      <protection locked="0"/>
    </xf>
    <xf numFmtId="38" fontId="3" fillId="34" borderId="42" xfId="53" applyFont="1" applyFill="1" applyBorder="1" applyAlignment="1" applyProtection="1">
      <alignment horizontal="center" vertical="center" wrapText="1"/>
      <protection locked="0"/>
    </xf>
    <xf numFmtId="38" fontId="3" fillId="34" borderId="48" xfId="53" applyFont="1" applyFill="1" applyBorder="1" applyAlignment="1" applyProtection="1">
      <alignment horizontal="center" vertical="center" wrapText="1"/>
      <protection locked="0"/>
    </xf>
    <xf numFmtId="38" fontId="3" fillId="34" borderId="0" xfId="53" applyFont="1" applyFill="1" applyBorder="1" applyAlignment="1" applyProtection="1">
      <alignment horizontal="center" vertical="center" wrapText="1"/>
      <protection locked="0"/>
    </xf>
    <xf numFmtId="38" fontId="3" fillId="34" borderId="229" xfId="53" applyFont="1" applyFill="1" applyBorder="1" applyAlignment="1" applyProtection="1">
      <alignment horizontal="center" vertical="center" wrapText="1"/>
      <protection locked="0"/>
    </xf>
    <xf numFmtId="38" fontId="3" fillId="34" borderId="119" xfId="53" applyFont="1" applyFill="1" applyBorder="1" applyAlignment="1" applyProtection="1">
      <alignment horizontal="center" vertical="center" wrapText="1"/>
      <protection locked="0"/>
    </xf>
    <xf numFmtId="190" fontId="3" fillId="34" borderId="35" xfId="53" applyNumberFormat="1" applyFont="1" applyFill="1" applyBorder="1" applyAlignment="1" applyProtection="1">
      <alignment horizontal="center" vertical="center" wrapText="1"/>
      <protection locked="0"/>
    </xf>
    <xf numFmtId="190" fontId="3" fillId="34" borderId="48" xfId="53" applyNumberFormat="1" applyFont="1" applyFill="1" applyBorder="1" applyAlignment="1" applyProtection="1">
      <alignment horizontal="center" vertical="center" wrapText="1"/>
      <protection locked="0"/>
    </xf>
    <xf numFmtId="190" fontId="3" fillId="34" borderId="229" xfId="53" applyNumberFormat="1" applyFont="1" applyFill="1" applyBorder="1" applyAlignment="1" applyProtection="1">
      <alignment horizontal="center" vertical="center" wrapText="1"/>
      <protection locked="0"/>
    </xf>
    <xf numFmtId="190" fontId="3" fillId="34" borderId="220" xfId="53" applyNumberFormat="1" applyFont="1" applyFill="1" applyBorder="1" applyAlignment="1" applyProtection="1">
      <alignment horizontal="center" vertical="center" wrapText="1"/>
      <protection locked="0"/>
    </xf>
    <xf numFmtId="190" fontId="3" fillId="34" borderId="237" xfId="53" applyNumberFormat="1" applyFont="1" applyFill="1" applyBorder="1" applyAlignment="1" applyProtection="1">
      <alignment horizontal="center" vertical="center" wrapText="1"/>
      <protection locked="0"/>
    </xf>
    <xf numFmtId="190" fontId="3" fillId="34" borderId="37" xfId="53" applyNumberFormat="1" applyFont="1" applyFill="1" applyBorder="1" applyAlignment="1" applyProtection="1">
      <alignment horizontal="center" vertical="center" wrapText="1"/>
      <protection locked="0"/>
    </xf>
    <xf numFmtId="190" fontId="3" fillId="34" borderId="47" xfId="53" applyNumberFormat="1" applyFont="1" applyFill="1" applyBorder="1" applyAlignment="1" applyProtection="1">
      <alignment horizontal="center" vertical="center" wrapText="1"/>
      <protection locked="0"/>
    </xf>
    <xf numFmtId="190" fontId="3" fillId="34" borderId="45" xfId="53" applyNumberFormat="1" applyFont="1" applyFill="1" applyBorder="1" applyAlignment="1" applyProtection="1">
      <alignment horizontal="center" vertical="center" wrapText="1"/>
      <protection locked="0"/>
    </xf>
    <xf numFmtId="0" fontId="7" fillId="34" borderId="238" xfId="65" applyFill="1" applyBorder="1" applyAlignment="1" applyProtection="1">
      <alignment horizontal="center" vertical="center" wrapText="1"/>
      <protection locked="0"/>
    </xf>
    <xf numFmtId="0" fontId="7" fillId="34" borderId="120" xfId="65" applyFill="1" applyBorder="1" applyAlignment="1" applyProtection="1">
      <alignment horizontal="center" vertical="center" wrapText="1"/>
      <protection locked="0"/>
    </xf>
    <xf numFmtId="38" fontId="3" fillId="0" borderId="40" xfId="53" applyFont="1" applyFill="1" applyBorder="1" applyAlignment="1" applyProtection="1">
      <alignment horizontal="center" vertical="center"/>
      <protection locked="0"/>
    </xf>
    <xf numFmtId="38" fontId="3" fillId="0" borderId="41" xfId="53" applyFont="1" applyFill="1" applyBorder="1" applyAlignment="1" applyProtection="1" quotePrefix="1">
      <alignment horizontal="center" vertical="center"/>
      <protection locked="0"/>
    </xf>
    <xf numFmtId="38" fontId="3" fillId="0" borderId="118" xfId="53" applyFont="1" applyFill="1" applyBorder="1" applyAlignment="1" applyProtection="1" quotePrefix="1">
      <alignment horizontal="center" vertical="center"/>
      <protection locked="0"/>
    </xf>
    <xf numFmtId="38" fontId="3" fillId="0" borderId="218" xfId="53" applyFont="1" applyFill="1" applyBorder="1" applyAlignment="1" applyProtection="1" quotePrefix="1">
      <alignment horizontal="center" vertical="center"/>
      <protection locked="0"/>
    </xf>
    <xf numFmtId="38" fontId="3" fillId="0" borderId="39" xfId="53" applyFont="1" applyFill="1" applyBorder="1" applyAlignment="1" applyProtection="1" quotePrefix="1">
      <alignment horizontal="center" vertical="center"/>
      <protection locked="0"/>
    </xf>
    <xf numFmtId="38" fontId="3" fillId="0" borderId="219" xfId="53" applyFont="1" applyFill="1" applyBorder="1" applyAlignment="1" applyProtection="1" quotePrefix="1">
      <alignment horizontal="center" vertical="center"/>
      <protection locked="0"/>
    </xf>
    <xf numFmtId="38" fontId="3" fillId="0" borderId="42" xfId="53" applyFont="1" applyFill="1" applyBorder="1" applyAlignment="1" applyProtection="1">
      <alignment horizontal="center" vertical="center"/>
      <protection locked="0"/>
    </xf>
    <xf numFmtId="0" fontId="7" fillId="0" borderId="41" xfId="65" applyBorder="1" applyAlignment="1" applyProtection="1">
      <alignment horizontal="center" vertical="center"/>
      <protection locked="0"/>
    </xf>
    <xf numFmtId="0" fontId="7" fillId="0" borderId="119" xfId="65" applyBorder="1" applyAlignment="1" applyProtection="1">
      <alignment horizontal="center" vertical="center"/>
      <protection locked="0"/>
    </xf>
    <xf numFmtId="0" fontId="7" fillId="0" borderId="218" xfId="65" applyBorder="1" applyAlignment="1" applyProtection="1">
      <alignment horizontal="center" vertical="center"/>
      <protection locked="0"/>
    </xf>
    <xf numFmtId="38" fontId="3" fillId="0" borderId="37" xfId="53" applyFont="1" applyFill="1" applyBorder="1" applyAlignment="1" applyProtection="1" quotePrefix="1">
      <alignment horizontal="center" vertical="center"/>
      <protection locked="0"/>
    </xf>
    <xf numFmtId="190" fontId="3" fillId="12" borderId="40" xfId="53" applyNumberFormat="1" applyFont="1" applyFill="1" applyBorder="1" applyAlignment="1" applyProtection="1">
      <alignment horizontal="center" vertical="center" wrapText="1"/>
      <protection locked="0"/>
    </xf>
    <xf numFmtId="190" fontId="3" fillId="12" borderId="42" xfId="53" applyNumberFormat="1" applyFont="1" applyFill="1" applyBorder="1" applyAlignment="1" applyProtection="1">
      <alignment horizontal="center" vertical="center" wrapText="1"/>
      <protection locked="0"/>
    </xf>
    <xf numFmtId="190" fontId="3" fillId="12" borderId="43" xfId="53" applyNumberFormat="1" applyFont="1" applyFill="1" applyBorder="1" applyAlignment="1" applyProtection="1">
      <alignment horizontal="center" vertical="center" wrapText="1"/>
      <protection locked="0"/>
    </xf>
    <xf numFmtId="190" fontId="3" fillId="12" borderId="38" xfId="53" applyNumberFormat="1" applyFont="1" applyFill="1" applyBorder="1" applyAlignment="1" applyProtection="1">
      <alignment horizontal="center" vertical="center" wrapText="1"/>
      <protection locked="0"/>
    </xf>
    <xf numFmtId="190" fontId="3" fillId="12" borderId="0" xfId="53" applyNumberFormat="1" applyFont="1" applyFill="1" applyBorder="1" applyAlignment="1" applyProtection="1">
      <alignment horizontal="center" vertical="center" wrapText="1"/>
      <protection locked="0"/>
    </xf>
    <xf numFmtId="190" fontId="3" fillId="12" borderId="46" xfId="53" applyNumberFormat="1" applyFont="1" applyFill="1" applyBorder="1" applyAlignment="1" applyProtection="1">
      <alignment horizontal="center" vertical="center" wrapText="1"/>
      <protection locked="0"/>
    </xf>
    <xf numFmtId="0" fontId="7" fillId="12" borderId="118" xfId="65" applyFill="1" applyBorder="1" applyAlignment="1" applyProtection="1">
      <alignment horizontal="center" vertical="center" wrapText="1"/>
      <protection locked="0"/>
    </xf>
    <xf numFmtId="0" fontId="7" fillId="12" borderId="119" xfId="65" applyFill="1" applyBorder="1" applyAlignment="1" applyProtection="1">
      <alignment horizontal="center" vertical="center" wrapText="1"/>
      <protection locked="0"/>
    </xf>
    <xf numFmtId="0" fontId="7" fillId="12" borderId="220" xfId="65" applyFill="1" applyBorder="1" applyAlignment="1" applyProtection="1">
      <alignment horizontal="center" vertical="center" wrapText="1"/>
      <protection locked="0"/>
    </xf>
    <xf numFmtId="202" fontId="11" fillId="0" borderId="222" xfId="43" applyNumberFormat="1" applyFont="1" applyFill="1" applyBorder="1" applyAlignment="1" applyProtection="1" quotePrefix="1">
      <alignment horizontal="center" vertical="center"/>
      <protection/>
    </xf>
    <xf numFmtId="202" fontId="11" fillId="0" borderId="119" xfId="43" applyNumberFormat="1" applyFont="1" applyFill="1" applyBorder="1" applyAlignment="1" applyProtection="1" quotePrefix="1">
      <alignment horizontal="center" vertical="center"/>
      <protection/>
    </xf>
    <xf numFmtId="38" fontId="3" fillId="0" borderId="228" xfId="53" applyFont="1" applyFill="1" applyBorder="1" applyAlignment="1" applyProtection="1">
      <alignment horizontal="center" vertical="center"/>
      <protection locked="0"/>
    </xf>
    <xf numFmtId="38" fontId="3" fillId="0" borderId="120" xfId="53" applyFont="1" applyFill="1" applyBorder="1" applyAlignment="1" applyProtection="1">
      <alignment horizontal="center" vertical="center"/>
      <protection locked="0"/>
    </xf>
    <xf numFmtId="38" fontId="3" fillId="0" borderId="232" xfId="53" applyFont="1" applyFill="1" applyBorder="1" applyAlignment="1" applyProtection="1">
      <alignment horizontal="center" vertical="center"/>
      <protection locked="0"/>
    </xf>
    <xf numFmtId="38" fontId="3" fillId="0" borderId="45" xfId="53" applyFont="1" applyFill="1" applyBorder="1" applyAlignment="1" applyProtection="1">
      <alignment horizontal="center" vertical="center"/>
      <protection locked="0"/>
    </xf>
    <xf numFmtId="38" fontId="3" fillId="12" borderId="233" xfId="53" applyFont="1" applyFill="1" applyBorder="1" applyAlignment="1" applyProtection="1">
      <alignment horizontal="center" vertical="center"/>
      <protection locked="0"/>
    </xf>
    <xf numFmtId="38" fontId="3" fillId="12" borderId="234" xfId="53" applyFont="1" applyFill="1" applyBorder="1" applyAlignment="1" applyProtection="1">
      <alignment horizontal="center" vertical="center"/>
      <protection locked="0"/>
    </xf>
    <xf numFmtId="38" fontId="3" fillId="12" borderId="235" xfId="53" applyFont="1" applyFill="1" applyBorder="1" applyAlignment="1" applyProtection="1">
      <alignment horizontal="center" vertical="center"/>
      <protection locked="0"/>
    </xf>
    <xf numFmtId="0" fontId="7" fillId="12" borderId="234" xfId="65" applyFill="1" applyBorder="1" applyAlignment="1" applyProtection="1">
      <alignment horizontal="center" vertical="center"/>
      <protection locked="0"/>
    </xf>
    <xf numFmtId="0" fontId="7" fillId="12" borderId="235" xfId="65" applyFill="1" applyBorder="1" applyAlignment="1" applyProtection="1">
      <alignment horizontal="center" vertical="center"/>
      <protection locked="0"/>
    </xf>
    <xf numFmtId="38" fontId="3" fillId="12" borderId="35" xfId="53" applyFont="1" applyFill="1" applyBorder="1" applyAlignment="1" applyProtection="1">
      <alignment horizontal="center" vertical="center" wrapText="1"/>
      <protection locked="0"/>
    </xf>
    <xf numFmtId="38" fontId="3" fillId="12" borderId="42" xfId="53" applyFont="1" applyFill="1" applyBorder="1" applyAlignment="1" applyProtection="1">
      <alignment horizontal="center" vertical="center" wrapText="1"/>
      <protection locked="0"/>
    </xf>
    <xf numFmtId="38" fontId="3" fillId="12" borderId="36" xfId="53" applyFont="1" applyFill="1" applyBorder="1" applyAlignment="1" applyProtection="1">
      <alignment horizontal="center" vertical="center" wrapText="1"/>
      <protection locked="0"/>
    </xf>
    <xf numFmtId="38" fontId="3" fillId="12" borderId="48" xfId="53" applyFont="1" applyFill="1" applyBorder="1" applyAlignment="1" applyProtection="1">
      <alignment horizontal="center" vertical="center" wrapText="1"/>
      <protection locked="0"/>
    </xf>
    <xf numFmtId="38" fontId="3" fillId="12" borderId="0" xfId="53" applyFont="1" applyFill="1" applyBorder="1" applyAlignment="1" applyProtection="1">
      <alignment horizontal="center" vertical="center" wrapText="1"/>
      <protection locked="0"/>
    </xf>
    <xf numFmtId="38" fontId="3" fillId="12" borderId="49" xfId="53" applyFont="1" applyFill="1" applyBorder="1" applyAlignment="1" applyProtection="1">
      <alignment horizontal="center" vertical="center" wrapText="1"/>
      <protection locked="0"/>
    </xf>
    <xf numFmtId="38" fontId="3" fillId="12" borderId="229" xfId="53" applyFont="1" applyFill="1" applyBorder="1" applyAlignment="1" applyProtection="1">
      <alignment horizontal="center" vertical="center" wrapText="1"/>
      <protection locked="0"/>
    </xf>
    <xf numFmtId="38" fontId="3" fillId="12" borderId="119" xfId="53" applyFont="1" applyFill="1" applyBorder="1" applyAlignment="1" applyProtection="1">
      <alignment horizontal="center" vertical="center" wrapText="1"/>
      <protection locked="0"/>
    </xf>
    <xf numFmtId="38" fontId="3" fillId="12" borderId="236" xfId="53" applyFont="1" applyFill="1" applyBorder="1" applyAlignment="1" applyProtection="1">
      <alignment horizontal="center" vertical="center" wrapText="1"/>
      <protection locked="0"/>
    </xf>
    <xf numFmtId="190" fontId="3" fillId="12" borderId="35" xfId="53" applyNumberFormat="1" applyFont="1" applyFill="1" applyBorder="1" applyAlignment="1" applyProtection="1">
      <alignment horizontal="center" vertical="center" wrapText="1"/>
      <protection locked="0"/>
    </xf>
    <xf numFmtId="190" fontId="3" fillId="12" borderId="48" xfId="53" applyNumberFormat="1" applyFont="1" applyFill="1" applyBorder="1" applyAlignment="1" applyProtection="1">
      <alignment horizontal="center" vertical="center" wrapText="1"/>
      <protection locked="0"/>
    </xf>
    <xf numFmtId="190" fontId="3" fillId="12" borderId="229" xfId="53" applyNumberFormat="1" applyFont="1" applyFill="1" applyBorder="1" applyAlignment="1" applyProtection="1">
      <alignment horizontal="center" vertical="center" wrapText="1"/>
      <protection locked="0"/>
    </xf>
    <xf numFmtId="190" fontId="3" fillId="12" borderId="119" xfId="53" applyNumberFormat="1" applyFont="1" applyFill="1" applyBorder="1" applyAlignment="1" applyProtection="1">
      <alignment horizontal="center" vertical="center" wrapText="1"/>
      <protection locked="0"/>
    </xf>
    <xf numFmtId="190" fontId="3" fillId="12" borderId="220" xfId="53" applyNumberFormat="1" applyFont="1" applyFill="1" applyBorder="1" applyAlignment="1" applyProtection="1">
      <alignment horizontal="center" vertical="center" wrapText="1"/>
      <protection locked="0"/>
    </xf>
    <xf numFmtId="190" fontId="3" fillId="12" borderId="237" xfId="53" applyNumberFormat="1" applyFont="1" applyFill="1" applyBorder="1" applyAlignment="1" applyProtection="1">
      <alignment horizontal="center" vertical="center" wrapText="1"/>
      <protection locked="0"/>
    </xf>
    <xf numFmtId="190" fontId="3" fillId="12" borderId="37" xfId="53" applyNumberFormat="1" applyFont="1" applyFill="1" applyBorder="1" applyAlignment="1" applyProtection="1">
      <alignment horizontal="center" vertical="center" wrapText="1"/>
      <protection locked="0"/>
    </xf>
    <xf numFmtId="190" fontId="3" fillId="12" borderId="47" xfId="53" applyNumberFormat="1" applyFont="1" applyFill="1" applyBorder="1" applyAlignment="1" applyProtection="1">
      <alignment horizontal="center" vertical="center" wrapText="1"/>
      <protection locked="0"/>
    </xf>
    <xf numFmtId="190" fontId="3" fillId="12" borderId="45" xfId="53" applyNumberFormat="1" applyFont="1" applyFill="1" applyBorder="1" applyAlignment="1" applyProtection="1">
      <alignment horizontal="center" vertical="center" wrapText="1"/>
      <protection locked="0"/>
    </xf>
    <xf numFmtId="0" fontId="7" fillId="12" borderId="238" xfId="65" applyFill="1" applyBorder="1" applyAlignment="1" applyProtection="1">
      <alignment horizontal="center" vertical="center" wrapText="1"/>
      <protection locked="0"/>
    </xf>
    <xf numFmtId="0" fontId="7" fillId="12" borderId="120" xfId="65"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1">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8"/>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71</xdr:row>
      <xdr:rowOff>19050</xdr:rowOff>
    </xdr:from>
    <xdr:to>
      <xdr:col>4</xdr:col>
      <xdr:colOff>238125</xdr:colOff>
      <xdr:row>76</xdr:row>
      <xdr:rowOff>133350</xdr:rowOff>
    </xdr:to>
    <xdr:sp>
      <xdr:nvSpPr>
        <xdr:cNvPr id="1" name="右中かっこ 1"/>
        <xdr:cNvSpPr>
          <a:spLocks/>
        </xdr:cNvSpPr>
      </xdr:nvSpPr>
      <xdr:spPr>
        <a:xfrm>
          <a:off x="3038475" y="13849350"/>
          <a:ext cx="161925" cy="1066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33</xdr:row>
      <xdr:rowOff>390525</xdr:rowOff>
    </xdr:from>
    <xdr:to>
      <xdr:col>7</xdr:col>
      <xdr:colOff>1390650</xdr:colOff>
      <xdr:row>37</xdr:row>
      <xdr:rowOff>19050</xdr:rowOff>
    </xdr:to>
    <xdr:sp>
      <xdr:nvSpPr>
        <xdr:cNvPr id="1" name="左中かっこ 1"/>
        <xdr:cNvSpPr>
          <a:spLocks/>
        </xdr:cNvSpPr>
      </xdr:nvSpPr>
      <xdr:spPr>
        <a:xfrm>
          <a:off x="7791450" y="13658850"/>
          <a:ext cx="1371600" cy="838200"/>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31</xdr:row>
      <xdr:rowOff>0</xdr:rowOff>
    </xdr:from>
    <xdr:to>
      <xdr:col>20</xdr:col>
      <xdr:colOff>9525</xdr:colOff>
      <xdr:row>31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336125" y="12392025"/>
          <a:ext cx="9525" cy="9525"/>
        </a:xfrm>
        <a:prstGeom prst="rect">
          <a:avLst/>
        </a:prstGeom>
        <a:noFill/>
        <a:ln w="9525" cmpd="sng">
          <a:noFill/>
        </a:ln>
      </xdr:spPr>
    </xdr:pic>
    <xdr:clientData/>
  </xdr:twoCellAnchor>
  <xdr:twoCellAnchor editAs="oneCell">
    <xdr:from>
      <xdr:col>20</xdr:col>
      <xdr:colOff>19050</xdr:colOff>
      <xdr:row>31</xdr:row>
      <xdr:rowOff>0</xdr:rowOff>
    </xdr:from>
    <xdr:to>
      <xdr:col>20</xdr:col>
      <xdr:colOff>28575</xdr:colOff>
      <xdr:row>31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355175" y="12392025"/>
          <a:ext cx="9525" cy="9525"/>
        </a:xfrm>
        <a:prstGeom prst="rect">
          <a:avLst/>
        </a:prstGeom>
        <a:noFill/>
        <a:ln w="9525" cmpd="sng">
          <a:noFill/>
        </a:ln>
      </xdr:spPr>
    </xdr:pic>
    <xdr:clientData/>
  </xdr:twoCellAnchor>
  <xdr:twoCellAnchor editAs="oneCell">
    <xdr:from>
      <xdr:col>20</xdr:col>
      <xdr:colOff>38100</xdr:colOff>
      <xdr:row>31</xdr:row>
      <xdr:rowOff>0</xdr:rowOff>
    </xdr:from>
    <xdr:to>
      <xdr:col>20</xdr:col>
      <xdr:colOff>38100</xdr:colOff>
      <xdr:row>31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374225" y="1239202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31</xdr:row>
      <xdr:rowOff>0</xdr:rowOff>
    </xdr:from>
    <xdr:to>
      <xdr:col>11</xdr:col>
      <xdr:colOff>9525</xdr:colOff>
      <xdr:row>31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xdr:from>
      <xdr:col>4</xdr:col>
      <xdr:colOff>438150</xdr:colOff>
      <xdr:row>34</xdr:row>
      <xdr:rowOff>9525</xdr:rowOff>
    </xdr:from>
    <xdr:to>
      <xdr:col>4</xdr:col>
      <xdr:colOff>1057275</xdr:colOff>
      <xdr:row>37</xdr:row>
      <xdr:rowOff>19050</xdr:rowOff>
    </xdr:to>
    <xdr:sp>
      <xdr:nvSpPr>
        <xdr:cNvPr id="4" name="左中かっこ 6"/>
        <xdr:cNvSpPr>
          <a:spLocks/>
        </xdr:cNvSpPr>
      </xdr:nvSpPr>
      <xdr:spPr>
        <a:xfrm>
          <a:off x="4905375" y="10429875"/>
          <a:ext cx="619125" cy="1038225"/>
        </a:xfrm>
        <a:prstGeom prst="leftBrace">
          <a:avLst>
            <a:gd name="adj" fmla="val -4427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42</xdr:row>
      <xdr:rowOff>19050</xdr:rowOff>
    </xdr:from>
    <xdr:to>
      <xdr:col>7</xdr:col>
      <xdr:colOff>971550</xdr:colOff>
      <xdr:row>65</xdr:row>
      <xdr:rowOff>180975</xdr:rowOff>
    </xdr:to>
    <xdr:sp>
      <xdr:nvSpPr>
        <xdr:cNvPr id="5" name="テキスト ボックス 7"/>
        <xdr:cNvSpPr txBox="1">
          <a:spLocks noChangeArrowheads="1"/>
        </xdr:cNvSpPr>
      </xdr:nvSpPr>
      <xdr:spPr>
        <a:xfrm>
          <a:off x="76200" y="12668250"/>
          <a:ext cx="9163050" cy="4467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＜経費明細総括表＞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（注１）各補助事業者の経費明細表の合計と一致するように記載してください。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（注２）本事業全体の経費支出を記載してください。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（注３）補助金交付申請額の上限は採択された金額です。</a:t>
          </a:r>
          <a:r>
            <a:rPr lang="en-US" cap="none" sz="1100" b="0" i="0" u="none" baseline="0">
              <a:solidFill>
                <a:srgbClr val="000000"/>
              </a:solidFill>
              <a:latin typeface="Calibri"/>
              <a:ea typeface="Calibri"/>
              <a:cs typeface="Calibri"/>
            </a:rPr>
            <a:t>&lt;</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（注１）応募申請段階で記載した内容及び金額が全て認められたということではありませんので、ご注意ください。本申請書において、内容及び金額を精査させていただきます。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費目を使用する場合、事業に要する経費欄、補助対象経費欄及び補助金交付申請額欄に数字を必ず記入してください。また、「機械装置費」以外の経費については、補助金の総額で５００万円（税抜き）までを補助上限額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（注３）「成長分野型」「一般型」は、「機械装置費」の補助対象経費で単価５０万円（税抜き）以上を計上する必要があります。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（注４）「小規模事業者型」で「機械装置費」を計上する場合、補助対象経費で総額５０万円（税抜き）未満に限り対象とします。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（注５）「補助事業に要する経費」とは、当該事業を遂行するために必要な経費を意味し、ここでは消費税を加算した税込み金額と消費税を抜いた税抜き金額を併記してください。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６）「補助対象経費（税抜き）」とは、「補助事業に要する経費（税込み）」のうちで補助対象となる経費について、消費税を差し引いた金額を記載してください。なお、本事業で使用する汎用性があり目的外使用になり得るもの（例えば、補助事業に関わる事務用のパソコン、プリンタなどの購入やインターネット回線使用料）については「補助事業に要する経費（税込み）」となりますが、補助対象外であるため、「補助対象経費（税抜き）」には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７）「補助金交付申請額（税抜き）」は、「補助対象経費（税抜き）」のうちで補助金の交付を希望する額で、その限度は、「補助対象経費」に補助率（２／３）を乗じた額（１円未満は切捨て）をい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（注８）「経費区分」には上限が設定（外注加工費、委託費、知的財産権等関連経費）されているものがありますのでご注意ください。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（注９）設備投資のみで採択された方は「原材料費、直接人件費、外注加工費、委託費、知的財産権等関連経費、雑役務費」は対象経費となりませんのでご注意ください。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資金調達内訳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連携体で申請する場合、事業者ごとに作成してください。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sng" baseline="0">
              <a:solidFill>
                <a:srgbClr val="000000"/>
              </a:solidFill>
              <a:latin typeface="ＭＳ Ｐゴシック"/>
              <a:ea typeface="ＭＳ Ｐゴシック"/>
              <a:cs typeface="ＭＳ Ｐゴシック"/>
            </a:rPr>
            <a:t>補助金の支払は、事業終了後の精算払となりますので、事業実施期間中、補助金相当分の資金を確保する必要があります。</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ile\&#20849;&#26377;&#25991;&#26360;\&#65298;&#27425;&#20107;&#21209;&#20966;&#29702;&#35201;&#38936;&#31561;\&#27096;&#24335;%20&#32076;&#36027;&#25903;&#20986;&#26126;&#32048;&#12288;&#26908;&#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区分変更"/>
      <sheetName val="(４)経費明細 (申請データ)"/>
      <sheetName val="(４)経費明細 (科目合計)"/>
      <sheetName val="原材料費"/>
      <sheetName val="機械装置費"/>
      <sheetName val="技術導入費"/>
      <sheetName val="外注加工費"/>
      <sheetName val="委託費"/>
      <sheetName val="知的財産関連経費"/>
      <sheetName val="運搬費"/>
      <sheetName val="専門家旅費"/>
      <sheetName val="専門家謝金"/>
      <sheetName val="雑役務費"/>
      <sheetName val="対象一覧表"/>
      <sheetName val="総労働時間算定表 (9月)"/>
      <sheetName val="総労働時間算定表 (10月)"/>
      <sheetName val="総労働時間算定表 (半日)"/>
      <sheetName val="様式第６の別紙２　直接人件費支出明細書 (3)"/>
      <sheetName val="様式第６の別紙２　直接人件費支出明細書 (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91"/>
  <sheetViews>
    <sheetView showGridLines="0" tabSelected="1" view="pageBreakPreview" zoomScale="80" zoomScaleNormal="86" zoomScaleSheetLayoutView="80" zoomScalePageLayoutView="0" workbookViewId="0" topLeftCell="A1">
      <selection activeCell="A1" sqref="A1"/>
    </sheetView>
  </sheetViews>
  <sheetFormatPr defaultColWidth="9.140625" defaultRowHeight="15"/>
  <cols>
    <col min="1" max="1" width="3.421875" style="602" customWidth="1"/>
    <col min="2" max="2" width="19.421875" style="602" customWidth="1"/>
    <col min="3" max="3" width="10.421875" style="602" customWidth="1"/>
    <col min="4" max="4" width="11.140625" style="602" customWidth="1"/>
    <col min="5" max="5" width="14.57421875" style="602" customWidth="1"/>
    <col min="6" max="6" width="14.8515625" style="602" customWidth="1"/>
    <col min="7" max="7" width="3.8515625" style="602" customWidth="1"/>
    <col min="8" max="8" width="14.421875" style="602" customWidth="1"/>
    <col min="9" max="9" width="13.7109375" style="602" customWidth="1"/>
    <col min="10" max="10" width="18.421875" style="602" customWidth="1"/>
    <col min="11" max="11" width="13.421875" style="602" customWidth="1"/>
    <col min="12" max="16384" width="9.00390625" style="602" customWidth="1"/>
  </cols>
  <sheetData>
    <row r="1" spans="1:11" ht="21">
      <c r="A1" s="311"/>
      <c r="B1" s="602" t="s">
        <v>444</v>
      </c>
      <c r="J1" s="602" t="s">
        <v>1033</v>
      </c>
      <c r="K1" s="541">
        <v>41831</v>
      </c>
    </row>
    <row r="2" spans="1:10" ht="21">
      <c r="A2" s="311"/>
      <c r="B2" s="37" t="s">
        <v>213</v>
      </c>
      <c r="I2" s="1013" t="s">
        <v>285</v>
      </c>
      <c r="J2" s="602" t="s">
        <v>337</v>
      </c>
    </row>
    <row r="3" spans="1:10" ht="21">
      <c r="A3" s="311"/>
      <c r="B3" s="602" t="s">
        <v>429</v>
      </c>
      <c r="I3" s="1013" t="s">
        <v>295</v>
      </c>
      <c r="J3" s="602" t="s">
        <v>252</v>
      </c>
    </row>
    <row r="4" spans="1:10" ht="21">
      <c r="A4" s="311"/>
      <c r="B4" s="602" t="s">
        <v>443</v>
      </c>
      <c r="I4" s="23"/>
      <c r="J4" s="602" t="s">
        <v>250</v>
      </c>
    </row>
    <row r="5" spans="1:12" ht="15" customHeight="1" thickBot="1">
      <c r="A5" s="311"/>
      <c r="B5" s="936"/>
      <c r="C5" s="23"/>
      <c r="D5" s="23"/>
      <c r="E5" s="23"/>
      <c r="F5" s="23"/>
      <c r="G5" s="23"/>
      <c r="H5" s="23"/>
      <c r="I5" s="23"/>
      <c r="J5" s="1219" t="s">
        <v>972</v>
      </c>
      <c r="K5" s="1219"/>
      <c r="L5" s="1213"/>
    </row>
    <row r="6" spans="1:12" ht="15" customHeight="1" thickBot="1">
      <c r="A6" s="311"/>
      <c r="B6" s="602" t="s">
        <v>478</v>
      </c>
      <c r="D6" s="602" t="s">
        <v>335</v>
      </c>
      <c r="E6" s="800" t="s">
        <v>359</v>
      </c>
      <c r="F6" s="801"/>
      <c r="H6" s="1"/>
      <c r="J6" s="1220" t="s">
        <v>973</v>
      </c>
      <c r="K6" s="1220"/>
      <c r="L6" s="1213"/>
    </row>
    <row r="7" spans="1:12" ht="15" customHeight="1">
      <c r="A7" s="311"/>
      <c r="E7" s="938"/>
      <c r="F7" s="938"/>
      <c r="G7" s="16"/>
      <c r="H7" s="1"/>
      <c r="J7" s="1221" t="s">
        <v>971</v>
      </c>
      <c r="K7" s="1221"/>
      <c r="L7" s="1213"/>
    </row>
    <row r="8" spans="2:12" ht="15" customHeight="1">
      <c r="B8" s="965" t="s">
        <v>479</v>
      </c>
      <c r="C8" s="965"/>
      <c r="D8" s="965"/>
      <c r="E8" s="965"/>
      <c r="F8" s="965"/>
      <c r="G8" s="965"/>
      <c r="H8" s="965"/>
      <c r="J8" s="1222" t="s">
        <v>254</v>
      </c>
      <c r="K8" s="1222"/>
      <c r="L8" s="1213"/>
    </row>
    <row r="9" spans="2:12" ht="15" customHeight="1">
      <c r="B9" s="34" t="s">
        <v>1032</v>
      </c>
      <c r="C9" s="34"/>
      <c r="D9" s="34"/>
      <c r="E9" s="34"/>
      <c r="F9" s="34"/>
      <c r="G9" s="34"/>
      <c r="H9" s="34"/>
      <c r="J9" s="1223" t="s">
        <v>255</v>
      </c>
      <c r="K9" s="1223"/>
      <c r="L9" s="1214"/>
    </row>
    <row r="10" spans="2:12" ht="15" customHeight="1">
      <c r="B10" s="966" t="s">
        <v>364</v>
      </c>
      <c r="C10" s="34"/>
      <c r="D10" s="34"/>
      <c r="E10" s="34"/>
      <c r="F10" s="34"/>
      <c r="G10" s="34"/>
      <c r="H10" s="34"/>
      <c r="J10" s="1224" t="s">
        <v>256</v>
      </c>
      <c r="K10" s="1224"/>
      <c r="L10" s="1214"/>
    </row>
    <row r="11" spans="2:12" ht="15" customHeight="1">
      <c r="B11" s="966"/>
      <c r="C11" s="34"/>
      <c r="D11" s="34"/>
      <c r="E11" s="34"/>
      <c r="F11" s="34"/>
      <c r="G11" s="34"/>
      <c r="H11" s="34"/>
      <c r="J11" s="1225" t="s">
        <v>257</v>
      </c>
      <c r="K11" s="1225"/>
      <c r="L11" s="751"/>
    </row>
    <row r="12" spans="2:12" ht="15" customHeight="1">
      <c r="B12" s="602" t="s">
        <v>480</v>
      </c>
      <c r="F12" s="938"/>
      <c r="G12" s="938"/>
      <c r="H12" s="1"/>
      <c r="J12" s="1226" t="s">
        <v>258</v>
      </c>
      <c r="K12" s="1226"/>
      <c r="L12" s="1215"/>
    </row>
    <row r="13" spans="2:12" ht="15" customHeight="1" thickBot="1">
      <c r="B13" s="1014"/>
      <c r="C13" s="1014" t="s">
        <v>296</v>
      </c>
      <c r="E13" s="604" t="s">
        <v>437</v>
      </c>
      <c r="F13" s="938"/>
      <c r="G13" s="938"/>
      <c r="H13" s="1"/>
      <c r="J13" s="1227" t="s">
        <v>259</v>
      </c>
      <c r="K13" s="1227"/>
      <c r="L13" s="1213"/>
    </row>
    <row r="14" spans="2:12" ht="15" customHeight="1" thickBot="1">
      <c r="B14" s="1014" t="s">
        <v>299</v>
      </c>
      <c r="C14" s="1014" t="s">
        <v>300</v>
      </c>
      <c r="E14" s="977" t="s">
        <v>294</v>
      </c>
      <c r="F14" s="938"/>
      <c r="G14" s="938"/>
      <c r="H14" s="20" t="str">
        <f>IF(OR($E$14="○",$E$15="○"),"成長分野型",IF(OR($E$18="○",$E$19="○"),"一般型","小規模事業者型"))</f>
        <v>一般型</v>
      </c>
      <c r="J14" s="1230" t="s">
        <v>260</v>
      </c>
      <c r="K14" s="1230"/>
      <c r="L14" s="1213"/>
    </row>
    <row r="15" spans="2:12" ht="15" customHeight="1" thickBot="1">
      <c r="B15" s="1014" t="s">
        <v>303</v>
      </c>
      <c r="C15" s="1014" t="s">
        <v>304</v>
      </c>
      <c r="E15" s="1216" t="s">
        <v>294</v>
      </c>
      <c r="F15" s="938"/>
      <c r="G15" s="938"/>
      <c r="H15" s="1"/>
      <c r="J15" s="1231" t="s">
        <v>262</v>
      </c>
      <c r="K15" s="1231"/>
      <c r="L15" s="1213"/>
    </row>
    <row r="16" spans="6:12" ht="15" customHeight="1">
      <c r="F16" s="938"/>
      <c r="G16" s="938"/>
      <c r="H16" s="1"/>
      <c r="J16" s="1232" t="s">
        <v>261</v>
      </c>
      <c r="K16" s="1232"/>
      <c r="L16" s="1213"/>
    </row>
    <row r="17" spans="2:12" ht="15" customHeight="1" thickBot="1">
      <c r="B17" s="1014"/>
      <c r="C17" s="1014" t="s">
        <v>297</v>
      </c>
      <c r="E17" s="604" t="s">
        <v>438</v>
      </c>
      <c r="F17" s="938"/>
      <c r="G17" s="938"/>
      <c r="H17" s="1"/>
      <c r="J17" s="1233" t="s">
        <v>263</v>
      </c>
      <c r="K17" s="1233"/>
      <c r="L17" s="1213"/>
    </row>
    <row r="18" spans="2:12" ht="15" customHeight="1" thickBot="1">
      <c r="B18" s="1014" t="s">
        <v>299</v>
      </c>
      <c r="C18" s="1014" t="s">
        <v>300</v>
      </c>
      <c r="E18" s="977" t="s">
        <v>319</v>
      </c>
      <c r="F18" s="938"/>
      <c r="G18" s="938"/>
      <c r="H18" s="20" t="str">
        <f>IF(OR($E$14="○",$E$18="○"),"試作開発+設備投資",IF(OR($E$15="○",$E$19="○"),"設備投資","試作開発のみ"))</f>
        <v>試作開発+設備投資</v>
      </c>
      <c r="J18" s="1234" t="s">
        <v>251</v>
      </c>
      <c r="K18" s="1234"/>
      <c r="L18" s="1214"/>
    </row>
    <row r="19" spans="2:12" ht="15" customHeight="1" thickBot="1">
      <c r="B19" s="1014" t="s">
        <v>303</v>
      </c>
      <c r="C19" s="1014" t="s">
        <v>304</v>
      </c>
      <c r="E19" s="1216" t="s">
        <v>294</v>
      </c>
      <c r="F19" s="938"/>
      <c r="G19" s="938"/>
      <c r="H19" s="1"/>
      <c r="J19" s="1232" t="s">
        <v>253</v>
      </c>
      <c r="K19" s="1232"/>
      <c r="L19" s="1213"/>
    </row>
    <row r="20" spans="6:12" ht="15" customHeight="1">
      <c r="F20" s="938"/>
      <c r="G20" s="938"/>
      <c r="H20" s="1"/>
      <c r="J20" s="1228" t="s">
        <v>286</v>
      </c>
      <c r="K20" s="1228"/>
      <c r="L20" s="1213"/>
    </row>
    <row r="21" spans="2:12" ht="15" customHeight="1" thickBot="1">
      <c r="B21" s="1014"/>
      <c r="C21" s="1014" t="s">
        <v>298</v>
      </c>
      <c r="E21" s="604" t="s">
        <v>438</v>
      </c>
      <c r="F21" s="938"/>
      <c r="G21" s="938"/>
      <c r="H21" s="1"/>
      <c r="J21" s="1229" t="s">
        <v>283</v>
      </c>
      <c r="K21" s="1229"/>
      <c r="L21" s="1213"/>
    </row>
    <row r="22" spans="2:8" ht="15" customHeight="1" thickBot="1">
      <c r="B22" s="1014" t="s">
        <v>301</v>
      </c>
      <c r="C22" s="1014" t="s">
        <v>302</v>
      </c>
      <c r="E22" s="1216" t="s">
        <v>294</v>
      </c>
      <c r="F22" s="938"/>
      <c r="G22" s="938"/>
      <c r="H22" s="1"/>
    </row>
    <row r="23" spans="2:8" ht="15" customHeight="1">
      <c r="B23" s="1014"/>
      <c r="C23" s="1014"/>
      <c r="D23" s="1014"/>
      <c r="E23" s="1014"/>
      <c r="F23" s="938"/>
      <c r="G23" s="938"/>
      <c r="H23" s="1"/>
    </row>
    <row r="24" spans="2:14" ht="15" customHeight="1">
      <c r="B24" s="1014" t="s">
        <v>481</v>
      </c>
      <c r="C24" s="1014"/>
      <c r="D24" s="1014"/>
      <c r="E24" s="978" t="s">
        <v>442</v>
      </c>
      <c r="F24" s="937"/>
      <c r="G24" s="938"/>
      <c r="H24" s="1"/>
      <c r="N24" s="570"/>
    </row>
    <row r="25" spans="2:8" ht="15" customHeight="1">
      <c r="B25" s="1014"/>
      <c r="C25" s="1014"/>
      <c r="D25" s="1014"/>
      <c r="E25" s="1014"/>
      <c r="F25" s="938"/>
      <c r="G25" s="938"/>
      <c r="H25" s="1"/>
    </row>
    <row r="26" spans="2:8" ht="15" customHeight="1">
      <c r="B26" s="1014" t="s">
        <v>482</v>
      </c>
      <c r="C26" s="1014"/>
      <c r="D26" s="1014"/>
      <c r="E26" s="1014"/>
      <c r="F26" s="979" t="s">
        <v>325</v>
      </c>
      <c r="G26" s="937"/>
      <c r="H26" s="1"/>
    </row>
    <row r="27" spans="2:8" ht="15" customHeight="1">
      <c r="B27" s="1014"/>
      <c r="C27" s="1014"/>
      <c r="D27" s="1014"/>
      <c r="E27" s="1014"/>
      <c r="F27" s="979" t="s">
        <v>280</v>
      </c>
      <c r="G27" s="937"/>
      <c r="H27" s="1"/>
    </row>
    <row r="28" spans="2:8" ht="15" customHeight="1">
      <c r="B28" s="1014" t="s">
        <v>431</v>
      </c>
      <c r="C28" s="1014"/>
      <c r="D28" s="1014"/>
      <c r="E28" s="1014"/>
      <c r="F28" s="980"/>
      <c r="G28" s="938"/>
      <c r="H28" s="1"/>
    </row>
    <row r="29" ht="15" customHeight="1">
      <c r="B29" s="602" t="s">
        <v>483</v>
      </c>
    </row>
    <row r="30" ht="15" customHeight="1"/>
    <row r="31" spans="2:6" ht="15" customHeight="1">
      <c r="B31" s="602" t="s">
        <v>432</v>
      </c>
      <c r="F31" s="538"/>
    </row>
    <row r="32" ht="15" customHeight="1">
      <c r="B32" s="602" t="s">
        <v>484</v>
      </c>
    </row>
    <row r="33" ht="15" customHeight="1">
      <c r="B33" s="602" t="s">
        <v>434</v>
      </c>
    </row>
    <row r="34" ht="15" customHeight="1">
      <c r="B34" s="602" t="s">
        <v>433</v>
      </c>
    </row>
    <row r="35" ht="15" customHeight="1">
      <c r="B35" s="602" t="s">
        <v>485</v>
      </c>
    </row>
    <row r="36" ht="15" customHeight="1"/>
    <row r="37" ht="15" customHeight="1">
      <c r="B37" s="1200" t="s">
        <v>435</v>
      </c>
    </row>
    <row r="38" ht="15" customHeight="1"/>
    <row r="39" ht="15" customHeight="1">
      <c r="B39" s="85" t="s">
        <v>436</v>
      </c>
    </row>
    <row r="40" ht="15" customHeight="1">
      <c r="B40" s="85" t="s">
        <v>216</v>
      </c>
    </row>
    <row r="41" ht="15" customHeight="1"/>
    <row r="42" spans="2:3" ht="15" customHeight="1">
      <c r="B42" s="598" t="s">
        <v>242</v>
      </c>
      <c r="C42" s="1199" t="s">
        <v>997</v>
      </c>
    </row>
    <row r="43" ht="15" customHeight="1"/>
    <row r="44" spans="2:10" ht="15" customHeight="1">
      <c r="B44" s="1200" t="s">
        <v>209</v>
      </c>
      <c r="C44" s="85" t="s">
        <v>990</v>
      </c>
      <c r="J44" s="312"/>
    </row>
    <row r="45" spans="2:10" ht="15" customHeight="1">
      <c r="B45" s="1199" t="s">
        <v>991</v>
      </c>
      <c r="C45" s="85"/>
      <c r="J45" s="312"/>
    </row>
    <row r="46" spans="2:10" ht="15" customHeight="1">
      <c r="B46" s="1200" t="s">
        <v>210</v>
      </c>
      <c r="C46" s="602" t="s">
        <v>988</v>
      </c>
      <c r="J46" s="312"/>
    </row>
    <row r="47" spans="2:10" ht="15" customHeight="1">
      <c r="B47" s="1199" t="s">
        <v>992</v>
      </c>
      <c r="C47" s="602" t="s">
        <v>989</v>
      </c>
      <c r="J47" s="312"/>
    </row>
    <row r="48" spans="2:10" ht="15" customHeight="1">
      <c r="B48" s="1199" t="s">
        <v>993</v>
      </c>
      <c r="J48" s="312"/>
    </row>
    <row r="49" spans="2:3" ht="15" customHeight="1">
      <c r="B49" s="1200" t="s">
        <v>211</v>
      </c>
      <c r="C49" s="602" t="s">
        <v>212</v>
      </c>
    </row>
    <row r="50" ht="15" customHeight="1">
      <c r="B50" s="1199" t="s">
        <v>994</v>
      </c>
    </row>
    <row r="51" ht="15" customHeight="1">
      <c r="B51" s="1201" t="s">
        <v>84</v>
      </c>
    </row>
    <row r="52" ht="15" customHeight="1">
      <c r="B52" s="1202" t="s">
        <v>1017</v>
      </c>
    </row>
    <row r="53" ht="15" customHeight="1">
      <c r="B53" s="1202" t="s">
        <v>208</v>
      </c>
    </row>
    <row r="54" spans="6:8" ht="15" customHeight="1">
      <c r="F54" s="3"/>
      <c r="G54" s="3"/>
      <c r="H54" s="3"/>
    </row>
    <row r="55" spans="2:8" ht="15" customHeight="1">
      <c r="B55" s="1201" t="s">
        <v>97</v>
      </c>
      <c r="F55" s="1198"/>
      <c r="G55" s="3"/>
      <c r="H55" s="3"/>
    </row>
    <row r="56" spans="2:10" ht="15" customHeight="1">
      <c r="B56" s="1202" t="s">
        <v>1024</v>
      </c>
      <c r="F56" s="1198"/>
      <c r="G56" s="3"/>
      <c r="H56" s="3"/>
      <c r="J56" s="598"/>
    </row>
    <row r="57" spans="2:10" ht="15" customHeight="1">
      <c r="B57" s="1202" t="s">
        <v>979</v>
      </c>
      <c r="F57" s="1198"/>
      <c r="G57" s="3"/>
      <c r="H57" s="3"/>
      <c r="J57" s="598"/>
    </row>
    <row r="58" spans="2:10" ht="15" customHeight="1">
      <c r="B58" s="1202" t="s">
        <v>987</v>
      </c>
      <c r="F58" s="1198"/>
      <c r="G58" s="3"/>
      <c r="H58" s="3"/>
      <c r="J58" s="598"/>
    </row>
    <row r="59" spans="6:10" ht="15" customHeight="1">
      <c r="F59" s="1198"/>
      <c r="G59" s="3"/>
      <c r="H59" s="3"/>
      <c r="J59" s="598"/>
    </row>
    <row r="60" spans="2:10" ht="15" customHeight="1">
      <c r="B60" s="1200" t="s">
        <v>1025</v>
      </c>
      <c r="F60" s="1198"/>
      <c r="G60" s="3"/>
      <c r="H60" s="3"/>
      <c r="J60" s="598"/>
    </row>
    <row r="61" spans="6:10" ht="15" customHeight="1">
      <c r="F61" s="1198"/>
      <c r="G61" s="3"/>
      <c r="H61" s="3"/>
      <c r="J61" s="598"/>
    </row>
    <row r="62" spans="2:10" ht="15" customHeight="1">
      <c r="B62" s="1200" t="s">
        <v>999</v>
      </c>
      <c r="C62" s="602" t="s">
        <v>1001</v>
      </c>
      <c r="F62" s="1198"/>
      <c r="G62" s="3"/>
      <c r="H62" s="3"/>
      <c r="J62" s="598"/>
    </row>
    <row r="63" spans="2:10" ht="15" customHeight="1">
      <c r="B63" s="1199" t="s">
        <v>995</v>
      </c>
      <c r="F63" s="1198"/>
      <c r="G63" s="3"/>
      <c r="H63" s="3"/>
      <c r="J63" s="598"/>
    </row>
    <row r="64" spans="6:10" ht="15" customHeight="1">
      <c r="F64" s="1198"/>
      <c r="G64" s="3"/>
      <c r="H64" s="3"/>
      <c r="J64" s="598"/>
    </row>
    <row r="65" spans="2:10" ht="15" customHeight="1">
      <c r="B65" s="1200" t="s">
        <v>1000</v>
      </c>
      <c r="F65" s="1198"/>
      <c r="G65" s="3"/>
      <c r="H65" s="3"/>
      <c r="J65" s="598"/>
    </row>
    <row r="66" spans="6:10" ht="15" customHeight="1">
      <c r="F66" s="1198"/>
      <c r="G66" s="3"/>
      <c r="H66" s="3"/>
      <c r="J66" s="598"/>
    </row>
    <row r="67" spans="2:10" ht="15" customHeight="1">
      <c r="B67" s="1200" t="s">
        <v>1002</v>
      </c>
      <c r="F67" s="1198"/>
      <c r="G67" s="3"/>
      <c r="H67" s="3"/>
      <c r="J67" s="598"/>
    </row>
    <row r="68" spans="2:10" ht="15" customHeight="1" thickBot="1">
      <c r="B68" s="602" t="s">
        <v>996</v>
      </c>
      <c r="F68" s="1198"/>
      <c r="G68" s="3"/>
      <c r="H68" s="3"/>
      <c r="J68" s="598"/>
    </row>
    <row r="69" spans="2:10" ht="15" customHeight="1" thickBot="1">
      <c r="B69" s="1012" t="s">
        <v>98</v>
      </c>
      <c r="C69" s="1217" t="s">
        <v>99</v>
      </c>
      <c r="D69" s="1218"/>
      <c r="F69" s="602" t="s">
        <v>214</v>
      </c>
      <c r="G69" s="3"/>
      <c r="H69" s="3"/>
      <c r="J69" s="598"/>
    </row>
    <row r="70" spans="2:10" ht="15" customHeight="1" thickBot="1">
      <c r="B70" s="1189" t="s">
        <v>230</v>
      </c>
      <c r="C70" s="565" t="s">
        <v>101</v>
      </c>
      <c r="D70" s="566">
        <v>49.85</v>
      </c>
      <c r="E70" s="1197" t="s">
        <v>980</v>
      </c>
      <c r="F70" s="602" t="s">
        <v>1023</v>
      </c>
      <c r="J70" s="598"/>
    </row>
    <row r="71" spans="2:12" ht="15" customHeight="1" thickBot="1">
      <c r="B71" s="1189" t="s">
        <v>100</v>
      </c>
      <c r="C71" s="565" t="s">
        <v>101</v>
      </c>
      <c r="D71" s="566">
        <v>0</v>
      </c>
      <c r="J71" s="598"/>
      <c r="K71" s="312"/>
      <c r="L71" s="312"/>
    </row>
    <row r="72" spans="2:13" ht="15" customHeight="1" thickBot="1">
      <c r="B72" s="1190" t="s">
        <v>966</v>
      </c>
      <c r="C72" s="565" t="s">
        <v>101</v>
      </c>
      <c r="D72" s="566">
        <v>0</v>
      </c>
      <c r="F72" s="602" t="s">
        <v>981</v>
      </c>
      <c r="J72" s="598"/>
      <c r="K72" s="312"/>
      <c r="L72" s="312"/>
      <c r="M72" s="312"/>
    </row>
    <row r="73" spans="2:13" ht="15" customHeight="1" thickBot="1">
      <c r="B73" s="1190" t="s">
        <v>967</v>
      </c>
      <c r="C73" s="565"/>
      <c r="D73" s="566">
        <v>0</v>
      </c>
      <c r="K73" s="312"/>
      <c r="L73" s="312"/>
      <c r="M73" s="312"/>
    </row>
    <row r="74" spans="2:14" ht="15" customHeight="1" thickBot="1">
      <c r="B74" s="1190" t="s">
        <v>247</v>
      </c>
      <c r="C74" s="565" t="s">
        <v>101</v>
      </c>
      <c r="D74" s="567">
        <v>83.83</v>
      </c>
      <c r="F74" s="602" t="s">
        <v>982</v>
      </c>
      <c r="M74" s="312"/>
      <c r="N74" s="302"/>
    </row>
    <row r="75" spans="2:14" ht="15" customHeight="1" thickBot="1">
      <c r="B75" s="1190" t="s">
        <v>966</v>
      </c>
      <c r="C75" s="565" t="s">
        <v>101</v>
      </c>
      <c r="D75" s="566">
        <v>0</v>
      </c>
      <c r="F75" s="602" t="s">
        <v>983</v>
      </c>
      <c r="J75" s="586"/>
      <c r="N75" s="302"/>
    </row>
    <row r="76" spans="1:14" ht="15" customHeight="1" thickBot="1">
      <c r="A76" s="85"/>
      <c r="B76" s="1190" t="s">
        <v>967</v>
      </c>
      <c r="C76" s="565" t="s">
        <v>101</v>
      </c>
      <c r="D76" s="566">
        <v>0</v>
      </c>
      <c r="F76" s="602" t="s">
        <v>1026</v>
      </c>
      <c r="J76" s="586"/>
      <c r="N76" s="302"/>
    </row>
    <row r="77" spans="1:24" ht="15" customHeight="1" thickBot="1">
      <c r="A77" s="1"/>
      <c r="B77" s="1190" t="s">
        <v>978</v>
      </c>
      <c r="C77" s="565" t="s">
        <v>101</v>
      </c>
      <c r="D77" s="567">
        <v>85.6</v>
      </c>
      <c r="J77" s="702"/>
      <c r="O77" s="302"/>
      <c r="P77" s="302"/>
      <c r="Q77" s="302"/>
      <c r="R77" s="302"/>
      <c r="S77" s="302"/>
      <c r="T77" s="302"/>
      <c r="U77" s="302"/>
      <c r="V77" s="302"/>
      <c r="W77" s="302"/>
      <c r="X77" s="302"/>
    </row>
    <row r="78" spans="1:24" ht="15" customHeight="1" thickBot="1">
      <c r="A78" s="594"/>
      <c r="B78" s="1191" t="s">
        <v>231</v>
      </c>
      <c r="C78" s="565" t="s">
        <v>101</v>
      </c>
      <c r="D78" s="568">
        <v>7.75</v>
      </c>
      <c r="F78" s="602" t="s">
        <v>1022</v>
      </c>
      <c r="O78" s="302"/>
      <c r="P78" s="302"/>
      <c r="Q78" s="302"/>
      <c r="R78" s="302"/>
      <c r="S78" s="302"/>
      <c r="T78" s="302"/>
      <c r="U78" s="302"/>
      <c r="V78" s="302"/>
      <c r="W78" s="302"/>
      <c r="X78" s="302"/>
    </row>
    <row r="79" spans="2:23" ht="15" customHeight="1" thickBot="1">
      <c r="B79" s="1191" t="s">
        <v>365</v>
      </c>
      <c r="C79" s="565" t="s">
        <v>101</v>
      </c>
      <c r="D79" s="568">
        <v>8.6</v>
      </c>
      <c r="E79" s="312"/>
      <c r="F79" s="312"/>
      <c r="G79" s="312"/>
      <c r="H79" s="312"/>
      <c r="N79" s="302"/>
      <c r="O79" s="302"/>
      <c r="P79" s="302"/>
      <c r="Q79" s="302"/>
      <c r="R79" s="302"/>
      <c r="S79" s="302"/>
      <c r="T79" s="302"/>
      <c r="U79" s="302"/>
      <c r="V79" s="302"/>
      <c r="W79" s="302"/>
    </row>
    <row r="80" spans="2:23" ht="15" customHeight="1" thickBot="1">
      <c r="B80" s="1191" t="s">
        <v>102</v>
      </c>
      <c r="C80" s="565" t="s">
        <v>101</v>
      </c>
      <c r="D80" s="566">
        <v>0</v>
      </c>
      <c r="F80" s="602" t="s">
        <v>1029</v>
      </c>
      <c r="G80" s="312"/>
      <c r="H80" s="312"/>
      <c r="N80" s="302"/>
      <c r="O80" s="302"/>
      <c r="P80" s="302"/>
      <c r="Q80" s="302"/>
      <c r="R80" s="302"/>
      <c r="S80" s="302"/>
      <c r="T80" s="302"/>
      <c r="U80" s="302"/>
      <c r="V80" s="302"/>
      <c r="W80" s="302"/>
    </row>
    <row r="81" spans="2:23" ht="15" customHeight="1" thickBot="1">
      <c r="B81" s="1191" t="s">
        <v>103</v>
      </c>
      <c r="C81" s="565" t="s">
        <v>101</v>
      </c>
      <c r="D81" s="568">
        <v>0</v>
      </c>
      <c r="E81" s="312"/>
      <c r="F81" s="1193"/>
      <c r="G81" s="312"/>
      <c r="H81" s="312"/>
      <c r="K81" s="85"/>
      <c r="L81" s="85"/>
      <c r="M81" s="85"/>
      <c r="N81" s="595"/>
      <c r="O81" s="302"/>
      <c r="P81" s="302"/>
      <c r="Q81" s="302"/>
      <c r="R81" s="302"/>
      <c r="S81" s="302"/>
      <c r="T81" s="302"/>
      <c r="U81" s="302"/>
      <c r="V81" s="302"/>
      <c r="W81" s="302"/>
    </row>
    <row r="82" spans="2:23" ht="15" customHeight="1" thickBot="1">
      <c r="B82" s="1191" t="s">
        <v>103</v>
      </c>
      <c r="C82" s="565" t="s">
        <v>101</v>
      </c>
      <c r="D82" s="568"/>
      <c r="F82" s="602" t="s">
        <v>984</v>
      </c>
      <c r="K82" s="1"/>
      <c r="L82" s="1"/>
      <c r="M82" s="1"/>
      <c r="N82" s="1"/>
      <c r="O82" s="302"/>
      <c r="P82" s="302"/>
      <c r="Q82" s="302"/>
      <c r="R82" s="302"/>
      <c r="S82" s="302"/>
      <c r="T82" s="302"/>
      <c r="U82" s="302"/>
      <c r="V82" s="302"/>
      <c r="W82" s="302"/>
    </row>
    <row r="83" spans="2:11" ht="15" customHeight="1" thickBot="1">
      <c r="B83" s="1192" t="s">
        <v>215</v>
      </c>
      <c r="C83" s="565" t="s">
        <v>101</v>
      </c>
      <c r="D83" s="568">
        <v>1.5</v>
      </c>
      <c r="F83" s="19" t="s">
        <v>985</v>
      </c>
      <c r="K83" s="1"/>
    </row>
    <row r="84" spans="2:12" ht="15" customHeight="1" thickBot="1">
      <c r="B84" s="1012" t="s">
        <v>104</v>
      </c>
      <c r="C84" s="1012"/>
      <c r="D84" s="569"/>
      <c r="F84" s="602" t="s">
        <v>986</v>
      </c>
      <c r="K84" s="586"/>
      <c r="L84" s="1"/>
    </row>
    <row r="85" spans="6:11" ht="15" customHeight="1">
      <c r="F85" s="602" t="s">
        <v>998</v>
      </c>
      <c r="K85" s="586"/>
    </row>
    <row r="86" ht="15" customHeight="1">
      <c r="I86" s="586"/>
    </row>
    <row r="87" spans="2:9" ht="15" customHeight="1">
      <c r="B87" s="587" t="s">
        <v>270</v>
      </c>
      <c r="C87" s="588" t="s">
        <v>486</v>
      </c>
      <c r="D87" s="1"/>
      <c r="E87" s="1"/>
      <c r="F87" s="302"/>
      <c r="G87" s="302"/>
      <c r="I87" s="589"/>
    </row>
    <row r="88" spans="2:9" ht="15" customHeight="1">
      <c r="B88" s="586"/>
      <c r="C88" s="586"/>
      <c r="D88" s="586"/>
      <c r="E88" s="586"/>
      <c r="F88" s="586"/>
      <c r="G88" s="586"/>
      <c r="H88" s="586"/>
      <c r="I88" s="589"/>
    </row>
    <row r="89" ht="13.5">
      <c r="I89" s="589"/>
    </row>
    <row r="90" ht="13.5">
      <c r="I90" s="702"/>
    </row>
    <row r="91" ht="13.5">
      <c r="I91" s="721"/>
    </row>
  </sheetData>
  <sheetProtection/>
  <mergeCells count="18">
    <mergeCell ref="J20:K20"/>
    <mergeCell ref="J21:K21"/>
    <mergeCell ref="J14:K14"/>
    <mergeCell ref="J15:K15"/>
    <mergeCell ref="J16:K16"/>
    <mergeCell ref="J17:K17"/>
    <mergeCell ref="J18:K18"/>
    <mergeCell ref="J19:K19"/>
    <mergeCell ref="C69:D69"/>
    <mergeCell ref="J5:K5"/>
    <mergeCell ref="J6:K6"/>
    <mergeCell ref="J7:K7"/>
    <mergeCell ref="J8:K8"/>
    <mergeCell ref="J9:K9"/>
    <mergeCell ref="J10:K10"/>
    <mergeCell ref="J11:K11"/>
    <mergeCell ref="J12:K12"/>
    <mergeCell ref="J13:K13"/>
  </mergeCells>
  <dataValidations count="1">
    <dataValidation type="list" allowBlank="1" showInputMessage="1" showErrorMessage="1" sqref="E14:E15 E18:E19 E22">
      <formula1>$I$2:$I$3</formula1>
    </dataValidation>
  </dataValidations>
  <printOptions horizontalCentered="1"/>
  <pageMargins left="0.7" right="0.7" top="0.75" bottom="0.75" header="0.3" footer="0.3"/>
  <pageSetup fitToHeight="1" fitToWidth="1" horizontalDpi="600" verticalDpi="600" orientation="portrait" paperSize="9" scale="57" r:id="rId2"/>
  <drawing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O35"/>
  <sheetViews>
    <sheetView showGridLines="0" view="pageBreakPreview" zoomScale="75" zoomScaleNormal="85" zoomScaleSheetLayoutView="75" zoomScalePageLayoutView="0" workbookViewId="0" topLeftCell="A1">
      <selection activeCell="A1" sqref="A1:E1"/>
    </sheetView>
  </sheetViews>
  <sheetFormatPr defaultColWidth="9.140625" defaultRowHeight="15"/>
  <cols>
    <col min="1" max="1" width="3.140625" style="602" customWidth="1"/>
    <col min="2" max="3" width="2.57421875" style="602" customWidth="1"/>
    <col min="4" max="4" width="5.421875" style="602" customWidth="1"/>
    <col min="5" max="5" width="18.00390625" style="19" customWidth="1"/>
    <col min="6" max="6" width="18.421875" style="19" customWidth="1"/>
    <col min="7" max="7" width="8.421875" style="602" customWidth="1"/>
    <col min="8" max="8" width="4.421875" style="602" bestFit="1" customWidth="1"/>
    <col min="9" max="9" width="12.00390625" style="602" customWidth="1"/>
    <col min="10" max="10" width="12.28125" style="602" customWidth="1"/>
    <col min="11" max="11" width="12.140625" style="602" customWidth="1"/>
    <col min="12" max="12" width="11.8515625" style="602" customWidth="1"/>
    <col min="13" max="13" width="12.00390625" style="602" customWidth="1"/>
    <col min="14" max="14" width="3.140625" style="4" customWidth="1"/>
    <col min="15" max="15" width="4.140625" style="4" customWidth="1"/>
    <col min="16" max="16384" width="9.00390625" style="602" customWidth="1"/>
  </cols>
  <sheetData>
    <row r="1" spans="1:6" ht="13.5" customHeight="1">
      <c r="A1" s="1304" t="s">
        <v>29</v>
      </c>
      <c r="B1" s="1304"/>
      <c r="C1" s="1304"/>
      <c r="D1" s="1304"/>
      <c r="E1" s="1304"/>
      <c r="F1" s="4"/>
    </row>
    <row r="2" spans="1:14" ht="13.5" customHeight="1">
      <c r="A2" s="5"/>
      <c r="B2" s="5"/>
      <c r="C2" s="5"/>
      <c r="D2" s="5"/>
      <c r="E2" s="1015"/>
      <c r="F2" s="4"/>
      <c r="N2" s="5"/>
    </row>
    <row r="3" spans="1:14" ht="13.5" customHeight="1">
      <c r="A3" s="5"/>
      <c r="B3" s="5" t="s">
        <v>30</v>
      </c>
      <c r="C3" s="1015" t="s">
        <v>34</v>
      </c>
      <c r="D3" s="5"/>
      <c r="E3" s="1015"/>
      <c r="F3" s="1016" t="s">
        <v>28</v>
      </c>
      <c r="N3" s="5"/>
    </row>
    <row r="4" spans="1:14" ht="13.5" customHeight="1">
      <c r="A4" s="5"/>
      <c r="B4" s="5"/>
      <c r="C4" s="5"/>
      <c r="D4" s="5"/>
      <c r="E4" s="1015"/>
      <c r="F4" s="1017" t="s">
        <v>458</v>
      </c>
      <c r="N4" s="5"/>
    </row>
    <row r="5" spans="1:15" ht="13.5" customHeight="1">
      <c r="A5" s="5"/>
      <c r="B5" s="5"/>
      <c r="C5" s="5"/>
      <c r="D5" s="5"/>
      <c r="E5" s="1015"/>
      <c r="F5" s="4"/>
      <c r="M5" s="602" t="s">
        <v>38</v>
      </c>
      <c r="N5" s="5"/>
      <c r="O5" s="541"/>
    </row>
    <row r="6" spans="1:14" ht="13.5" customHeight="1">
      <c r="A6" s="7"/>
      <c r="F6" s="4"/>
      <c r="I6" s="9"/>
      <c r="J6" s="10"/>
      <c r="K6" s="9" t="s">
        <v>200</v>
      </c>
      <c r="L6" s="99" t="str">
        <f>'使い方'!E6</f>
        <v>Ｂ金属株式会社</v>
      </c>
      <c r="N6" s="5"/>
    </row>
    <row r="7" spans="1:14" ht="13.5" customHeight="1" thickBot="1">
      <c r="A7" s="7"/>
      <c r="F7" s="4"/>
      <c r="I7" s="11"/>
      <c r="J7" s="11"/>
      <c r="N7" s="5"/>
    </row>
    <row r="8" spans="1:15" ht="27" customHeight="1">
      <c r="A8" s="1305" t="s">
        <v>13</v>
      </c>
      <c r="B8" s="1307" t="s">
        <v>14</v>
      </c>
      <c r="C8" s="1307"/>
      <c r="D8" s="1308"/>
      <c r="E8" s="13" t="s">
        <v>15</v>
      </c>
      <c r="F8" s="13" t="s">
        <v>16</v>
      </c>
      <c r="G8" s="13" t="s">
        <v>17</v>
      </c>
      <c r="H8" s="13" t="s">
        <v>18</v>
      </c>
      <c r="I8" s="13" t="s">
        <v>7</v>
      </c>
      <c r="J8" s="13" t="s">
        <v>7</v>
      </c>
      <c r="K8" s="1309" t="s">
        <v>19</v>
      </c>
      <c r="L8" s="1308"/>
      <c r="M8" s="1034" t="s">
        <v>20</v>
      </c>
      <c r="N8" s="1310" t="s">
        <v>13</v>
      </c>
      <c r="O8" s="1312" t="s">
        <v>238</v>
      </c>
    </row>
    <row r="9" spans="1:15" ht="42" customHeight="1" thickBot="1">
      <c r="A9" s="1306"/>
      <c r="B9" s="1061" t="s">
        <v>21</v>
      </c>
      <c r="C9" s="1061" t="s">
        <v>22</v>
      </c>
      <c r="D9" s="1062" t="s">
        <v>23</v>
      </c>
      <c r="E9" s="1067"/>
      <c r="F9" s="1064"/>
      <c r="G9" s="1065"/>
      <c r="H9" s="1065"/>
      <c r="I9" s="1065" t="s">
        <v>24</v>
      </c>
      <c r="J9" s="1065" t="s">
        <v>44</v>
      </c>
      <c r="K9" s="1065" t="s">
        <v>25</v>
      </c>
      <c r="L9" s="1066" t="s">
        <v>42</v>
      </c>
      <c r="M9" s="1066" t="s">
        <v>26</v>
      </c>
      <c r="N9" s="1311"/>
      <c r="O9" s="1313"/>
    </row>
    <row r="10" spans="1:15" ht="30.75" customHeight="1">
      <c r="A10" s="14">
        <v>1</v>
      </c>
      <c r="B10" s="1302"/>
      <c r="C10" s="1303"/>
      <c r="D10" s="1303"/>
      <c r="E10" s="578"/>
      <c r="F10" s="578"/>
      <c r="G10" s="1072"/>
      <c r="H10" s="1073"/>
      <c r="I10" s="1074">
        <f>IF(G10="","",ROUNDDOWN(J10*(1+O10/100),0))</f>
      </c>
      <c r="J10" s="1075"/>
      <c r="K10" s="1074">
        <f>IF(I10="","",ROUNDDOWN(L10*(1+O10/100),0))</f>
      </c>
      <c r="L10" s="1074">
        <f aca="true" t="shared" si="0" ref="L10:L29">IF(J10="","",ROUNDDOWN(J10*G10,0))</f>
      </c>
      <c r="M10" s="1087">
        <f aca="true" t="shared" si="1" ref="M10:M29">L10</f>
      </c>
      <c r="N10" s="1076">
        <v>1</v>
      </c>
      <c r="O10" s="1097">
        <v>8</v>
      </c>
    </row>
    <row r="11" spans="1:15" ht="30.75" customHeight="1">
      <c r="A11" s="15">
        <v>2</v>
      </c>
      <c r="B11" s="1296"/>
      <c r="C11" s="1297"/>
      <c r="D11" s="1297"/>
      <c r="E11" s="328"/>
      <c r="F11" s="17"/>
      <c r="G11" s="353"/>
      <c r="H11" s="354"/>
      <c r="I11" s="326">
        <f aca="true" t="shared" si="2" ref="I11:I29">IF(G11="","",ROUNDDOWN(J11*(1+O11/100),0))</f>
      </c>
      <c r="J11" s="363"/>
      <c r="K11" s="326">
        <f aca="true" t="shared" si="3" ref="K11:K29">IF(I11="","",ROUNDDOWN(L11*(1+O11/100),0))</f>
      </c>
      <c r="L11" s="326">
        <f t="shared" si="0"/>
      </c>
      <c r="M11" s="1088">
        <f t="shared" si="1"/>
      </c>
      <c r="N11" s="1077">
        <v>2</v>
      </c>
      <c r="O11" s="1098">
        <v>8</v>
      </c>
    </row>
    <row r="12" spans="1:15" ht="30.75" customHeight="1">
      <c r="A12" s="15">
        <v>3</v>
      </c>
      <c r="B12" s="1296"/>
      <c r="C12" s="1297"/>
      <c r="D12" s="1297"/>
      <c r="E12" s="328"/>
      <c r="F12" s="17"/>
      <c r="G12" s="353"/>
      <c r="H12" s="354"/>
      <c r="I12" s="326">
        <f t="shared" si="2"/>
      </c>
      <c r="J12" s="363"/>
      <c r="K12" s="326">
        <f t="shared" si="3"/>
      </c>
      <c r="L12" s="326">
        <f t="shared" si="0"/>
      </c>
      <c r="M12" s="1088">
        <f t="shared" si="1"/>
      </c>
      <c r="N12" s="1078">
        <v>3</v>
      </c>
      <c r="O12" s="1099">
        <v>8</v>
      </c>
    </row>
    <row r="13" spans="1:15" ht="30.75" customHeight="1">
      <c r="A13" s="15">
        <v>4</v>
      </c>
      <c r="B13" s="1296"/>
      <c r="C13" s="1297"/>
      <c r="D13" s="1297"/>
      <c r="E13" s="328"/>
      <c r="F13" s="17"/>
      <c r="G13" s="353"/>
      <c r="H13" s="354"/>
      <c r="I13" s="326">
        <f t="shared" si="2"/>
      </c>
      <c r="J13" s="363"/>
      <c r="K13" s="326">
        <f t="shared" si="3"/>
      </c>
      <c r="L13" s="326">
        <f t="shared" si="0"/>
      </c>
      <c r="M13" s="1088">
        <f t="shared" si="1"/>
      </c>
      <c r="N13" s="1077">
        <v>4</v>
      </c>
      <c r="O13" s="1098">
        <v>8</v>
      </c>
    </row>
    <row r="14" spans="1:15" ht="30.75" customHeight="1">
      <c r="A14" s="15">
        <v>5</v>
      </c>
      <c r="B14" s="1296"/>
      <c r="C14" s="1297"/>
      <c r="D14" s="1297"/>
      <c r="E14" s="17"/>
      <c r="F14" s="17"/>
      <c r="G14" s="353"/>
      <c r="H14" s="354"/>
      <c r="I14" s="326">
        <f t="shared" si="2"/>
      </c>
      <c r="J14" s="363"/>
      <c r="K14" s="326">
        <f t="shared" si="3"/>
      </c>
      <c r="L14" s="326">
        <f t="shared" si="0"/>
      </c>
      <c r="M14" s="1088">
        <f t="shared" si="1"/>
      </c>
      <c r="N14" s="1078">
        <v>5</v>
      </c>
      <c r="O14" s="1099">
        <v>8</v>
      </c>
    </row>
    <row r="15" spans="1:15" ht="30.75" customHeight="1">
      <c r="A15" s="15">
        <v>6</v>
      </c>
      <c r="B15" s="1296"/>
      <c r="C15" s="1297"/>
      <c r="D15" s="1297"/>
      <c r="E15" s="17"/>
      <c r="F15" s="17"/>
      <c r="G15" s="353"/>
      <c r="H15" s="354"/>
      <c r="I15" s="326">
        <f t="shared" si="2"/>
      </c>
      <c r="J15" s="363"/>
      <c r="K15" s="326">
        <f t="shared" si="3"/>
      </c>
      <c r="L15" s="326">
        <f t="shared" si="0"/>
      </c>
      <c r="M15" s="1088">
        <f t="shared" si="1"/>
      </c>
      <c r="N15" s="1077">
        <v>6</v>
      </c>
      <c r="O15" s="1098">
        <v>8</v>
      </c>
    </row>
    <row r="16" spans="1:15" ht="30.75" customHeight="1">
      <c r="A16" s="15">
        <v>7</v>
      </c>
      <c r="B16" s="1296"/>
      <c r="C16" s="1297"/>
      <c r="D16" s="1297"/>
      <c r="E16" s="17"/>
      <c r="F16" s="21"/>
      <c r="G16" s="353"/>
      <c r="H16" s="354"/>
      <c r="I16" s="326">
        <f t="shared" si="2"/>
      </c>
      <c r="J16" s="363"/>
      <c r="K16" s="326">
        <f t="shared" si="3"/>
      </c>
      <c r="L16" s="326">
        <f t="shared" si="0"/>
      </c>
      <c r="M16" s="1088">
        <f t="shared" si="1"/>
      </c>
      <c r="N16" s="1078">
        <v>7</v>
      </c>
      <c r="O16" s="1099">
        <v>8</v>
      </c>
    </row>
    <row r="17" spans="1:15" ht="30.75" customHeight="1">
      <c r="A17" s="15">
        <v>8</v>
      </c>
      <c r="B17" s="1296"/>
      <c r="C17" s="1297"/>
      <c r="D17" s="1297"/>
      <c r="E17" s="328"/>
      <c r="F17" s="328"/>
      <c r="G17" s="353"/>
      <c r="H17" s="354"/>
      <c r="I17" s="326">
        <f t="shared" si="2"/>
      </c>
      <c r="J17" s="363"/>
      <c r="K17" s="326">
        <f t="shared" si="3"/>
      </c>
      <c r="L17" s="326">
        <f t="shared" si="0"/>
      </c>
      <c r="M17" s="1088">
        <f t="shared" si="1"/>
      </c>
      <c r="N17" s="1077">
        <v>8</v>
      </c>
      <c r="O17" s="1098">
        <v>8</v>
      </c>
    </row>
    <row r="18" spans="1:15" ht="30.75" customHeight="1">
      <c r="A18" s="15">
        <v>9</v>
      </c>
      <c r="B18" s="1296"/>
      <c r="C18" s="1297"/>
      <c r="D18" s="1297"/>
      <c r="E18" s="17"/>
      <c r="F18" s="17"/>
      <c r="G18" s="353"/>
      <c r="H18" s="354"/>
      <c r="I18" s="326">
        <f t="shared" si="2"/>
      </c>
      <c r="J18" s="363"/>
      <c r="K18" s="326">
        <f t="shared" si="3"/>
      </c>
      <c r="L18" s="326">
        <f t="shared" si="0"/>
      </c>
      <c r="M18" s="1088">
        <f t="shared" si="1"/>
      </c>
      <c r="N18" s="1078">
        <v>9</v>
      </c>
      <c r="O18" s="1099">
        <v>8</v>
      </c>
    </row>
    <row r="19" spans="1:15" ht="30.75" customHeight="1">
      <c r="A19" s="15">
        <v>10</v>
      </c>
      <c r="B19" s="1296"/>
      <c r="C19" s="1297"/>
      <c r="D19" s="1297"/>
      <c r="E19" s="17"/>
      <c r="F19" s="17"/>
      <c r="G19" s="353"/>
      <c r="H19" s="354"/>
      <c r="I19" s="326">
        <f t="shared" si="2"/>
      </c>
      <c r="J19" s="363"/>
      <c r="K19" s="326">
        <f t="shared" si="3"/>
      </c>
      <c r="L19" s="326">
        <f t="shared" si="0"/>
      </c>
      <c r="M19" s="1088">
        <f t="shared" si="1"/>
      </c>
      <c r="N19" s="1077">
        <v>10</v>
      </c>
      <c r="O19" s="1098">
        <v>8</v>
      </c>
    </row>
    <row r="20" spans="1:15" ht="30.75" customHeight="1">
      <c r="A20" s="15">
        <v>11</v>
      </c>
      <c r="B20" s="1296"/>
      <c r="C20" s="1297"/>
      <c r="D20" s="1297"/>
      <c r="E20" s="17"/>
      <c r="F20" s="17"/>
      <c r="G20" s="353"/>
      <c r="H20" s="354"/>
      <c r="I20" s="326">
        <f t="shared" si="2"/>
      </c>
      <c r="J20" s="363"/>
      <c r="K20" s="326">
        <f t="shared" si="3"/>
      </c>
      <c r="L20" s="326">
        <f t="shared" si="0"/>
      </c>
      <c r="M20" s="1088">
        <f t="shared" si="1"/>
      </c>
      <c r="N20" s="1078">
        <v>11</v>
      </c>
      <c r="O20" s="1099">
        <v>8</v>
      </c>
    </row>
    <row r="21" spans="1:15" ht="30.75" customHeight="1">
      <c r="A21" s="15">
        <v>12</v>
      </c>
      <c r="B21" s="1296"/>
      <c r="C21" s="1297"/>
      <c r="D21" s="1297"/>
      <c r="E21" s="17"/>
      <c r="F21" s="17"/>
      <c r="G21" s="353"/>
      <c r="H21" s="354"/>
      <c r="I21" s="326">
        <f t="shared" si="2"/>
      </c>
      <c r="J21" s="363"/>
      <c r="K21" s="326">
        <f t="shared" si="3"/>
      </c>
      <c r="L21" s="326">
        <f t="shared" si="0"/>
      </c>
      <c r="M21" s="1088">
        <f t="shared" si="1"/>
      </c>
      <c r="N21" s="1077">
        <v>12</v>
      </c>
      <c r="O21" s="1098">
        <v>8</v>
      </c>
    </row>
    <row r="22" spans="1:15" ht="30.75" customHeight="1">
      <c r="A22" s="15">
        <v>13</v>
      </c>
      <c r="B22" s="1296"/>
      <c r="C22" s="1297"/>
      <c r="D22" s="1297"/>
      <c r="E22" s="17"/>
      <c r="F22" s="17"/>
      <c r="G22" s="353"/>
      <c r="H22" s="354"/>
      <c r="I22" s="326">
        <f t="shared" si="2"/>
      </c>
      <c r="J22" s="363"/>
      <c r="K22" s="326">
        <f t="shared" si="3"/>
      </c>
      <c r="L22" s="326">
        <f t="shared" si="0"/>
      </c>
      <c r="M22" s="1088">
        <f t="shared" si="1"/>
      </c>
      <c r="N22" s="1078">
        <v>13</v>
      </c>
      <c r="O22" s="1099">
        <v>8</v>
      </c>
    </row>
    <row r="23" spans="1:15" ht="30.75" customHeight="1">
      <c r="A23" s="15">
        <v>14</v>
      </c>
      <c r="B23" s="1296"/>
      <c r="C23" s="1297"/>
      <c r="D23" s="1297"/>
      <c r="E23" s="577"/>
      <c r="F23" s="17"/>
      <c r="G23" s="353"/>
      <c r="H23" s="354"/>
      <c r="I23" s="326">
        <f t="shared" si="2"/>
      </c>
      <c r="J23" s="363"/>
      <c r="K23" s="326">
        <f t="shared" si="3"/>
      </c>
      <c r="L23" s="326">
        <f t="shared" si="0"/>
      </c>
      <c r="M23" s="1088">
        <f t="shared" si="1"/>
      </c>
      <c r="N23" s="1077">
        <v>14</v>
      </c>
      <c r="O23" s="1098">
        <v>8</v>
      </c>
    </row>
    <row r="24" spans="1:15" ht="30.75" customHeight="1">
      <c r="A24" s="15">
        <v>15</v>
      </c>
      <c r="B24" s="1296"/>
      <c r="C24" s="1297"/>
      <c r="D24" s="1297"/>
      <c r="E24" s="577"/>
      <c r="F24" s="17"/>
      <c r="G24" s="353"/>
      <c r="H24" s="354"/>
      <c r="I24" s="326">
        <f t="shared" si="2"/>
      </c>
      <c r="J24" s="363"/>
      <c r="K24" s="326">
        <f t="shared" si="3"/>
      </c>
      <c r="L24" s="326">
        <f t="shared" si="0"/>
      </c>
      <c r="M24" s="1088">
        <f t="shared" si="1"/>
      </c>
      <c r="N24" s="1078">
        <v>15</v>
      </c>
      <c r="O24" s="1099">
        <v>8</v>
      </c>
    </row>
    <row r="25" spans="1:15" ht="30.75" customHeight="1">
      <c r="A25" s="15">
        <v>16</v>
      </c>
      <c r="B25" s="1296"/>
      <c r="C25" s="1297"/>
      <c r="D25" s="1297"/>
      <c r="E25" s="17"/>
      <c r="F25" s="17"/>
      <c r="G25" s="353"/>
      <c r="H25" s="354"/>
      <c r="I25" s="326">
        <f t="shared" si="2"/>
      </c>
      <c r="J25" s="363"/>
      <c r="K25" s="326">
        <f t="shared" si="3"/>
      </c>
      <c r="L25" s="326">
        <f t="shared" si="0"/>
      </c>
      <c r="M25" s="1088">
        <f t="shared" si="1"/>
      </c>
      <c r="N25" s="1077">
        <v>16</v>
      </c>
      <c r="O25" s="1098">
        <v>8</v>
      </c>
    </row>
    <row r="26" spans="1:15" ht="30.75" customHeight="1">
      <c r="A26" s="15">
        <v>17</v>
      </c>
      <c r="B26" s="1296"/>
      <c r="C26" s="1297"/>
      <c r="D26" s="1297"/>
      <c r="E26" s="17"/>
      <c r="F26" s="17"/>
      <c r="G26" s="353"/>
      <c r="H26" s="354"/>
      <c r="I26" s="326">
        <f t="shared" si="2"/>
      </c>
      <c r="J26" s="363"/>
      <c r="K26" s="326">
        <f t="shared" si="3"/>
      </c>
      <c r="L26" s="326">
        <f t="shared" si="0"/>
      </c>
      <c r="M26" s="1088">
        <f t="shared" si="1"/>
      </c>
      <c r="N26" s="1078">
        <v>17</v>
      </c>
      <c r="O26" s="1099">
        <v>8</v>
      </c>
    </row>
    <row r="27" spans="1:15" ht="30.75" customHeight="1">
      <c r="A27" s="15">
        <v>18</v>
      </c>
      <c r="B27" s="1296"/>
      <c r="C27" s="1297"/>
      <c r="D27" s="1297"/>
      <c r="E27" s="17"/>
      <c r="F27" s="17"/>
      <c r="G27" s="353"/>
      <c r="H27" s="354"/>
      <c r="I27" s="326">
        <f t="shared" si="2"/>
      </c>
      <c r="J27" s="363"/>
      <c r="K27" s="326">
        <f t="shared" si="3"/>
      </c>
      <c r="L27" s="326">
        <f t="shared" si="0"/>
      </c>
      <c r="M27" s="1088">
        <f t="shared" si="1"/>
      </c>
      <c r="N27" s="1077">
        <v>18</v>
      </c>
      <c r="O27" s="1098">
        <v>8</v>
      </c>
    </row>
    <row r="28" spans="1:15" ht="30.75" customHeight="1">
      <c r="A28" s="15">
        <v>19</v>
      </c>
      <c r="B28" s="1296"/>
      <c r="C28" s="1297"/>
      <c r="D28" s="1297"/>
      <c r="E28" s="577"/>
      <c r="F28" s="17"/>
      <c r="G28" s="353"/>
      <c r="H28" s="354"/>
      <c r="I28" s="326">
        <f t="shared" si="2"/>
      </c>
      <c r="J28" s="363"/>
      <c r="K28" s="326">
        <f t="shared" si="3"/>
      </c>
      <c r="L28" s="326">
        <f t="shared" si="0"/>
      </c>
      <c r="M28" s="1088">
        <f t="shared" si="1"/>
      </c>
      <c r="N28" s="1078">
        <v>19</v>
      </c>
      <c r="O28" s="1099">
        <v>8</v>
      </c>
    </row>
    <row r="29" spans="1:15" ht="30.75" customHeight="1" thickBot="1">
      <c r="A29" s="1059">
        <v>20</v>
      </c>
      <c r="B29" s="1298"/>
      <c r="C29" s="1299"/>
      <c r="D29" s="1299"/>
      <c r="E29" s="579"/>
      <c r="F29" s="579"/>
      <c r="G29" s="1084"/>
      <c r="H29" s="1085"/>
      <c r="I29" s="1081">
        <f t="shared" si="2"/>
      </c>
      <c r="J29" s="1086"/>
      <c r="K29" s="1081">
        <f t="shared" si="3"/>
      </c>
      <c r="L29" s="1081">
        <f t="shared" si="0"/>
      </c>
      <c r="M29" s="1089">
        <f t="shared" si="1"/>
      </c>
      <c r="N29" s="1083">
        <v>20</v>
      </c>
      <c r="O29" s="1100">
        <v>8</v>
      </c>
    </row>
    <row r="30" spans="1:14" ht="21" customHeight="1" thickBot="1">
      <c r="A30" s="1314" t="s">
        <v>27</v>
      </c>
      <c r="B30" s="1315"/>
      <c r="C30" s="1315"/>
      <c r="D30" s="1315"/>
      <c r="E30" s="1315"/>
      <c r="F30" s="1315"/>
      <c r="G30" s="1315"/>
      <c r="H30" s="1315"/>
      <c r="I30" s="1315"/>
      <c r="J30" s="1036"/>
      <c r="K30" s="542">
        <f>SUM(K10:K29)</f>
        <v>0</v>
      </c>
      <c r="L30" s="542">
        <f>SUM(L10:L29)</f>
        <v>0</v>
      </c>
      <c r="M30" s="543">
        <f>SUM(M10:M29)</f>
        <v>0</v>
      </c>
      <c r="N30" s="32"/>
    </row>
    <row r="31" spans="1:14" ht="13.5" customHeight="1">
      <c r="A31" s="7"/>
      <c r="N31" s="5"/>
    </row>
    <row r="32" spans="1:14" ht="13.5" customHeight="1">
      <c r="A32" s="7"/>
      <c r="B32" s="602" t="s">
        <v>35</v>
      </c>
      <c r="D32" s="7"/>
      <c r="E32" s="19" t="s">
        <v>201</v>
      </c>
      <c r="N32" s="5"/>
    </row>
    <row r="33" ht="13.5" customHeight="1">
      <c r="E33" s="19" t="s">
        <v>202</v>
      </c>
    </row>
    <row r="34" spans="2:5" ht="13.5" customHeight="1">
      <c r="B34" s="602" t="s">
        <v>36</v>
      </c>
      <c r="E34" s="19" t="s">
        <v>203</v>
      </c>
    </row>
    <row r="35" spans="2:5" ht="13.5" customHeight="1">
      <c r="B35" s="602" t="s">
        <v>37</v>
      </c>
      <c r="E35" s="19" t="s">
        <v>204</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K30:M30 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602" customWidth="1"/>
    <col min="2" max="3" width="2.57421875" style="602" customWidth="1"/>
    <col min="4" max="4" width="3.8515625" style="602" customWidth="1"/>
    <col min="5" max="5" width="15.28125" style="19" customWidth="1"/>
    <col min="6" max="6" width="14.8515625" style="19" customWidth="1"/>
    <col min="7" max="7" width="9.421875" style="602" customWidth="1"/>
    <col min="8" max="8" width="6.7109375" style="602" customWidth="1"/>
    <col min="9" max="9" width="9.8515625" style="602" customWidth="1"/>
    <col min="10" max="10" width="11.140625" style="602" customWidth="1"/>
    <col min="11" max="12" width="11.28125" style="602" bestFit="1" customWidth="1"/>
    <col min="13" max="13" width="12.421875" style="602" bestFit="1" customWidth="1"/>
    <col min="14" max="14" width="3.140625" style="4" customWidth="1"/>
    <col min="15" max="15" width="3.7109375" style="4" customWidth="1"/>
    <col min="16" max="16384" width="9.00390625" style="602" customWidth="1"/>
  </cols>
  <sheetData>
    <row r="1" spans="1:6" ht="13.5" customHeight="1">
      <c r="A1" s="1304" t="s">
        <v>29</v>
      </c>
      <c r="B1" s="1304"/>
      <c r="C1" s="1304"/>
      <c r="D1" s="1304"/>
      <c r="E1" s="1304"/>
      <c r="F1" s="4"/>
    </row>
    <row r="2" spans="1:14" ht="13.5" customHeight="1">
      <c r="A2" s="5"/>
      <c r="B2" s="5"/>
      <c r="C2" s="5"/>
      <c r="D2" s="5"/>
      <c r="E2" s="599"/>
      <c r="F2" s="4"/>
      <c r="N2" s="5"/>
    </row>
    <row r="3" spans="1:14" ht="13.5" customHeight="1">
      <c r="A3" s="5"/>
      <c r="B3" s="5" t="s">
        <v>30</v>
      </c>
      <c r="C3" s="599" t="s">
        <v>34</v>
      </c>
      <c r="D3" s="5"/>
      <c r="E3" s="599"/>
      <c r="F3" s="600" t="s">
        <v>28</v>
      </c>
      <c r="N3" s="5"/>
    </row>
    <row r="4" spans="1:14" ht="13.5" customHeight="1">
      <c r="A4" s="5"/>
      <c r="B4" s="5"/>
      <c r="C4" s="5"/>
      <c r="D4" s="5"/>
      <c r="E4" s="599"/>
      <c r="F4" s="600" t="s">
        <v>68</v>
      </c>
      <c r="N4" s="5"/>
    </row>
    <row r="5" spans="1:15" ht="13.5" customHeight="1">
      <c r="A5" s="5"/>
      <c r="B5" s="5"/>
      <c r="C5" s="5"/>
      <c r="D5" s="5"/>
      <c r="E5" s="599"/>
      <c r="F5" s="4"/>
      <c r="M5" s="602" t="s">
        <v>38</v>
      </c>
      <c r="N5" s="5"/>
      <c r="O5" s="541"/>
    </row>
    <row r="6" spans="1:14" ht="13.5" customHeight="1">
      <c r="A6" s="7"/>
      <c r="F6" s="4"/>
      <c r="I6" s="9"/>
      <c r="J6" s="10"/>
      <c r="K6" s="9" t="s">
        <v>200</v>
      </c>
      <c r="L6" s="99" t="str">
        <f>'使い方'!E6</f>
        <v>Ｂ金属株式会社</v>
      </c>
      <c r="N6" s="5"/>
    </row>
    <row r="7" spans="1:14" ht="13.5" customHeight="1" thickBot="1">
      <c r="A7" s="7"/>
      <c r="F7" s="4"/>
      <c r="I7" s="11"/>
      <c r="J7" s="11"/>
      <c r="N7" s="5"/>
    </row>
    <row r="8" spans="1:15" ht="27" customHeight="1">
      <c r="A8" s="1305" t="s">
        <v>13</v>
      </c>
      <c r="B8" s="1307" t="s">
        <v>14</v>
      </c>
      <c r="C8" s="1307"/>
      <c r="D8" s="1308"/>
      <c r="E8" s="13" t="s">
        <v>15</v>
      </c>
      <c r="F8" s="13" t="s">
        <v>16</v>
      </c>
      <c r="G8" s="13" t="s">
        <v>17</v>
      </c>
      <c r="H8" s="13" t="s">
        <v>18</v>
      </c>
      <c r="I8" s="13" t="s">
        <v>7</v>
      </c>
      <c r="J8" s="13" t="s">
        <v>7</v>
      </c>
      <c r="K8" s="1309" t="s">
        <v>19</v>
      </c>
      <c r="L8" s="1308"/>
      <c r="M8" s="1034" t="s">
        <v>20</v>
      </c>
      <c r="N8" s="1310" t="s">
        <v>13</v>
      </c>
      <c r="O8" s="1312" t="s">
        <v>238</v>
      </c>
    </row>
    <row r="9" spans="1:15" ht="42" customHeight="1" thickBot="1">
      <c r="A9" s="1306"/>
      <c r="B9" s="1061" t="s">
        <v>21</v>
      </c>
      <c r="C9" s="1061" t="s">
        <v>22</v>
      </c>
      <c r="D9" s="1062" t="s">
        <v>23</v>
      </c>
      <c r="E9" s="1067"/>
      <c r="F9" s="1064"/>
      <c r="G9" s="1065"/>
      <c r="H9" s="1065"/>
      <c r="I9" s="1065" t="s">
        <v>24</v>
      </c>
      <c r="J9" s="1065" t="s">
        <v>44</v>
      </c>
      <c r="K9" s="1065" t="s">
        <v>25</v>
      </c>
      <c r="L9" s="1066" t="s">
        <v>42</v>
      </c>
      <c r="M9" s="1066" t="s">
        <v>26</v>
      </c>
      <c r="N9" s="1311"/>
      <c r="O9" s="1313"/>
    </row>
    <row r="10" spans="1:15" ht="30.75" customHeight="1">
      <c r="A10" s="341">
        <v>1</v>
      </c>
      <c r="B10" s="1302"/>
      <c r="C10" s="1303"/>
      <c r="D10" s="1303"/>
      <c r="E10" s="578"/>
      <c r="F10" s="578"/>
      <c r="G10" s="1072"/>
      <c r="H10" s="1073"/>
      <c r="I10" s="1074">
        <f>IF(G10="","",ROUNDDOWN(J10*(1+O10/100),0))</f>
      </c>
      <c r="J10" s="1075"/>
      <c r="K10" s="1074">
        <f>IF(I10="","",ROUNDDOWN(L10*(1+O10/100),0))</f>
      </c>
      <c r="L10" s="1074">
        <f aca="true" t="shared" si="0" ref="L10:L29">IF(J10="","",ROUNDDOWN(J10*G10,0))</f>
      </c>
      <c r="M10" s="1087">
        <f aca="true" t="shared" si="1" ref="M10:M29">L10</f>
      </c>
      <c r="N10" s="1076">
        <v>1</v>
      </c>
      <c r="O10" s="1097">
        <v>8</v>
      </c>
    </row>
    <row r="11" spans="1:15" ht="30.75" customHeight="1">
      <c r="A11" s="346">
        <v>2</v>
      </c>
      <c r="B11" s="1296"/>
      <c r="C11" s="1297"/>
      <c r="D11" s="1297"/>
      <c r="E11" s="328"/>
      <c r="F11" s="17"/>
      <c r="G11" s="353"/>
      <c r="H11" s="354"/>
      <c r="I11" s="326">
        <f aca="true" t="shared" si="2" ref="I11:I29">IF(G11="","",ROUNDDOWN(J11*(1+O11/100),0))</f>
      </c>
      <c r="J11" s="363"/>
      <c r="K11" s="326">
        <f aca="true" t="shared" si="3" ref="K11:K29">IF(I11="","",ROUNDDOWN(L11*(1+O11/100),0))</f>
      </c>
      <c r="L11" s="326">
        <f t="shared" si="0"/>
      </c>
      <c r="M11" s="1088">
        <f t="shared" si="1"/>
      </c>
      <c r="N11" s="1077">
        <v>2</v>
      </c>
      <c r="O11" s="1098">
        <v>8</v>
      </c>
    </row>
    <row r="12" spans="1:15" ht="30.75" customHeight="1">
      <c r="A12" s="346">
        <v>3</v>
      </c>
      <c r="B12" s="1296"/>
      <c r="C12" s="1297"/>
      <c r="D12" s="1297"/>
      <c r="E12" s="328"/>
      <c r="F12" s="17"/>
      <c r="G12" s="353"/>
      <c r="H12" s="354"/>
      <c r="I12" s="326">
        <f t="shared" si="2"/>
      </c>
      <c r="J12" s="363"/>
      <c r="K12" s="326">
        <f t="shared" si="3"/>
      </c>
      <c r="L12" s="326">
        <f t="shared" si="0"/>
      </c>
      <c r="M12" s="1088">
        <f t="shared" si="1"/>
      </c>
      <c r="N12" s="1078">
        <v>3</v>
      </c>
      <c r="O12" s="1099">
        <v>8</v>
      </c>
    </row>
    <row r="13" spans="1:15" ht="30.75" customHeight="1">
      <c r="A13" s="346">
        <v>4</v>
      </c>
      <c r="B13" s="1296"/>
      <c r="C13" s="1297"/>
      <c r="D13" s="1297"/>
      <c r="E13" s="328"/>
      <c r="F13" s="17"/>
      <c r="G13" s="353"/>
      <c r="H13" s="354"/>
      <c r="I13" s="326">
        <f t="shared" si="2"/>
      </c>
      <c r="J13" s="363"/>
      <c r="K13" s="326">
        <f t="shared" si="3"/>
      </c>
      <c r="L13" s="326">
        <f t="shared" si="0"/>
      </c>
      <c r="M13" s="1088">
        <f t="shared" si="1"/>
      </c>
      <c r="N13" s="1077">
        <v>4</v>
      </c>
      <c r="O13" s="1098">
        <v>8</v>
      </c>
    </row>
    <row r="14" spans="1:15" ht="30.75" customHeight="1">
      <c r="A14" s="346">
        <v>5</v>
      </c>
      <c r="B14" s="1296"/>
      <c r="C14" s="1297"/>
      <c r="D14" s="1297"/>
      <c r="E14" s="17"/>
      <c r="F14" s="17"/>
      <c r="G14" s="353"/>
      <c r="H14" s="354"/>
      <c r="I14" s="326">
        <f t="shared" si="2"/>
      </c>
      <c r="J14" s="363"/>
      <c r="K14" s="326">
        <f t="shared" si="3"/>
      </c>
      <c r="L14" s="326">
        <f t="shared" si="0"/>
      </c>
      <c r="M14" s="1088">
        <f t="shared" si="1"/>
      </c>
      <c r="N14" s="1078">
        <v>5</v>
      </c>
      <c r="O14" s="1099">
        <v>8</v>
      </c>
    </row>
    <row r="15" spans="1:15" ht="30.75" customHeight="1">
      <c r="A15" s="346">
        <v>6</v>
      </c>
      <c r="B15" s="1296"/>
      <c r="C15" s="1297"/>
      <c r="D15" s="1297"/>
      <c r="E15" s="17"/>
      <c r="F15" s="17"/>
      <c r="G15" s="353"/>
      <c r="H15" s="354"/>
      <c r="I15" s="326">
        <f t="shared" si="2"/>
      </c>
      <c r="J15" s="363"/>
      <c r="K15" s="326">
        <f t="shared" si="3"/>
      </c>
      <c r="L15" s="326">
        <f t="shared" si="0"/>
      </c>
      <c r="M15" s="1088">
        <f t="shared" si="1"/>
      </c>
      <c r="N15" s="1077">
        <v>6</v>
      </c>
      <c r="O15" s="1098">
        <v>8</v>
      </c>
    </row>
    <row r="16" spans="1:15" ht="30.75" customHeight="1">
      <c r="A16" s="346">
        <v>7</v>
      </c>
      <c r="B16" s="1296"/>
      <c r="C16" s="1297"/>
      <c r="D16" s="1297"/>
      <c r="E16" s="17"/>
      <c r="F16" s="21"/>
      <c r="G16" s="353"/>
      <c r="H16" s="354"/>
      <c r="I16" s="326">
        <f t="shared" si="2"/>
      </c>
      <c r="J16" s="363"/>
      <c r="K16" s="326">
        <f t="shared" si="3"/>
      </c>
      <c r="L16" s="326">
        <f t="shared" si="0"/>
      </c>
      <c r="M16" s="1088">
        <f t="shared" si="1"/>
      </c>
      <c r="N16" s="1078">
        <v>7</v>
      </c>
      <c r="O16" s="1099">
        <v>8</v>
      </c>
    </row>
    <row r="17" spans="1:15" ht="30.75" customHeight="1">
      <c r="A17" s="346">
        <v>8</v>
      </c>
      <c r="B17" s="1296"/>
      <c r="C17" s="1297"/>
      <c r="D17" s="1297"/>
      <c r="E17" s="328"/>
      <c r="F17" s="328"/>
      <c r="G17" s="353"/>
      <c r="H17" s="354"/>
      <c r="I17" s="326">
        <f t="shared" si="2"/>
      </c>
      <c r="J17" s="363"/>
      <c r="K17" s="326">
        <f t="shared" si="3"/>
      </c>
      <c r="L17" s="326">
        <f t="shared" si="0"/>
      </c>
      <c r="M17" s="1088">
        <f t="shared" si="1"/>
      </c>
      <c r="N17" s="1077">
        <v>8</v>
      </c>
      <c r="O17" s="1098">
        <v>8</v>
      </c>
    </row>
    <row r="18" spans="1:15" ht="30.75" customHeight="1">
      <c r="A18" s="346">
        <v>9</v>
      </c>
      <c r="B18" s="1296"/>
      <c r="C18" s="1297"/>
      <c r="D18" s="1297"/>
      <c r="E18" s="17"/>
      <c r="F18" s="17"/>
      <c r="G18" s="353"/>
      <c r="H18" s="354"/>
      <c r="I18" s="326">
        <f t="shared" si="2"/>
      </c>
      <c r="J18" s="363"/>
      <c r="K18" s="326">
        <f t="shared" si="3"/>
      </c>
      <c r="L18" s="326">
        <f t="shared" si="0"/>
      </c>
      <c r="M18" s="1088">
        <f t="shared" si="1"/>
      </c>
      <c r="N18" s="1078">
        <v>9</v>
      </c>
      <c r="O18" s="1099">
        <v>8</v>
      </c>
    </row>
    <row r="19" spans="1:15" ht="30.75" customHeight="1">
      <c r="A19" s="346">
        <v>10</v>
      </c>
      <c r="B19" s="1296"/>
      <c r="C19" s="1297"/>
      <c r="D19" s="1297"/>
      <c r="E19" s="17"/>
      <c r="F19" s="17"/>
      <c r="G19" s="353"/>
      <c r="H19" s="354"/>
      <c r="I19" s="326">
        <f t="shared" si="2"/>
      </c>
      <c r="J19" s="363"/>
      <c r="K19" s="326">
        <f t="shared" si="3"/>
      </c>
      <c r="L19" s="326">
        <f t="shared" si="0"/>
      </c>
      <c r="M19" s="1088">
        <f t="shared" si="1"/>
      </c>
      <c r="N19" s="1077">
        <v>10</v>
      </c>
      <c r="O19" s="1098">
        <v>8</v>
      </c>
    </row>
    <row r="20" spans="1:15" ht="30.75" customHeight="1">
      <c r="A20" s="346">
        <v>11</v>
      </c>
      <c r="B20" s="1296"/>
      <c r="C20" s="1297"/>
      <c r="D20" s="1297"/>
      <c r="E20" s="17"/>
      <c r="F20" s="17"/>
      <c r="G20" s="353"/>
      <c r="H20" s="354"/>
      <c r="I20" s="326">
        <f t="shared" si="2"/>
      </c>
      <c r="J20" s="363"/>
      <c r="K20" s="326">
        <f t="shared" si="3"/>
      </c>
      <c r="L20" s="326">
        <f t="shared" si="0"/>
      </c>
      <c r="M20" s="1088">
        <f t="shared" si="1"/>
      </c>
      <c r="N20" s="1078">
        <v>11</v>
      </c>
      <c r="O20" s="1099">
        <v>8</v>
      </c>
    </row>
    <row r="21" spans="1:15" ht="30.75" customHeight="1">
      <c r="A21" s="346">
        <v>12</v>
      </c>
      <c r="B21" s="1296"/>
      <c r="C21" s="1297"/>
      <c r="D21" s="1297"/>
      <c r="E21" s="17"/>
      <c r="F21" s="17"/>
      <c r="G21" s="353"/>
      <c r="H21" s="354"/>
      <c r="I21" s="326">
        <f t="shared" si="2"/>
      </c>
      <c r="J21" s="363"/>
      <c r="K21" s="326">
        <f t="shared" si="3"/>
      </c>
      <c r="L21" s="326">
        <f t="shared" si="0"/>
      </c>
      <c r="M21" s="1088">
        <f t="shared" si="1"/>
      </c>
      <c r="N21" s="1077">
        <v>12</v>
      </c>
      <c r="O21" s="1098">
        <v>8</v>
      </c>
    </row>
    <row r="22" spans="1:15" ht="30.75" customHeight="1">
      <c r="A22" s="346">
        <v>13</v>
      </c>
      <c r="B22" s="1296"/>
      <c r="C22" s="1297"/>
      <c r="D22" s="1297"/>
      <c r="E22" s="17"/>
      <c r="F22" s="17"/>
      <c r="G22" s="353"/>
      <c r="H22" s="354"/>
      <c r="I22" s="326">
        <f t="shared" si="2"/>
      </c>
      <c r="J22" s="363"/>
      <c r="K22" s="326">
        <f t="shared" si="3"/>
      </c>
      <c r="L22" s="326">
        <f t="shared" si="0"/>
      </c>
      <c r="M22" s="1088">
        <f t="shared" si="1"/>
      </c>
      <c r="N22" s="1078">
        <v>13</v>
      </c>
      <c r="O22" s="1099">
        <v>8</v>
      </c>
    </row>
    <row r="23" spans="1:15" ht="30.75" customHeight="1">
      <c r="A23" s="346">
        <v>14</v>
      </c>
      <c r="B23" s="1296"/>
      <c r="C23" s="1297"/>
      <c r="D23" s="1297"/>
      <c r="E23" s="577"/>
      <c r="F23" s="17"/>
      <c r="G23" s="353"/>
      <c r="H23" s="354"/>
      <c r="I23" s="326">
        <f t="shared" si="2"/>
      </c>
      <c r="J23" s="363"/>
      <c r="K23" s="326">
        <f t="shared" si="3"/>
      </c>
      <c r="L23" s="326">
        <f t="shared" si="0"/>
      </c>
      <c r="M23" s="1088">
        <f t="shared" si="1"/>
      </c>
      <c r="N23" s="1077">
        <v>14</v>
      </c>
      <c r="O23" s="1098">
        <v>8</v>
      </c>
    </row>
    <row r="24" spans="1:15" ht="30.75" customHeight="1">
      <c r="A24" s="346">
        <v>15</v>
      </c>
      <c r="B24" s="1296"/>
      <c r="C24" s="1297"/>
      <c r="D24" s="1297"/>
      <c r="E24" s="577"/>
      <c r="F24" s="17"/>
      <c r="G24" s="353"/>
      <c r="H24" s="354"/>
      <c r="I24" s="326">
        <f t="shared" si="2"/>
      </c>
      <c r="J24" s="363"/>
      <c r="K24" s="326">
        <f t="shared" si="3"/>
      </c>
      <c r="L24" s="326">
        <f t="shared" si="0"/>
      </c>
      <c r="M24" s="1088">
        <f t="shared" si="1"/>
      </c>
      <c r="N24" s="1078">
        <v>15</v>
      </c>
      <c r="O24" s="1099">
        <v>8</v>
      </c>
    </row>
    <row r="25" spans="1:15" ht="30.75" customHeight="1">
      <c r="A25" s="346">
        <v>16</v>
      </c>
      <c r="B25" s="1296"/>
      <c r="C25" s="1297"/>
      <c r="D25" s="1297"/>
      <c r="E25" s="17"/>
      <c r="F25" s="17"/>
      <c r="G25" s="353"/>
      <c r="H25" s="354"/>
      <c r="I25" s="326">
        <f t="shared" si="2"/>
      </c>
      <c r="J25" s="363"/>
      <c r="K25" s="326">
        <f t="shared" si="3"/>
      </c>
      <c r="L25" s="326">
        <f t="shared" si="0"/>
      </c>
      <c r="M25" s="1088">
        <f t="shared" si="1"/>
      </c>
      <c r="N25" s="1077">
        <v>16</v>
      </c>
      <c r="O25" s="1098">
        <v>8</v>
      </c>
    </row>
    <row r="26" spans="1:15" ht="30.75" customHeight="1">
      <c r="A26" s="346">
        <v>17</v>
      </c>
      <c r="B26" s="1296"/>
      <c r="C26" s="1297"/>
      <c r="D26" s="1297"/>
      <c r="E26" s="17"/>
      <c r="F26" s="17"/>
      <c r="G26" s="353"/>
      <c r="H26" s="354"/>
      <c r="I26" s="326">
        <f t="shared" si="2"/>
      </c>
      <c r="J26" s="363"/>
      <c r="K26" s="326">
        <f t="shared" si="3"/>
      </c>
      <c r="L26" s="326">
        <f t="shared" si="0"/>
      </c>
      <c r="M26" s="1088">
        <f t="shared" si="1"/>
      </c>
      <c r="N26" s="1078">
        <v>17</v>
      </c>
      <c r="O26" s="1099">
        <v>8</v>
      </c>
    </row>
    <row r="27" spans="1:15" ht="30.75" customHeight="1">
      <c r="A27" s="346">
        <v>18</v>
      </c>
      <c r="B27" s="1296"/>
      <c r="C27" s="1297"/>
      <c r="D27" s="1297"/>
      <c r="E27" s="17"/>
      <c r="F27" s="17"/>
      <c r="G27" s="353"/>
      <c r="H27" s="354"/>
      <c r="I27" s="326">
        <f t="shared" si="2"/>
      </c>
      <c r="J27" s="363"/>
      <c r="K27" s="326">
        <f t="shared" si="3"/>
      </c>
      <c r="L27" s="326">
        <f t="shared" si="0"/>
      </c>
      <c r="M27" s="1088">
        <f t="shared" si="1"/>
      </c>
      <c r="N27" s="1077">
        <v>18</v>
      </c>
      <c r="O27" s="1098">
        <v>8</v>
      </c>
    </row>
    <row r="28" spans="1:15" ht="30.75" customHeight="1">
      <c r="A28" s="346">
        <v>19</v>
      </c>
      <c r="B28" s="1296"/>
      <c r="C28" s="1297"/>
      <c r="D28" s="1297"/>
      <c r="E28" s="577"/>
      <c r="F28" s="17"/>
      <c r="G28" s="353"/>
      <c r="H28" s="354"/>
      <c r="I28" s="326">
        <f t="shared" si="2"/>
      </c>
      <c r="J28" s="363"/>
      <c r="K28" s="326">
        <f t="shared" si="3"/>
      </c>
      <c r="L28" s="326">
        <f t="shared" si="0"/>
      </c>
      <c r="M28" s="1088">
        <f t="shared" si="1"/>
      </c>
      <c r="N28" s="1078">
        <v>19</v>
      </c>
      <c r="O28" s="1099">
        <v>8</v>
      </c>
    </row>
    <row r="29" spans="1:15" ht="30.75" customHeight="1" thickBot="1">
      <c r="A29" s="1052">
        <v>20</v>
      </c>
      <c r="B29" s="1298"/>
      <c r="C29" s="1299"/>
      <c r="D29" s="1299"/>
      <c r="E29" s="579"/>
      <c r="F29" s="579"/>
      <c r="G29" s="1084"/>
      <c r="H29" s="1085"/>
      <c r="I29" s="1081">
        <f t="shared" si="2"/>
      </c>
      <c r="J29" s="1086"/>
      <c r="K29" s="1081">
        <f t="shared" si="3"/>
      </c>
      <c r="L29" s="1081">
        <f t="shared" si="0"/>
      </c>
      <c r="M29" s="1089">
        <f t="shared" si="1"/>
      </c>
      <c r="N29" s="1083">
        <v>20</v>
      </c>
      <c r="O29" s="1100">
        <v>8</v>
      </c>
    </row>
    <row r="30" spans="1:14" ht="21" customHeight="1" thickBot="1">
      <c r="A30" s="1300" t="s">
        <v>27</v>
      </c>
      <c r="B30" s="1301"/>
      <c r="C30" s="1301"/>
      <c r="D30" s="1301"/>
      <c r="E30" s="1301"/>
      <c r="F30" s="1301"/>
      <c r="G30" s="1301"/>
      <c r="H30" s="1301"/>
      <c r="I30" s="1301"/>
      <c r="J30" s="1035"/>
      <c r="K30" s="29">
        <f>SUM(K10:K29)</f>
        <v>0</v>
      </c>
      <c r="L30" s="29">
        <f>SUM(L10:L29)</f>
        <v>0</v>
      </c>
      <c r="M30" s="36">
        <f>SUM(M10:M29)</f>
        <v>0</v>
      </c>
      <c r="N30" s="350"/>
    </row>
    <row r="31" spans="1:14" ht="13.5" customHeight="1">
      <c r="A31" s="7"/>
      <c r="N31" s="5"/>
    </row>
    <row r="32" spans="1:14" ht="13.5" customHeight="1">
      <c r="A32" s="7"/>
      <c r="B32" s="602" t="s">
        <v>35</v>
      </c>
      <c r="D32" s="7"/>
      <c r="E32" s="19" t="s">
        <v>201</v>
      </c>
      <c r="N32" s="5"/>
    </row>
    <row r="33" ht="13.5" customHeight="1">
      <c r="E33" s="19" t="s">
        <v>202</v>
      </c>
    </row>
    <row r="34" spans="2:5" ht="13.5" customHeight="1">
      <c r="B34" s="602" t="s">
        <v>36</v>
      </c>
      <c r="E34" s="19" t="s">
        <v>203</v>
      </c>
    </row>
    <row r="35" spans="2:5" ht="13.5" customHeight="1">
      <c r="B35" s="602" t="s">
        <v>37</v>
      </c>
      <c r="E35" s="19" t="s">
        <v>204</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tabColor theme="8" tint="-0.24997000396251678"/>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558" customWidth="1"/>
    <col min="2" max="3" width="2.57421875" style="558" customWidth="1"/>
    <col min="4" max="4" width="5.7109375" style="558" customWidth="1"/>
    <col min="5" max="5" width="15.57421875" style="19" customWidth="1"/>
    <col min="6" max="6" width="14.8515625" style="19" customWidth="1"/>
    <col min="7" max="7" width="9.421875" style="558" customWidth="1"/>
    <col min="8" max="8" width="5.140625" style="558" customWidth="1"/>
    <col min="9" max="9" width="9.8515625" style="558" customWidth="1"/>
    <col min="10" max="10" width="11.140625" style="558" customWidth="1"/>
    <col min="11" max="11" width="11.57421875" style="558" customWidth="1"/>
    <col min="12" max="12" width="11.7109375" style="558" customWidth="1"/>
    <col min="13" max="13" width="12.28125" style="558" bestFit="1" customWidth="1"/>
    <col min="14" max="14" width="3.140625" style="4" customWidth="1"/>
    <col min="15" max="15" width="4.421875" style="4" customWidth="1"/>
    <col min="16" max="16384" width="9.00390625" style="558" customWidth="1"/>
  </cols>
  <sheetData>
    <row r="1" spans="1:6" ht="13.5" customHeight="1">
      <c r="A1" s="1304" t="s">
        <v>29</v>
      </c>
      <c r="B1" s="1304"/>
      <c r="C1" s="1304"/>
      <c r="D1" s="1304"/>
      <c r="E1" s="1304"/>
      <c r="F1" s="4"/>
    </row>
    <row r="2" spans="1:14" ht="13.5" customHeight="1">
      <c r="A2" s="5"/>
      <c r="B2" s="5"/>
      <c r="C2" s="5"/>
      <c r="D2" s="5"/>
      <c r="E2" s="585"/>
      <c r="F2" s="4"/>
      <c r="N2" s="5"/>
    </row>
    <row r="3" spans="1:14" ht="13.5" customHeight="1">
      <c r="A3" s="5"/>
      <c r="B3" s="5" t="s">
        <v>30</v>
      </c>
      <c r="C3" s="585" t="s">
        <v>34</v>
      </c>
      <c r="D3" s="5"/>
      <c r="E3" s="585"/>
      <c r="F3" s="584" t="s">
        <v>28</v>
      </c>
      <c r="N3" s="5"/>
    </row>
    <row r="4" spans="1:14" ht="13.5" customHeight="1">
      <c r="A4" s="5"/>
      <c r="B4" s="5"/>
      <c r="C4" s="5"/>
      <c r="D4" s="5"/>
      <c r="E4" s="585"/>
      <c r="F4" s="584" t="s">
        <v>66</v>
      </c>
      <c r="N4" s="5"/>
    </row>
    <row r="5" spans="1:15" ht="13.5" customHeight="1">
      <c r="A5" s="5"/>
      <c r="B5" s="5"/>
      <c r="C5" s="5"/>
      <c r="D5" s="5"/>
      <c r="E5" s="585"/>
      <c r="F5" s="4"/>
      <c r="M5" s="558" t="s">
        <v>38</v>
      </c>
      <c r="N5" s="5"/>
      <c r="O5" s="541"/>
    </row>
    <row r="6" spans="1:14" ht="13.5" customHeight="1">
      <c r="A6" s="7"/>
      <c r="F6" s="4"/>
      <c r="I6" s="9"/>
      <c r="J6" s="10"/>
      <c r="K6" s="9" t="s">
        <v>200</v>
      </c>
      <c r="L6" s="99" t="str">
        <f>'使い方'!E6</f>
        <v>Ｂ金属株式会社</v>
      </c>
      <c r="N6" s="5"/>
    </row>
    <row r="7" spans="1:14" ht="13.5" customHeight="1" thickBot="1">
      <c r="A7" s="7"/>
      <c r="F7" s="4"/>
      <c r="I7" s="11"/>
      <c r="J7" s="11"/>
      <c r="N7" s="5"/>
    </row>
    <row r="8" spans="1:15" ht="27" customHeight="1">
      <c r="A8" s="1305" t="s">
        <v>13</v>
      </c>
      <c r="B8" s="1307" t="s">
        <v>14</v>
      </c>
      <c r="C8" s="1307"/>
      <c r="D8" s="1308"/>
      <c r="E8" s="13" t="s">
        <v>15</v>
      </c>
      <c r="F8" s="13" t="s">
        <v>16</v>
      </c>
      <c r="G8" s="13" t="s">
        <v>17</v>
      </c>
      <c r="H8" s="13" t="s">
        <v>18</v>
      </c>
      <c r="I8" s="13" t="s">
        <v>7</v>
      </c>
      <c r="J8" s="13" t="s">
        <v>7</v>
      </c>
      <c r="K8" s="1309" t="s">
        <v>19</v>
      </c>
      <c r="L8" s="1308"/>
      <c r="M8" s="1034" t="s">
        <v>20</v>
      </c>
      <c r="N8" s="1310" t="s">
        <v>13</v>
      </c>
      <c r="O8" s="1312" t="s">
        <v>238</v>
      </c>
    </row>
    <row r="9" spans="1:15" ht="42" customHeight="1" thickBot="1">
      <c r="A9" s="1306"/>
      <c r="B9" s="1061" t="s">
        <v>21</v>
      </c>
      <c r="C9" s="1061" t="s">
        <v>22</v>
      </c>
      <c r="D9" s="1062" t="s">
        <v>23</v>
      </c>
      <c r="E9" s="1067"/>
      <c r="F9" s="1064"/>
      <c r="G9" s="1065"/>
      <c r="H9" s="1065"/>
      <c r="I9" s="1065" t="s">
        <v>24</v>
      </c>
      <c r="J9" s="1065" t="s">
        <v>44</v>
      </c>
      <c r="K9" s="1065" t="s">
        <v>25</v>
      </c>
      <c r="L9" s="1066" t="s">
        <v>42</v>
      </c>
      <c r="M9" s="1066" t="s">
        <v>26</v>
      </c>
      <c r="N9" s="1311"/>
      <c r="O9" s="1313"/>
    </row>
    <row r="10" spans="1:15" ht="30.75" customHeight="1">
      <c r="A10" s="30">
        <v>1</v>
      </c>
      <c r="B10" s="1302"/>
      <c r="C10" s="1303"/>
      <c r="D10" s="1303"/>
      <c r="E10" s="578"/>
      <c r="F10" s="578"/>
      <c r="G10" s="1072"/>
      <c r="H10" s="1073"/>
      <c r="I10" s="1074">
        <f>IF(G10="","",ROUNDDOWN(J10*(1+O10/100),0))</f>
      </c>
      <c r="J10" s="1075"/>
      <c r="K10" s="1074">
        <f>IF(I10="","",ROUNDDOWN(L10*(1+O10/100),0))</f>
      </c>
      <c r="L10" s="1074">
        <f aca="true" t="shared" si="0" ref="L10:L29">IF(J10="","",ROUNDDOWN(J10*G10,0))</f>
      </c>
      <c r="M10" s="1087">
        <f aca="true" t="shared" si="1" ref="M10:M29">L10</f>
      </c>
      <c r="N10" s="1076">
        <v>1</v>
      </c>
      <c r="O10" s="1097">
        <v>8</v>
      </c>
    </row>
    <row r="11" spans="1:15" ht="30.75" customHeight="1">
      <c r="A11" s="31">
        <v>2</v>
      </c>
      <c r="B11" s="1296"/>
      <c r="C11" s="1297"/>
      <c r="D11" s="1297"/>
      <c r="E11" s="328"/>
      <c r="F11" s="17"/>
      <c r="G11" s="353"/>
      <c r="H11" s="354"/>
      <c r="I11" s="326">
        <f aca="true" t="shared" si="2" ref="I11:I29">IF(G11="","",ROUNDDOWN(J11*(1+O11/100),0))</f>
      </c>
      <c r="J11" s="363"/>
      <c r="K11" s="326">
        <f aca="true" t="shared" si="3" ref="K11:K29">IF(I11="","",ROUNDDOWN(L11*(1+O11/100),0))</f>
      </c>
      <c r="L11" s="326">
        <f t="shared" si="0"/>
      </c>
      <c r="M11" s="1088">
        <f t="shared" si="1"/>
      </c>
      <c r="N11" s="1077">
        <v>2</v>
      </c>
      <c r="O11" s="1098">
        <v>8</v>
      </c>
    </row>
    <row r="12" spans="1:15" ht="30.75" customHeight="1">
      <c r="A12" s="31">
        <v>3</v>
      </c>
      <c r="B12" s="1296"/>
      <c r="C12" s="1297"/>
      <c r="D12" s="1297"/>
      <c r="E12" s="328"/>
      <c r="F12" s="17"/>
      <c r="G12" s="353"/>
      <c r="H12" s="354"/>
      <c r="I12" s="326">
        <f t="shared" si="2"/>
      </c>
      <c r="J12" s="363"/>
      <c r="K12" s="326">
        <f t="shared" si="3"/>
      </c>
      <c r="L12" s="326">
        <f t="shared" si="0"/>
      </c>
      <c r="M12" s="1088">
        <f t="shared" si="1"/>
      </c>
      <c r="N12" s="1078">
        <v>3</v>
      </c>
      <c r="O12" s="1099">
        <v>8</v>
      </c>
    </row>
    <row r="13" spans="1:15" ht="30.75" customHeight="1">
      <c r="A13" s="31">
        <v>4</v>
      </c>
      <c r="B13" s="1296"/>
      <c r="C13" s="1297"/>
      <c r="D13" s="1297"/>
      <c r="E13" s="328"/>
      <c r="F13" s="17"/>
      <c r="G13" s="353"/>
      <c r="H13" s="354"/>
      <c r="I13" s="326">
        <f t="shared" si="2"/>
      </c>
      <c r="J13" s="363"/>
      <c r="K13" s="326">
        <f t="shared" si="3"/>
      </c>
      <c r="L13" s="326">
        <f t="shared" si="0"/>
      </c>
      <c r="M13" s="1088">
        <f t="shared" si="1"/>
      </c>
      <c r="N13" s="1077">
        <v>4</v>
      </c>
      <c r="O13" s="1098">
        <v>8</v>
      </c>
    </row>
    <row r="14" spans="1:15" ht="30.75" customHeight="1">
      <c r="A14" s="31">
        <v>5</v>
      </c>
      <c r="B14" s="1296"/>
      <c r="C14" s="1297"/>
      <c r="D14" s="1297"/>
      <c r="E14" s="17"/>
      <c r="F14" s="17"/>
      <c r="G14" s="353"/>
      <c r="H14" s="354"/>
      <c r="I14" s="326">
        <f t="shared" si="2"/>
      </c>
      <c r="J14" s="363"/>
      <c r="K14" s="326">
        <f t="shared" si="3"/>
      </c>
      <c r="L14" s="326">
        <f t="shared" si="0"/>
      </c>
      <c r="M14" s="1088">
        <f t="shared" si="1"/>
      </c>
      <c r="N14" s="1078">
        <v>5</v>
      </c>
      <c r="O14" s="1099">
        <v>8</v>
      </c>
    </row>
    <row r="15" spans="1:15" ht="30.75" customHeight="1">
      <c r="A15" s="31">
        <v>6</v>
      </c>
      <c r="B15" s="1296"/>
      <c r="C15" s="1297"/>
      <c r="D15" s="1297"/>
      <c r="E15" s="17"/>
      <c r="F15" s="17"/>
      <c r="G15" s="353"/>
      <c r="H15" s="354"/>
      <c r="I15" s="326">
        <f t="shared" si="2"/>
      </c>
      <c r="J15" s="363"/>
      <c r="K15" s="326">
        <f t="shared" si="3"/>
      </c>
      <c r="L15" s="326">
        <f t="shared" si="0"/>
      </c>
      <c r="M15" s="1088">
        <f t="shared" si="1"/>
      </c>
      <c r="N15" s="1077">
        <v>6</v>
      </c>
      <c r="O15" s="1098">
        <v>8</v>
      </c>
    </row>
    <row r="16" spans="1:15" ht="30.75" customHeight="1">
      <c r="A16" s="31">
        <v>7</v>
      </c>
      <c r="B16" s="1296"/>
      <c r="C16" s="1297"/>
      <c r="D16" s="1297"/>
      <c r="E16" s="17"/>
      <c r="F16" s="21"/>
      <c r="G16" s="353"/>
      <c r="H16" s="354"/>
      <c r="I16" s="326">
        <f t="shared" si="2"/>
      </c>
      <c r="J16" s="363"/>
      <c r="K16" s="326">
        <f t="shared" si="3"/>
      </c>
      <c r="L16" s="326">
        <f t="shared" si="0"/>
      </c>
      <c r="M16" s="1088">
        <f t="shared" si="1"/>
      </c>
      <c r="N16" s="1078">
        <v>7</v>
      </c>
      <c r="O16" s="1099">
        <v>8</v>
      </c>
    </row>
    <row r="17" spans="1:15" ht="30.75" customHeight="1">
      <c r="A17" s="31">
        <v>8</v>
      </c>
      <c r="B17" s="1296"/>
      <c r="C17" s="1297"/>
      <c r="D17" s="1297"/>
      <c r="E17" s="328"/>
      <c r="F17" s="328"/>
      <c r="G17" s="353"/>
      <c r="H17" s="354"/>
      <c r="I17" s="326">
        <f t="shared" si="2"/>
      </c>
      <c r="J17" s="363"/>
      <c r="K17" s="326">
        <f t="shared" si="3"/>
      </c>
      <c r="L17" s="326">
        <f t="shared" si="0"/>
      </c>
      <c r="M17" s="1088">
        <f t="shared" si="1"/>
      </c>
      <c r="N17" s="1077">
        <v>8</v>
      </c>
      <c r="O17" s="1098">
        <v>8</v>
      </c>
    </row>
    <row r="18" spans="1:15" ht="30.75" customHeight="1">
      <c r="A18" s="31">
        <v>9</v>
      </c>
      <c r="B18" s="1296"/>
      <c r="C18" s="1297"/>
      <c r="D18" s="1297"/>
      <c r="E18" s="17"/>
      <c r="F18" s="17"/>
      <c r="G18" s="353"/>
      <c r="H18" s="354"/>
      <c r="I18" s="326">
        <f t="shared" si="2"/>
      </c>
      <c r="J18" s="363"/>
      <c r="K18" s="326">
        <f t="shared" si="3"/>
      </c>
      <c r="L18" s="326">
        <f t="shared" si="0"/>
      </c>
      <c r="M18" s="1088">
        <f t="shared" si="1"/>
      </c>
      <c r="N18" s="1078">
        <v>9</v>
      </c>
      <c r="O18" s="1099">
        <v>8</v>
      </c>
    </row>
    <row r="19" spans="1:15" ht="30.75" customHeight="1">
      <c r="A19" s="31">
        <v>10</v>
      </c>
      <c r="B19" s="1296"/>
      <c r="C19" s="1297"/>
      <c r="D19" s="1297"/>
      <c r="E19" s="17"/>
      <c r="F19" s="17"/>
      <c r="G19" s="353"/>
      <c r="H19" s="354"/>
      <c r="I19" s="326">
        <f t="shared" si="2"/>
      </c>
      <c r="J19" s="363"/>
      <c r="K19" s="326">
        <f t="shared" si="3"/>
      </c>
      <c r="L19" s="326">
        <f t="shared" si="0"/>
      </c>
      <c r="M19" s="1088">
        <f t="shared" si="1"/>
      </c>
      <c r="N19" s="1077">
        <v>10</v>
      </c>
      <c r="O19" s="1098">
        <v>8</v>
      </c>
    </row>
    <row r="20" spans="1:15" ht="30.75" customHeight="1">
      <c r="A20" s="31">
        <v>11</v>
      </c>
      <c r="B20" s="1296"/>
      <c r="C20" s="1297"/>
      <c r="D20" s="1297"/>
      <c r="E20" s="17"/>
      <c r="F20" s="17"/>
      <c r="G20" s="353"/>
      <c r="H20" s="354"/>
      <c r="I20" s="326">
        <f t="shared" si="2"/>
      </c>
      <c r="J20" s="363"/>
      <c r="K20" s="326">
        <f t="shared" si="3"/>
      </c>
      <c r="L20" s="326">
        <f t="shared" si="0"/>
      </c>
      <c r="M20" s="1088">
        <f t="shared" si="1"/>
      </c>
      <c r="N20" s="1078">
        <v>11</v>
      </c>
      <c r="O20" s="1099">
        <v>8</v>
      </c>
    </row>
    <row r="21" spans="1:15" ht="30.75" customHeight="1">
      <c r="A21" s="31">
        <v>12</v>
      </c>
      <c r="B21" s="1296"/>
      <c r="C21" s="1297"/>
      <c r="D21" s="1297"/>
      <c r="E21" s="17"/>
      <c r="F21" s="17"/>
      <c r="G21" s="353"/>
      <c r="H21" s="354"/>
      <c r="I21" s="326">
        <f t="shared" si="2"/>
      </c>
      <c r="J21" s="363"/>
      <c r="K21" s="326">
        <f t="shared" si="3"/>
      </c>
      <c r="L21" s="326">
        <f t="shared" si="0"/>
      </c>
      <c r="M21" s="1088">
        <f t="shared" si="1"/>
      </c>
      <c r="N21" s="1077">
        <v>12</v>
      </c>
      <c r="O21" s="1098">
        <v>8</v>
      </c>
    </row>
    <row r="22" spans="1:15" ht="30.75" customHeight="1">
      <c r="A22" s="31">
        <v>13</v>
      </c>
      <c r="B22" s="1296"/>
      <c r="C22" s="1297"/>
      <c r="D22" s="1297"/>
      <c r="E22" s="17"/>
      <c r="F22" s="17"/>
      <c r="G22" s="353"/>
      <c r="H22" s="354"/>
      <c r="I22" s="326">
        <f t="shared" si="2"/>
      </c>
      <c r="J22" s="363"/>
      <c r="K22" s="326">
        <f t="shared" si="3"/>
      </c>
      <c r="L22" s="326">
        <f t="shared" si="0"/>
      </c>
      <c r="M22" s="1088">
        <f t="shared" si="1"/>
      </c>
      <c r="N22" s="1078">
        <v>13</v>
      </c>
      <c r="O22" s="1099">
        <v>8</v>
      </c>
    </row>
    <row r="23" spans="1:15" ht="30.75" customHeight="1">
      <c r="A23" s="31">
        <v>14</v>
      </c>
      <c r="B23" s="1296"/>
      <c r="C23" s="1297"/>
      <c r="D23" s="1297"/>
      <c r="E23" s="577"/>
      <c r="F23" s="17"/>
      <c r="G23" s="353"/>
      <c r="H23" s="354"/>
      <c r="I23" s="326">
        <f t="shared" si="2"/>
      </c>
      <c r="J23" s="363"/>
      <c r="K23" s="326">
        <f t="shared" si="3"/>
      </c>
      <c r="L23" s="326">
        <f t="shared" si="0"/>
      </c>
      <c r="M23" s="1088">
        <f t="shared" si="1"/>
      </c>
      <c r="N23" s="1077">
        <v>14</v>
      </c>
      <c r="O23" s="1098">
        <v>8</v>
      </c>
    </row>
    <row r="24" spans="1:15" ht="30.75" customHeight="1">
      <c r="A24" s="31">
        <v>15</v>
      </c>
      <c r="B24" s="1296"/>
      <c r="C24" s="1297"/>
      <c r="D24" s="1297"/>
      <c r="E24" s="577"/>
      <c r="F24" s="17"/>
      <c r="G24" s="353"/>
      <c r="H24" s="354"/>
      <c r="I24" s="326">
        <f t="shared" si="2"/>
      </c>
      <c r="J24" s="363"/>
      <c r="K24" s="326">
        <f t="shared" si="3"/>
      </c>
      <c r="L24" s="326">
        <f t="shared" si="0"/>
      </c>
      <c r="M24" s="1088">
        <f t="shared" si="1"/>
      </c>
      <c r="N24" s="1078">
        <v>15</v>
      </c>
      <c r="O24" s="1099">
        <v>8</v>
      </c>
    </row>
    <row r="25" spans="1:15" ht="30.75" customHeight="1">
      <c r="A25" s="31">
        <v>16</v>
      </c>
      <c r="B25" s="1296"/>
      <c r="C25" s="1297"/>
      <c r="D25" s="1297"/>
      <c r="E25" s="17"/>
      <c r="F25" s="17"/>
      <c r="G25" s="353"/>
      <c r="H25" s="354"/>
      <c r="I25" s="326">
        <f t="shared" si="2"/>
      </c>
      <c r="J25" s="363"/>
      <c r="K25" s="326">
        <f t="shared" si="3"/>
      </c>
      <c r="L25" s="326">
        <f t="shared" si="0"/>
      </c>
      <c r="M25" s="1088">
        <f t="shared" si="1"/>
      </c>
      <c r="N25" s="1077">
        <v>16</v>
      </c>
      <c r="O25" s="1098">
        <v>8</v>
      </c>
    </row>
    <row r="26" spans="1:15" ht="30.75" customHeight="1">
      <c r="A26" s="31">
        <v>17</v>
      </c>
      <c r="B26" s="1296"/>
      <c r="C26" s="1297"/>
      <c r="D26" s="1297"/>
      <c r="E26" s="17"/>
      <c r="F26" s="17"/>
      <c r="G26" s="353"/>
      <c r="H26" s="354"/>
      <c r="I26" s="326">
        <f t="shared" si="2"/>
      </c>
      <c r="J26" s="363"/>
      <c r="K26" s="326">
        <f t="shared" si="3"/>
      </c>
      <c r="L26" s="326">
        <f t="shared" si="0"/>
      </c>
      <c r="M26" s="1088">
        <f t="shared" si="1"/>
      </c>
      <c r="N26" s="1078">
        <v>17</v>
      </c>
      <c r="O26" s="1099">
        <v>8</v>
      </c>
    </row>
    <row r="27" spans="1:15" ht="30.75" customHeight="1">
      <c r="A27" s="31">
        <v>18</v>
      </c>
      <c r="B27" s="1296"/>
      <c r="C27" s="1297"/>
      <c r="D27" s="1297"/>
      <c r="E27" s="17"/>
      <c r="F27" s="17"/>
      <c r="G27" s="353"/>
      <c r="H27" s="354"/>
      <c r="I27" s="326">
        <f t="shared" si="2"/>
      </c>
      <c r="J27" s="363"/>
      <c r="K27" s="326">
        <f t="shared" si="3"/>
      </c>
      <c r="L27" s="326">
        <f t="shared" si="0"/>
      </c>
      <c r="M27" s="1088">
        <f t="shared" si="1"/>
      </c>
      <c r="N27" s="1077">
        <v>18</v>
      </c>
      <c r="O27" s="1098">
        <v>8</v>
      </c>
    </row>
    <row r="28" spans="1:15" ht="30.75" customHeight="1">
      <c r="A28" s="31">
        <v>19</v>
      </c>
      <c r="B28" s="1296"/>
      <c r="C28" s="1297"/>
      <c r="D28" s="1297"/>
      <c r="E28" s="577"/>
      <c r="F28" s="17"/>
      <c r="G28" s="353"/>
      <c r="H28" s="354"/>
      <c r="I28" s="326">
        <f t="shared" si="2"/>
      </c>
      <c r="J28" s="363"/>
      <c r="K28" s="326">
        <f t="shared" si="3"/>
      </c>
      <c r="L28" s="326">
        <f t="shared" si="0"/>
      </c>
      <c r="M28" s="1088">
        <f t="shared" si="1"/>
      </c>
      <c r="N28" s="1078">
        <v>19</v>
      </c>
      <c r="O28" s="1099">
        <v>8</v>
      </c>
    </row>
    <row r="29" spans="1:15" ht="30.75" customHeight="1" thickBot="1">
      <c r="A29" s="1060">
        <v>20</v>
      </c>
      <c r="B29" s="1298"/>
      <c r="C29" s="1299"/>
      <c r="D29" s="1299"/>
      <c r="E29" s="579"/>
      <c r="F29" s="579"/>
      <c r="G29" s="1084"/>
      <c r="H29" s="1085"/>
      <c r="I29" s="1081">
        <f t="shared" si="2"/>
      </c>
      <c r="J29" s="1086"/>
      <c r="K29" s="1081">
        <f t="shared" si="3"/>
      </c>
      <c r="L29" s="1081">
        <f t="shared" si="0"/>
      </c>
      <c r="M29" s="1089">
        <f t="shared" si="1"/>
      </c>
      <c r="N29" s="1083">
        <v>20</v>
      </c>
      <c r="O29" s="1100">
        <v>8</v>
      </c>
    </row>
    <row r="30" spans="1:14" ht="21" customHeight="1" thickBot="1">
      <c r="A30" s="1316" t="s">
        <v>27</v>
      </c>
      <c r="B30" s="1317"/>
      <c r="C30" s="1317"/>
      <c r="D30" s="1317"/>
      <c r="E30" s="1317"/>
      <c r="F30" s="1317"/>
      <c r="G30" s="1317"/>
      <c r="H30" s="1317"/>
      <c r="I30" s="1317"/>
      <c r="J30" s="1071"/>
      <c r="K30" s="97">
        <f>SUM(K10:K29)</f>
        <v>0</v>
      </c>
      <c r="L30" s="97">
        <f>SUM(L10:L29)</f>
        <v>0</v>
      </c>
      <c r="M30" s="98">
        <f>SUM(M10:M29)</f>
        <v>0</v>
      </c>
      <c r="N30" s="319"/>
    </row>
    <row r="31" spans="1:14" ht="13.5" customHeight="1">
      <c r="A31" s="7"/>
      <c r="N31" s="5"/>
    </row>
    <row r="32" spans="1:14" ht="13.5" customHeight="1">
      <c r="A32" s="7"/>
      <c r="B32" s="558" t="s">
        <v>35</v>
      </c>
      <c r="D32" s="7"/>
      <c r="E32" s="19" t="s">
        <v>201</v>
      </c>
      <c r="N32" s="5"/>
    </row>
    <row r="33" ht="13.5" customHeight="1">
      <c r="E33" s="19" t="s">
        <v>202</v>
      </c>
    </row>
    <row r="34" spans="2:5" ht="13.5" customHeight="1">
      <c r="B34" s="558" t="s">
        <v>36</v>
      </c>
      <c r="E34" s="19" t="s">
        <v>203</v>
      </c>
    </row>
    <row r="35" spans="2:5" ht="13.5" customHeight="1">
      <c r="B35" s="558" t="s">
        <v>37</v>
      </c>
      <c r="E35" s="19" t="s">
        <v>204</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S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602" customWidth="1"/>
    <col min="2" max="3" width="2.57421875" style="602" customWidth="1"/>
    <col min="4" max="4" width="4.421875" style="602" customWidth="1"/>
    <col min="5" max="5" width="16.140625" style="19" customWidth="1"/>
    <col min="6" max="6" width="14.8515625" style="19" customWidth="1"/>
    <col min="7" max="7" width="8.140625" style="23" customWidth="1"/>
    <col min="8" max="8" width="6.421875" style="23" customWidth="1"/>
    <col min="9" max="9" width="9.8515625" style="23" customWidth="1"/>
    <col min="10" max="10" width="11.140625" style="23" customWidth="1"/>
    <col min="11" max="12" width="11.140625" style="23" bestFit="1" customWidth="1"/>
    <col min="13" max="13" width="12.28125" style="23" bestFit="1" customWidth="1"/>
    <col min="14" max="14" width="3.140625" style="4" customWidth="1"/>
    <col min="15" max="15" width="4.00390625" style="4" customWidth="1"/>
    <col min="16" max="17" width="9.00390625" style="23" customWidth="1"/>
    <col min="18" max="16384" width="9.00390625" style="602" customWidth="1"/>
  </cols>
  <sheetData>
    <row r="1" spans="1:6" ht="13.5" customHeight="1">
      <c r="A1" s="1304" t="s">
        <v>29</v>
      </c>
      <c r="B1" s="1304"/>
      <c r="C1" s="1304"/>
      <c r="D1" s="1304"/>
      <c r="E1" s="1304"/>
      <c r="F1" s="4"/>
    </row>
    <row r="2" spans="1:14" ht="13.5" customHeight="1">
      <c r="A2" s="5"/>
      <c r="B2" s="5"/>
      <c r="C2" s="5"/>
      <c r="D2" s="5"/>
      <c r="E2" s="599"/>
      <c r="F2" s="4"/>
      <c r="N2" s="5"/>
    </row>
    <row r="3" spans="1:14" ht="13.5" customHeight="1">
      <c r="A3" s="5"/>
      <c r="B3" s="5" t="s">
        <v>30</v>
      </c>
      <c r="C3" s="599" t="s">
        <v>34</v>
      </c>
      <c r="D3" s="5"/>
      <c r="E3" s="599"/>
      <c r="F3" s="600" t="s">
        <v>28</v>
      </c>
      <c r="N3" s="5"/>
    </row>
    <row r="4" spans="1:14" ht="13.5" customHeight="1">
      <c r="A4" s="5"/>
      <c r="B4" s="5"/>
      <c r="C4" s="5"/>
      <c r="D4" s="5"/>
      <c r="E4" s="599"/>
      <c r="F4" s="600" t="s">
        <v>65</v>
      </c>
      <c r="N4" s="5"/>
    </row>
    <row r="5" spans="1:15" ht="13.5" customHeight="1">
      <c r="A5" s="5"/>
      <c r="B5" s="5"/>
      <c r="C5" s="5"/>
      <c r="D5" s="5"/>
      <c r="E5" s="599"/>
      <c r="F5" s="4"/>
      <c r="M5" s="23" t="s">
        <v>38</v>
      </c>
      <c r="N5" s="5"/>
      <c r="O5" s="541"/>
    </row>
    <row r="6" spans="1:14" ht="13.5" customHeight="1">
      <c r="A6" s="7"/>
      <c r="F6" s="4"/>
      <c r="I6" s="24"/>
      <c r="J6" s="26"/>
      <c r="K6" s="9" t="s">
        <v>200</v>
      </c>
      <c r="L6" s="100" t="str">
        <f>'使い方'!E6</f>
        <v>Ｂ金属株式会社</v>
      </c>
      <c r="N6" s="5"/>
    </row>
    <row r="7" spans="1:14" ht="13.5" customHeight="1" thickBot="1">
      <c r="A7" s="7"/>
      <c r="F7" s="4"/>
      <c r="N7" s="5"/>
    </row>
    <row r="8" spans="1:15" ht="27" customHeight="1">
      <c r="A8" s="1305" t="s">
        <v>13</v>
      </c>
      <c r="B8" s="1307" t="s">
        <v>14</v>
      </c>
      <c r="C8" s="1307"/>
      <c r="D8" s="1308"/>
      <c r="E8" s="13" t="s">
        <v>15</v>
      </c>
      <c r="F8" s="13" t="s">
        <v>16</v>
      </c>
      <c r="G8" s="27" t="s">
        <v>17</v>
      </c>
      <c r="H8" s="27" t="s">
        <v>18</v>
      </c>
      <c r="I8" s="27" t="s">
        <v>7</v>
      </c>
      <c r="J8" s="27" t="s">
        <v>7</v>
      </c>
      <c r="K8" s="1318" t="s">
        <v>19</v>
      </c>
      <c r="L8" s="1319"/>
      <c r="M8" s="1037" t="s">
        <v>20</v>
      </c>
      <c r="N8" s="1310" t="s">
        <v>13</v>
      </c>
      <c r="O8" s="1312" t="s">
        <v>238</v>
      </c>
    </row>
    <row r="9" spans="1:15" ht="42" customHeight="1" thickBot="1">
      <c r="A9" s="1306"/>
      <c r="B9" s="1061" t="s">
        <v>21</v>
      </c>
      <c r="C9" s="1061" t="s">
        <v>22</v>
      </c>
      <c r="D9" s="1062" t="s">
        <v>23</v>
      </c>
      <c r="E9" s="1067"/>
      <c r="F9" s="1064"/>
      <c r="G9" s="1069"/>
      <c r="H9" s="1069"/>
      <c r="I9" s="1069" t="s">
        <v>24</v>
      </c>
      <c r="J9" s="1069" t="s">
        <v>44</v>
      </c>
      <c r="K9" s="1069" t="s">
        <v>25</v>
      </c>
      <c r="L9" s="1070" t="s">
        <v>42</v>
      </c>
      <c r="M9" s="1070" t="s">
        <v>26</v>
      </c>
      <c r="N9" s="1311"/>
      <c r="O9" s="1313"/>
    </row>
    <row r="10" spans="1:17" ht="30.75" customHeight="1">
      <c r="A10" s="14">
        <v>1</v>
      </c>
      <c r="B10" s="1302"/>
      <c r="C10" s="1303"/>
      <c r="D10" s="1303"/>
      <c r="E10" s="578"/>
      <c r="F10" s="578"/>
      <c r="G10" s="1072"/>
      <c r="H10" s="1073"/>
      <c r="I10" s="1074">
        <f>IF(G10="","",ROUNDDOWN(J10*(1+O10/100),0))</f>
      </c>
      <c r="J10" s="1075"/>
      <c r="K10" s="1074">
        <f>IF(I10="","",ROUNDDOWN(L10*(1+O10/100),0))</f>
      </c>
      <c r="L10" s="1074">
        <f aca="true" t="shared" si="0" ref="L10:L29">IF(J10="","",ROUNDDOWN(J10*G10,0))</f>
      </c>
      <c r="M10" s="1087">
        <f aca="true" t="shared" si="1" ref="M10:M29">L10</f>
      </c>
      <c r="N10" s="1076">
        <v>1</v>
      </c>
      <c r="O10" s="1097">
        <v>8</v>
      </c>
      <c r="P10" s="602"/>
      <c r="Q10" s="602"/>
    </row>
    <row r="11" spans="1:15" ht="30.75" customHeight="1">
      <c r="A11" s="15">
        <v>2</v>
      </c>
      <c r="B11" s="1296"/>
      <c r="C11" s="1297"/>
      <c r="D11" s="1297"/>
      <c r="E11" s="328"/>
      <c r="F11" s="17"/>
      <c r="G11" s="353"/>
      <c r="H11" s="354"/>
      <c r="I11" s="326">
        <f aca="true" t="shared" si="2" ref="I11:I29">IF(G11="","",ROUNDDOWN(J11*(1+O11/100),0))</f>
      </c>
      <c r="J11" s="363"/>
      <c r="K11" s="326">
        <f aca="true" t="shared" si="3" ref="K11:K29">IF(I11="","",ROUNDDOWN(L11*(1+O11/100),0))</f>
      </c>
      <c r="L11" s="326">
        <f t="shared" si="0"/>
      </c>
      <c r="M11" s="1088">
        <f t="shared" si="1"/>
      </c>
      <c r="N11" s="1077">
        <v>2</v>
      </c>
      <c r="O11" s="1098">
        <v>8</v>
      </c>
    </row>
    <row r="12" spans="1:15" ht="30.75" customHeight="1">
      <c r="A12" s="15">
        <v>3</v>
      </c>
      <c r="B12" s="1296"/>
      <c r="C12" s="1297"/>
      <c r="D12" s="1297"/>
      <c r="E12" s="328"/>
      <c r="F12" s="17"/>
      <c r="G12" s="353"/>
      <c r="H12" s="354"/>
      <c r="I12" s="326">
        <f t="shared" si="2"/>
      </c>
      <c r="J12" s="363"/>
      <c r="K12" s="326">
        <f t="shared" si="3"/>
      </c>
      <c r="L12" s="326">
        <f t="shared" si="0"/>
      </c>
      <c r="M12" s="1088">
        <f t="shared" si="1"/>
      </c>
      <c r="N12" s="1078">
        <v>3</v>
      </c>
      <c r="O12" s="1099">
        <v>8</v>
      </c>
    </row>
    <row r="13" spans="1:15" ht="30.75" customHeight="1">
      <c r="A13" s="15">
        <v>4</v>
      </c>
      <c r="B13" s="1296"/>
      <c r="C13" s="1297"/>
      <c r="D13" s="1297"/>
      <c r="E13" s="328"/>
      <c r="F13" s="17"/>
      <c r="G13" s="353"/>
      <c r="H13" s="354"/>
      <c r="I13" s="326">
        <f t="shared" si="2"/>
      </c>
      <c r="J13" s="363"/>
      <c r="K13" s="326">
        <f t="shared" si="3"/>
      </c>
      <c r="L13" s="326">
        <f t="shared" si="0"/>
      </c>
      <c r="M13" s="1088">
        <f t="shared" si="1"/>
      </c>
      <c r="N13" s="1077">
        <v>4</v>
      </c>
      <c r="O13" s="1098">
        <v>8</v>
      </c>
    </row>
    <row r="14" spans="1:15" ht="30.75" customHeight="1">
      <c r="A14" s="15">
        <v>5</v>
      </c>
      <c r="B14" s="1296"/>
      <c r="C14" s="1297"/>
      <c r="D14" s="1297"/>
      <c r="E14" s="17"/>
      <c r="F14" s="17"/>
      <c r="G14" s="353"/>
      <c r="H14" s="354"/>
      <c r="I14" s="326">
        <f t="shared" si="2"/>
      </c>
      <c r="J14" s="363"/>
      <c r="K14" s="326">
        <f t="shared" si="3"/>
      </c>
      <c r="L14" s="326">
        <f t="shared" si="0"/>
      </c>
      <c r="M14" s="1088">
        <f t="shared" si="1"/>
      </c>
      <c r="N14" s="1078">
        <v>5</v>
      </c>
      <c r="O14" s="1099">
        <v>8</v>
      </c>
    </row>
    <row r="15" spans="1:15" ht="30.75" customHeight="1">
      <c r="A15" s="15">
        <v>6</v>
      </c>
      <c r="B15" s="1296"/>
      <c r="C15" s="1297"/>
      <c r="D15" s="1297"/>
      <c r="E15" s="17"/>
      <c r="F15" s="17"/>
      <c r="G15" s="353"/>
      <c r="H15" s="354"/>
      <c r="I15" s="326">
        <f t="shared" si="2"/>
      </c>
      <c r="J15" s="363"/>
      <c r="K15" s="326">
        <f t="shared" si="3"/>
      </c>
      <c r="L15" s="326">
        <f t="shared" si="0"/>
      </c>
      <c r="M15" s="1088">
        <f t="shared" si="1"/>
      </c>
      <c r="N15" s="1077">
        <v>6</v>
      </c>
      <c r="O15" s="1098">
        <v>8</v>
      </c>
    </row>
    <row r="16" spans="1:19" ht="30.75" customHeight="1">
      <c r="A16" s="15">
        <v>7</v>
      </c>
      <c r="B16" s="1296"/>
      <c r="C16" s="1297"/>
      <c r="D16" s="1297"/>
      <c r="E16" s="17"/>
      <c r="F16" s="21"/>
      <c r="G16" s="353"/>
      <c r="H16" s="354"/>
      <c r="I16" s="326">
        <f t="shared" si="2"/>
      </c>
      <c r="J16" s="363"/>
      <c r="K16" s="326">
        <f t="shared" si="3"/>
      </c>
      <c r="L16" s="326">
        <f t="shared" si="0"/>
      </c>
      <c r="M16" s="1088">
        <f t="shared" si="1"/>
      </c>
      <c r="N16" s="1078">
        <v>7</v>
      </c>
      <c r="O16" s="1099">
        <v>8</v>
      </c>
      <c r="S16"/>
    </row>
    <row r="17" spans="1:19" ht="30.75" customHeight="1">
      <c r="A17" s="15">
        <v>8</v>
      </c>
      <c r="B17" s="1296"/>
      <c r="C17" s="1297"/>
      <c r="D17" s="1297"/>
      <c r="E17" s="328"/>
      <c r="F17" s="328"/>
      <c r="G17" s="353"/>
      <c r="H17" s="354"/>
      <c r="I17" s="326">
        <f t="shared" si="2"/>
      </c>
      <c r="J17" s="363"/>
      <c r="K17" s="326">
        <f t="shared" si="3"/>
      </c>
      <c r="L17" s="326">
        <f t="shared" si="0"/>
      </c>
      <c r="M17" s="1088">
        <f t="shared" si="1"/>
      </c>
      <c r="N17" s="1077">
        <v>8</v>
      </c>
      <c r="O17" s="1098">
        <v>8</v>
      </c>
      <c r="S17"/>
    </row>
    <row r="18" spans="1:15" ht="30.75" customHeight="1">
      <c r="A18" s="15">
        <v>9</v>
      </c>
      <c r="B18" s="1296"/>
      <c r="C18" s="1297"/>
      <c r="D18" s="1297"/>
      <c r="E18" s="17"/>
      <c r="F18" s="17"/>
      <c r="G18" s="353"/>
      <c r="H18" s="354"/>
      <c r="I18" s="326">
        <f t="shared" si="2"/>
      </c>
      <c r="J18" s="363"/>
      <c r="K18" s="326">
        <f t="shared" si="3"/>
      </c>
      <c r="L18" s="326">
        <f t="shared" si="0"/>
      </c>
      <c r="M18" s="1088">
        <f t="shared" si="1"/>
      </c>
      <c r="N18" s="1078">
        <v>9</v>
      </c>
      <c r="O18" s="1099">
        <v>8</v>
      </c>
    </row>
    <row r="19" spans="1:15" ht="30.75" customHeight="1">
      <c r="A19" s="15">
        <v>10</v>
      </c>
      <c r="B19" s="1296"/>
      <c r="C19" s="1297"/>
      <c r="D19" s="1297"/>
      <c r="E19" s="17"/>
      <c r="F19" s="17"/>
      <c r="G19" s="353"/>
      <c r="H19" s="354"/>
      <c r="I19" s="326">
        <f t="shared" si="2"/>
      </c>
      <c r="J19" s="363"/>
      <c r="K19" s="326">
        <f t="shared" si="3"/>
      </c>
      <c r="L19" s="326">
        <f t="shared" si="0"/>
      </c>
      <c r="M19" s="1088">
        <f t="shared" si="1"/>
      </c>
      <c r="N19" s="1077">
        <v>10</v>
      </c>
      <c r="O19" s="1098">
        <v>8</v>
      </c>
    </row>
    <row r="20" spans="1:15" ht="30.75" customHeight="1">
      <c r="A20" s="15">
        <v>11</v>
      </c>
      <c r="B20" s="1296"/>
      <c r="C20" s="1297"/>
      <c r="D20" s="1297"/>
      <c r="E20" s="17"/>
      <c r="F20" s="17"/>
      <c r="G20" s="353"/>
      <c r="H20" s="354"/>
      <c r="I20" s="326">
        <f t="shared" si="2"/>
      </c>
      <c r="J20" s="363"/>
      <c r="K20" s="326">
        <f t="shared" si="3"/>
      </c>
      <c r="L20" s="326">
        <f t="shared" si="0"/>
      </c>
      <c r="M20" s="1088">
        <f t="shared" si="1"/>
      </c>
      <c r="N20" s="1078">
        <v>11</v>
      </c>
      <c r="O20" s="1099">
        <v>8</v>
      </c>
    </row>
    <row r="21" spans="1:15" ht="30.75" customHeight="1">
      <c r="A21" s="15">
        <v>12</v>
      </c>
      <c r="B21" s="1296"/>
      <c r="C21" s="1297"/>
      <c r="D21" s="1297"/>
      <c r="E21" s="17"/>
      <c r="F21" s="17"/>
      <c r="G21" s="353"/>
      <c r="H21" s="354"/>
      <c r="I21" s="326">
        <f t="shared" si="2"/>
      </c>
      <c r="J21" s="363"/>
      <c r="K21" s="326">
        <f t="shared" si="3"/>
      </c>
      <c r="L21" s="326">
        <f t="shared" si="0"/>
      </c>
      <c r="M21" s="1088">
        <f t="shared" si="1"/>
      </c>
      <c r="N21" s="1077">
        <v>12</v>
      </c>
      <c r="O21" s="1098">
        <v>8</v>
      </c>
    </row>
    <row r="22" spans="1:15" ht="30.75" customHeight="1">
      <c r="A22" s="15">
        <v>13</v>
      </c>
      <c r="B22" s="1296"/>
      <c r="C22" s="1297"/>
      <c r="D22" s="1297"/>
      <c r="E22" s="17"/>
      <c r="F22" s="17"/>
      <c r="G22" s="353"/>
      <c r="H22" s="354"/>
      <c r="I22" s="326">
        <f t="shared" si="2"/>
      </c>
      <c r="J22" s="363"/>
      <c r="K22" s="326">
        <f t="shared" si="3"/>
      </c>
      <c r="L22" s="326">
        <f t="shared" si="0"/>
      </c>
      <c r="M22" s="1088">
        <f t="shared" si="1"/>
      </c>
      <c r="N22" s="1078">
        <v>13</v>
      </c>
      <c r="O22" s="1099">
        <v>8</v>
      </c>
    </row>
    <row r="23" spans="1:15" ht="30.75" customHeight="1">
      <c r="A23" s="15">
        <v>14</v>
      </c>
      <c r="B23" s="1296"/>
      <c r="C23" s="1297"/>
      <c r="D23" s="1297"/>
      <c r="E23" s="577"/>
      <c r="F23" s="17"/>
      <c r="G23" s="353"/>
      <c r="H23" s="354"/>
      <c r="I23" s="326">
        <f t="shared" si="2"/>
      </c>
      <c r="J23" s="363"/>
      <c r="K23" s="326">
        <f t="shared" si="3"/>
      </c>
      <c r="L23" s="326">
        <f t="shared" si="0"/>
      </c>
      <c r="M23" s="1088">
        <f t="shared" si="1"/>
      </c>
      <c r="N23" s="1077">
        <v>14</v>
      </c>
      <c r="O23" s="1098">
        <v>8</v>
      </c>
    </row>
    <row r="24" spans="1:15" ht="30.75" customHeight="1">
      <c r="A24" s="15">
        <v>15</v>
      </c>
      <c r="B24" s="1296"/>
      <c r="C24" s="1297"/>
      <c r="D24" s="1297"/>
      <c r="E24" s="577"/>
      <c r="F24" s="17"/>
      <c r="G24" s="353"/>
      <c r="H24" s="354"/>
      <c r="I24" s="326">
        <f t="shared" si="2"/>
      </c>
      <c r="J24" s="363"/>
      <c r="K24" s="326">
        <f t="shared" si="3"/>
      </c>
      <c r="L24" s="326">
        <f t="shared" si="0"/>
      </c>
      <c r="M24" s="1088">
        <f t="shared" si="1"/>
      </c>
      <c r="N24" s="1078">
        <v>15</v>
      </c>
      <c r="O24" s="1099">
        <v>8</v>
      </c>
    </row>
    <row r="25" spans="1:15" ht="30.75" customHeight="1">
      <c r="A25" s="15">
        <v>16</v>
      </c>
      <c r="B25" s="1296"/>
      <c r="C25" s="1297"/>
      <c r="D25" s="1297"/>
      <c r="E25" s="17"/>
      <c r="F25" s="17"/>
      <c r="G25" s="353"/>
      <c r="H25" s="354"/>
      <c r="I25" s="326">
        <f t="shared" si="2"/>
      </c>
      <c r="J25" s="363"/>
      <c r="K25" s="326">
        <f t="shared" si="3"/>
      </c>
      <c r="L25" s="326">
        <f t="shared" si="0"/>
      </c>
      <c r="M25" s="1088">
        <f t="shared" si="1"/>
      </c>
      <c r="N25" s="1077">
        <v>16</v>
      </c>
      <c r="O25" s="1098">
        <v>8</v>
      </c>
    </row>
    <row r="26" spans="1:15" ht="30.75" customHeight="1">
      <c r="A26" s="15">
        <v>17</v>
      </c>
      <c r="B26" s="1296"/>
      <c r="C26" s="1297"/>
      <c r="D26" s="1297"/>
      <c r="E26" s="17"/>
      <c r="F26" s="17"/>
      <c r="G26" s="353"/>
      <c r="H26" s="354"/>
      <c r="I26" s="326">
        <f t="shared" si="2"/>
      </c>
      <c r="J26" s="363"/>
      <c r="K26" s="326">
        <f t="shared" si="3"/>
      </c>
      <c r="L26" s="326">
        <f t="shared" si="0"/>
      </c>
      <c r="M26" s="1088">
        <f t="shared" si="1"/>
      </c>
      <c r="N26" s="1078">
        <v>17</v>
      </c>
      <c r="O26" s="1099">
        <v>8</v>
      </c>
    </row>
    <row r="27" spans="1:15" ht="30.75" customHeight="1">
      <c r="A27" s="15">
        <v>18</v>
      </c>
      <c r="B27" s="1296"/>
      <c r="C27" s="1297"/>
      <c r="D27" s="1297"/>
      <c r="E27" s="17"/>
      <c r="F27" s="17"/>
      <c r="G27" s="353"/>
      <c r="H27" s="354"/>
      <c r="I27" s="326">
        <f t="shared" si="2"/>
      </c>
      <c r="J27" s="363"/>
      <c r="K27" s="326">
        <f t="shared" si="3"/>
      </c>
      <c r="L27" s="326">
        <f t="shared" si="0"/>
      </c>
      <c r="M27" s="1088">
        <f t="shared" si="1"/>
      </c>
      <c r="N27" s="1077">
        <v>18</v>
      </c>
      <c r="O27" s="1098">
        <v>8</v>
      </c>
    </row>
    <row r="28" spans="1:15" ht="30.75" customHeight="1">
      <c r="A28" s="15">
        <v>19</v>
      </c>
      <c r="B28" s="1296"/>
      <c r="C28" s="1297"/>
      <c r="D28" s="1297"/>
      <c r="E28" s="577"/>
      <c r="F28" s="17"/>
      <c r="G28" s="353"/>
      <c r="H28" s="354"/>
      <c r="I28" s="326">
        <f t="shared" si="2"/>
      </c>
      <c r="J28" s="363"/>
      <c r="K28" s="326">
        <f t="shared" si="3"/>
      </c>
      <c r="L28" s="326">
        <f t="shared" si="0"/>
      </c>
      <c r="M28" s="1088">
        <f t="shared" si="1"/>
      </c>
      <c r="N28" s="1078">
        <v>19</v>
      </c>
      <c r="O28" s="1099">
        <v>8</v>
      </c>
    </row>
    <row r="29" spans="1:15" ht="30.75" customHeight="1" thickBot="1">
      <c r="A29" s="1059">
        <v>20</v>
      </c>
      <c r="B29" s="1298"/>
      <c r="C29" s="1299"/>
      <c r="D29" s="1299"/>
      <c r="E29" s="579"/>
      <c r="F29" s="579"/>
      <c r="G29" s="1084"/>
      <c r="H29" s="1085"/>
      <c r="I29" s="1081">
        <f t="shared" si="2"/>
      </c>
      <c r="J29" s="1086"/>
      <c r="K29" s="1081">
        <f t="shared" si="3"/>
      </c>
      <c r="L29" s="1081">
        <f t="shared" si="0"/>
      </c>
      <c r="M29" s="1089">
        <f t="shared" si="1"/>
      </c>
      <c r="N29" s="1083">
        <v>20</v>
      </c>
      <c r="O29" s="1100">
        <v>8</v>
      </c>
    </row>
    <row r="30" spans="1:14" ht="21" customHeight="1" thickBot="1">
      <c r="A30" s="1314" t="s">
        <v>27</v>
      </c>
      <c r="B30" s="1315"/>
      <c r="C30" s="1315"/>
      <c r="D30" s="1315"/>
      <c r="E30" s="1315"/>
      <c r="F30" s="1315"/>
      <c r="G30" s="1315"/>
      <c r="H30" s="1315"/>
      <c r="I30" s="1315"/>
      <c r="J30" s="1035"/>
      <c r="K30" s="29">
        <f>SUM(K10:K29)</f>
        <v>0</v>
      </c>
      <c r="L30" s="29">
        <f>SUM(L10:L29)</f>
        <v>0</v>
      </c>
      <c r="M30" s="36">
        <f>SUM(M10:M29)</f>
        <v>0</v>
      </c>
      <c r="N30" s="32"/>
    </row>
    <row r="31" spans="1:14" ht="13.5" customHeight="1">
      <c r="A31" s="7"/>
      <c r="N31" s="5"/>
    </row>
    <row r="32" spans="1:14" ht="13.5" customHeight="1">
      <c r="A32" s="7"/>
      <c r="B32" s="602" t="s">
        <v>35</v>
      </c>
      <c r="D32" s="7"/>
      <c r="E32" s="19" t="s">
        <v>201</v>
      </c>
      <c r="G32" s="602"/>
      <c r="H32" s="602"/>
      <c r="I32" s="602"/>
      <c r="N32" s="5"/>
    </row>
    <row r="33" spans="5:9" ht="13.5" customHeight="1">
      <c r="E33" s="19" t="s">
        <v>202</v>
      </c>
      <c r="G33" s="602"/>
      <c r="H33" s="602"/>
      <c r="I33" s="602"/>
    </row>
    <row r="34" spans="2:9" ht="13.5" customHeight="1">
      <c r="B34" s="602" t="s">
        <v>36</v>
      </c>
      <c r="E34" s="19" t="s">
        <v>203</v>
      </c>
      <c r="G34" s="602"/>
      <c r="H34" s="602"/>
      <c r="I34" s="602"/>
    </row>
    <row r="35" spans="2:9" ht="13.5" customHeight="1">
      <c r="B35" s="602" t="s">
        <v>37</v>
      </c>
      <c r="E35" s="19" t="s">
        <v>204</v>
      </c>
      <c r="G35" s="602"/>
      <c r="H35" s="602"/>
      <c r="I35" s="602"/>
    </row>
  </sheetData>
  <sheetProtection sheet="1"/>
  <mergeCells count="27">
    <mergeCell ref="A1:E1"/>
    <mergeCell ref="A8:A9"/>
    <mergeCell ref="B8:D8"/>
    <mergeCell ref="K8:L8"/>
    <mergeCell ref="N8:N9"/>
    <mergeCell ref="O8:O9"/>
    <mergeCell ref="B10:D10"/>
    <mergeCell ref="B13:D13"/>
    <mergeCell ref="B14:D14"/>
    <mergeCell ref="B15:D15"/>
    <mergeCell ref="B16:D16"/>
    <mergeCell ref="B11:D11"/>
    <mergeCell ref="B12:D12"/>
    <mergeCell ref="B29:D29"/>
    <mergeCell ref="A30:I30"/>
    <mergeCell ref="B22:D22"/>
    <mergeCell ref="B23:D23"/>
    <mergeCell ref="B24:D24"/>
    <mergeCell ref="B25:D25"/>
    <mergeCell ref="B26:D26"/>
    <mergeCell ref="B27:D27"/>
    <mergeCell ref="B17:D17"/>
    <mergeCell ref="B18:D18"/>
    <mergeCell ref="B21:D21"/>
    <mergeCell ref="B28:D28"/>
    <mergeCell ref="B19:D19"/>
    <mergeCell ref="B20:D20"/>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602" customWidth="1"/>
    <col min="2" max="3" width="2.57421875" style="602" customWidth="1"/>
    <col min="4" max="4" width="4.421875" style="602" customWidth="1"/>
    <col min="5" max="5" width="16.140625" style="19" customWidth="1"/>
    <col min="6" max="6" width="14.8515625" style="19" customWidth="1"/>
    <col min="7" max="7" width="6.421875" style="685" bestFit="1" customWidth="1"/>
    <col min="8" max="8" width="4.421875" style="602" bestFit="1" customWidth="1"/>
    <col min="9" max="9" width="9.8515625" style="602" customWidth="1"/>
    <col min="10" max="10" width="11.140625" style="602" customWidth="1"/>
    <col min="11" max="12" width="11.140625" style="602" bestFit="1" customWidth="1"/>
    <col min="13" max="13" width="12.28125" style="602" bestFit="1" customWidth="1"/>
    <col min="14" max="14" width="3.140625" style="4" customWidth="1"/>
    <col min="15" max="15" width="12.28125" style="602" customWidth="1"/>
    <col min="16" max="16384" width="9.00390625" style="602" customWidth="1"/>
  </cols>
  <sheetData>
    <row r="1" spans="1:6" ht="13.5" customHeight="1">
      <c r="A1" s="1304" t="s">
        <v>29</v>
      </c>
      <c r="B1" s="1304"/>
      <c r="C1" s="1304"/>
      <c r="D1" s="1304"/>
      <c r="E1" s="1304"/>
      <c r="F1" s="4"/>
    </row>
    <row r="2" spans="1:14" ht="13.5" customHeight="1">
      <c r="A2" s="5"/>
      <c r="B2" s="5"/>
      <c r="C2" s="5"/>
      <c r="D2" s="5"/>
      <c r="E2" s="599"/>
      <c r="F2" s="4"/>
      <c r="N2" s="5"/>
    </row>
    <row r="3" spans="1:14" ht="13.5" customHeight="1">
      <c r="A3" s="5"/>
      <c r="B3" s="5" t="s">
        <v>30</v>
      </c>
      <c r="C3" s="599" t="s">
        <v>34</v>
      </c>
      <c r="D3" s="5"/>
      <c r="E3" s="599"/>
      <c r="F3" s="600" t="s">
        <v>28</v>
      </c>
      <c r="N3" s="5"/>
    </row>
    <row r="4" spans="1:14" ht="13.5" customHeight="1">
      <c r="A4" s="5"/>
      <c r="B4" s="5"/>
      <c r="C4" s="5"/>
      <c r="D4" s="5"/>
      <c r="E4" s="599"/>
      <c r="F4" s="600" t="s">
        <v>69</v>
      </c>
      <c r="N4" s="5"/>
    </row>
    <row r="5" spans="1:14" ht="13.5" customHeight="1">
      <c r="A5" s="5"/>
      <c r="B5" s="5"/>
      <c r="C5" s="5"/>
      <c r="D5" s="5"/>
      <c r="E5" s="599"/>
      <c r="F5" s="4"/>
      <c r="M5" s="602" t="s">
        <v>38</v>
      </c>
      <c r="N5" s="5"/>
    </row>
    <row r="6" spans="1:14" ht="13.5" customHeight="1">
      <c r="A6" s="7"/>
      <c r="F6" s="4"/>
      <c r="I6" s="9"/>
      <c r="J6" s="10"/>
      <c r="K6" s="9" t="s">
        <v>200</v>
      </c>
      <c r="L6" s="99" t="str">
        <f>'使い方'!E6</f>
        <v>Ｂ金属株式会社</v>
      </c>
      <c r="N6" s="5"/>
    </row>
    <row r="7" spans="1:14" ht="13.5" customHeight="1" thickBot="1">
      <c r="A7" s="7"/>
      <c r="F7" s="4"/>
      <c r="I7" s="11"/>
      <c r="J7" s="11"/>
      <c r="N7" s="5"/>
    </row>
    <row r="8" spans="1:15" ht="27" customHeight="1">
      <c r="A8" s="1305" t="s">
        <v>13</v>
      </c>
      <c r="B8" s="1307" t="s">
        <v>14</v>
      </c>
      <c r="C8" s="1307"/>
      <c r="D8" s="1308"/>
      <c r="E8" s="13" t="s">
        <v>15</v>
      </c>
      <c r="F8" s="13" t="s">
        <v>16</v>
      </c>
      <c r="G8" s="362" t="s">
        <v>17</v>
      </c>
      <c r="H8" s="13" t="s">
        <v>186</v>
      </c>
      <c r="I8" s="13" t="s">
        <v>7</v>
      </c>
      <c r="J8" s="13" t="s">
        <v>7</v>
      </c>
      <c r="K8" s="1309" t="s">
        <v>19</v>
      </c>
      <c r="L8" s="1308"/>
      <c r="M8" s="1034" t="s">
        <v>20</v>
      </c>
      <c r="N8" s="1312" t="s">
        <v>13</v>
      </c>
      <c r="O8" s="94"/>
    </row>
    <row r="9" spans="1:15" ht="42" customHeight="1" thickBot="1">
      <c r="A9" s="1306"/>
      <c r="B9" s="1061" t="s">
        <v>21</v>
      </c>
      <c r="C9" s="1061" t="s">
        <v>22</v>
      </c>
      <c r="D9" s="1062" t="s">
        <v>23</v>
      </c>
      <c r="E9" s="1067"/>
      <c r="F9" s="1064"/>
      <c r="G9" s="1068"/>
      <c r="H9" s="1065"/>
      <c r="I9" s="1065" t="s">
        <v>24</v>
      </c>
      <c r="J9" s="1065" t="s">
        <v>44</v>
      </c>
      <c r="K9" s="1065" t="s">
        <v>25</v>
      </c>
      <c r="L9" s="1066" t="s">
        <v>42</v>
      </c>
      <c r="M9" s="1066" t="s">
        <v>26</v>
      </c>
      <c r="N9" s="1320"/>
      <c r="O9" s="95"/>
    </row>
    <row r="10" spans="1:15" ht="30.75" customHeight="1">
      <c r="A10" s="1056">
        <v>1</v>
      </c>
      <c r="B10" s="1302"/>
      <c r="C10" s="1303"/>
      <c r="D10" s="1303"/>
      <c r="E10" s="329"/>
      <c r="F10" s="329"/>
      <c r="G10" s="686"/>
      <c r="H10" s="1047" t="s">
        <v>240</v>
      </c>
      <c r="I10" s="1057">
        <f>IF(G10="","",J10)</f>
      </c>
      <c r="J10" s="1048"/>
      <c r="K10" s="1057">
        <f>IF(I10="","",ROUNDDOWN(I10*G10,0))</f>
      </c>
      <c r="L10" s="1057">
        <f>IF(J10="","",ROUNDDOWN(J10*G10,0))</f>
      </c>
      <c r="M10" s="1090">
        <f aca="true" t="shared" si="0" ref="M10:M29">L10</f>
      </c>
      <c r="N10" s="1093">
        <v>1</v>
      </c>
      <c r="O10" s="96"/>
    </row>
    <row r="11" spans="1:15" ht="30.75" customHeight="1">
      <c r="A11" s="346">
        <v>2</v>
      </c>
      <c r="B11" s="1296"/>
      <c r="C11" s="1297"/>
      <c r="D11" s="1297"/>
      <c r="E11" s="330"/>
      <c r="F11" s="343"/>
      <c r="G11" s="687"/>
      <c r="H11" s="1049" t="s">
        <v>240</v>
      </c>
      <c r="I11" s="28">
        <f aca="true" t="shared" si="1" ref="I11:I29">IF(G11="","",J11)</f>
      </c>
      <c r="J11" s="1050"/>
      <c r="K11" s="28">
        <f aca="true" t="shared" si="2" ref="K11:K29">IF(I11="","",ROUNDDOWN(I11*G11,0))</f>
      </c>
      <c r="L11" s="28">
        <f aca="true" t="shared" si="3" ref="L11:L29">IF(J11="","",ROUNDDOWN(J11*G11,0))</f>
      </c>
      <c r="M11" s="1091">
        <f t="shared" si="0"/>
      </c>
      <c r="N11" s="1094">
        <v>2</v>
      </c>
      <c r="O11" s="96"/>
    </row>
    <row r="12" spans="1:15" ht="30.75" customHeight="1">
      <c r="A12" s="346">
        <v>3</v>
      </c>
      <c r="B12" s="1296"/>
      <c r="C12" s="1297"/>
      <c r="D12" s="1297"/>
      <c r="E12" s="330"/>
      <c r="F12" s="343"/>
      <c r="G12" s="688"/>
      <c r="H12" s="1049" t="s">
        <v>240</v>
      </c>
      <c r="I12" s="28">
        <f t="shared" si="1"/>
      </c>
      <c r="J12" s="1050"/>
      <c r="K12" s="28">
        <f t="shared" si="2"/>
      </c>
      <c r="L12" s="28">
        <f t="shared" si="3"/>
      </c>
      <c r="M12" s="1091">
        <f t="shared" si="0"/>
      </c>
      <c r="N12" s="1095">
        <v>3</v>
      </c>
      <c r="O12" s="96"/>
    </row>
    <row r="13" spans="1:15" ht="30.75" customHeight="1">
      <c r="A13" s="346">
        <v>4</v>
      </c>
      <c r="B13" s="1296"/>
      <c r="C13" s="1297"/>
      <c r="D13" s="1297"/>
      <c r="E13" s="330"/>
      <c r="F13" s="343"/>
      <c r="G13" s="687"/>
      <c r="H13" s="1049" t="s">
        <v>240</v>
      </c>
      <c r="I13" s="28">
        <f t="shared" si="1"/>
      </c>
      <c r="J13" s="1051"/>
      <c r="K13" s="28">
        <f t="shared" si="2"/>
      </c>
      <c r="L13" s="28">
        <f t="shared" si="3"/>
      </c>
      <c r="M13" s="1091">
        <f t="shared" si="0"/>
      </c>
      <c r="N13" s="1094">
        <v>4</v>
      </c>
      <c r="O13" s="96"/>
    </row>
    <row r="14" spans="1:15" ht="30.75" customHeight="1">
      <c r="A14" s="346">
        <v>5</v>
      </c>
      <c r="B14" s="1296"/>
      <c r="C14" s="1297"/>
      <c r="D14" s="1297"/>
      <c r="E14" s="330"/>
      <c r="F14" s="343"/>
      <c r="G14" s="688"/>
      <c r="H14" s="1049" t="s">
        <v>240</v>
      </c>
      <c r="I14" s="28">
        <f t="shared" si="1"/>
      </c>
      <c r="J14" s="1051"/>
      <c r="K14" s="28">
        <f t="shared" si="2"/>
      </c>
      <c r="L14" s="28">
        <f t="shared" si="3"/>
      </c>
      <c r="M14" s="1091">
        <f t="shared" si="0"/>
      </c>
      <c r="N14" s="1095">
        <v>5</v>
      </c>
      <c r="O14" s="96"/>
    </row>
    <row r="15" spans="1:15" ht="30.75" customHeight="1">
      <c r="A15" s="346">
        <v>6</v>
      </c>
      <c r="B15" s="1296"/>
      <c r="C15" s="1297"/>
      <c r="D15" s="1297"/>
      <c r="E15" s="330"/>
      <c r="F15" s="343"/>
      <c r="G15" s="687"/>
      <c r="H15" s="1049" t="s">
        <v>240</v>
      </c>
      <c r="I15" s="28">
        <f t="shared" si="1"/>
      </c>
      <c r="J15" s="1051"/>
      <c r="K15" s="28">
        <f t="shared" si="2"/>
      </c>
      <c r="L15" s="28">
        <f t="shared" si="3"/>
      </c>
      <c r="M15" s="1091">
        <f t="shared" si="0"/>
      </c>
      <c r="N15" s="1094">
        <v>6</v>
      </c>
      <c r="O15" s="96"/>
    </row>
    <row r="16" spans="1:15" ht="30.75" customHeight="1">
      <c r="A16" s="346">
        <v>7</v>
      </c>
      <c r="B16" s="1296"/>
      <c r="C16" s="1297"/>
      <c r="D16" s="1297"/>
      <c r="E16" s="330"/>
      <c r="F16" s="343"/>
      <c r="G16" s="688"/>
      <c r="H16" s="1049" t="s">
        <v>240</v>
      </c>
      <c r="I16" s="28">
        <f t="shared" si="1"/>
      </c>
      <c r="J16" s="1050"/>
      <c r="K16" s="28">
        <f t="shared" si="2"/>
      </c>
      <c r="L16" s="28">
        <f t="shared" si="3"/>
      </c>
      <c r="M16" s="1091">
        <f t="shared" si="0"/>
      </c>
      <c r="N16" s="1095">
        <v>7</v>
      </c>
      <c r="O16" s="96"/>
    </row>
    <row r="17" spans="1:15" ht="30.75" customHeight="1">
      <c r="A17" s="346">
        <v>8</v>
      </c>
      <c r="B17" s="1296"/>
      <c r="C17" s="1297"/>
      <c r="D17" s="1297"/>
      <c r="E17" s="330"/>
      <c r="F17" s="343"/>
      <c r="G17" s="687"/>
      <c r="H17" s="1049" t="s">
        <v>240</v>
      </c>
      <c r="I17" s="28">
        <f t="shared" si="1"/>
      </c>
      <c r="J17" s="1050"/>
      <c r="K17" s="28">
        <f t="shared" si="2"/>
      </c>
      <c r="L17" s="28">
        <f t="shared" si="3"/>
      </c>
      <c r="M17" s="1091">
        <f t="shared" si="0"/>
      </c>
      <c r="N17" s="1094">
        <v>8</v>
      </c>
      <c r="O17" s="96"/>
    </row>
    <row r="18" spans="1:15" ht="30.75" customHeight="1">
      <c r="A18" s="346">
        <v>9</v>
      </c>
      <c r="B18" s="1296"/>
      <c r="C18" s="1297"/>
      <c r="D18" s="1297"/>
      <c r="E18" s="343"/>
      <c r="F18" s="343"/>
      <c r="G18" s="688"/>
      <c r="H18" s="1049" t="s">
        <v>240</v>
      </c>
      <c r="I18" s="28">
        <f t="shared" si="1"/>
      </c>
      <c r="J18" s="1050"/>
      <c r="K18" s="28">
        <f t="shared" si="2"/>
      </c>
      <c r="L18" s="28">
        <f t="shared" si="3"/>
      </c>
      <c r="M18" s="1091">
        <f t="shared" si="0"/>
      </c>
      <c r="N18" s="1095">
        <v>9</v>
      </c>
      <c r="O18" s="96"/>
    </row>
    <row r="19" spans="1:15" ht="30.75" customHeight="1">
      <c r="A19" s="346">
        <v>10</v>
      </c>
      <c r="B19" s="1296"/>
      <c r="C19" s="1297"/>
      <c r="D19" s="1297"/>
      <c r="E19" s="343"/>
      <c r="F19" s="343"/>
      <c r="G19" s="687"/>
      <c r="H19" s="1049" t="s">
        <v>240</v>
      </c>
      <c r="I19" s="28">
        <f t="shared" si="1"/>
      </c>
      <c r="J19" s="1050"/>
      <c r="K19" s="28">
        <f t="shared" si="2"/>
      </c>
      <c r="L19" s="28">
        <f t="shared" si="3"/>
      </c>
      <c r="M19" s="1091">
        <f t="shared" si="0"/>
      </c>
      <c r="N19" s="1094">
        <v>10</v>
      </c>
      <c r="O19" s="96"/>
    </row>
    <row r="20" spans="1:15" ht="30.75" customHeight="1">
      <c r="A20" s="346">
        <v>11</v>
      </c>
      <c r="B20" s="1296"/>
      <c r="C20" s="1297"/>
      <c r="D20" s="1297"/>
      <c r="E20" s="343"/>
      <c r="F20" s="343"/>
      <c r="G20" s="688"/>
      <c r="H20" s="1049" t="s">
        <v>240</v>
      </c>
      <c r="I20" s="28">
        <f t="shared" si="1"/>
      </c>
      <c r="J20" s="1050"/>
      <c r="K20" s="28">
        <f t="shared" si="2"/>
      </c>
      <c r="L20" s="28">
        <f t="shared" si="3"/>
      </c>
      <c r="M20" s="1091">
        <f t="shared" si="0"/>
      </c>
      <c r="N20" s="1095">
        <v>11</v>
      </c>
      <c r="O20" s="96"/>
    </row>
    <row r="21" spans="1:15" ht="30.75" customHeight="1">
      <c r="A21" s="346">
        <v>12</v>
      </c>
      <c r="B21" s="1296"/>
      <c r="C21" s="1297"/>
      <c r="D21" s="1297"/>
      <c r="E21" s="343"/>
      <c r="F21" s="343"/>
      <c r="G21" s="687"/>
      <c r="H21" s="1049" t="s">
        <v>240</v>
      </c>
      <c r="I21" s="28">
        <f t="shared" si="1"/>
      </c>
      <c r="J21" s="1050"/>
      <c r="K21" s="28">
        <f t="shared" si="2"/>
      </c>
      <c r="L21" s="28">
        <f t="shared" si="3"/>
      </c>
      <c r="M21" s="1091">
        <f t="shared" si="0"/>
      </c>
      <c r="N21" s="1094">
        <v>12</v>
      </c>
      <c r="O21" s="96"/>
    </row>
    <row r="22" spans="1:15" ht="30.75" customHeight="1">
      <c r="A22" s="346">
        <v>13</v>
      </c>
      <c r="B22" s="1296"/>
      <c r="C22" s="1297"/>
      <c r="D22" s="1297"/>
      <c r="E22" s="343"/>
      <c r="F22" s="343"/>
      <c r="G22" s="687"/>
      <c r="H22" s="1049" t="s">
        <v>240</v>
      </c>
      <c r="I22" s="28">
        <f t="shared" si="1"/>
      </c>
      <c r="J22" s="1050"/>
      <c r="K22" s="28">
        <f t="shared" si="2"/>
      </c>
      <c r="L22" s="28">
        <f t="shared" si="3"/>
      </c>
      <c r="M22" s="1091">
        <f t="shared" si="0"/>
      </c>
      <c r="N22" s="1095">
        <v>13</v>
      </c>
      <c r="O22" s="96"/>
    </row>
    <row r="23" spans="1:15" ht="30.75" customHeight="1">
      <c r="A23" s="346">
        <v>14</v>
      </c>
      <c r="B23" s="1296"/>
      <c r="C23" s="1297"/>
      <c r="D23" s="1297"/>
      <c r="E23" s="343"/>
      <c r="F23" s="343"/>
      <c r="G23" s="687"/>
      <c r="H23" s="1049" t="s">
        <v>240</v>
      </c>
      <c r="I23" s="28">
        <f t="shared" si="1"/>
      </c>
      <c r="J23" s="1050"/>
      <c r="K23" s="28">
        <f t="shared" si="2"/>
      </c>
      <c r="L23" s="28">
        <f t="shared" si="3"/>
      </c>
      <c r="M23" s="1091">
        <f t="shared" si="0"/>
      </c>
      <c r="N23" s="1094">
        <v>14</v>
      </c>
      <c r="O23" s="96"/>
    </row>
    <row r="24" spans="1:15" ht="30.75" customHeight="1">
      <c r="A24" s="346">
        <v>15</v>
      </c>
      <c r="B24" s="1296"/>
      <c r="C24" s="1297"/>
      <c r="D24" s="1297"/>
      <c r="E24" s="343"/>
      <c r="F24" s="343"/>
      <c r="G24" s="687"/>
      <c r="H24" s="1049" t="s">
        <v>240</v>
      </c>
      <c r="I24" s="28">
        <f t="shared" si="1"/>
      </c>
      <c r="J24" s="1050"/>
      <c r="K24" s="28">
        <f t="shared" si="2"/>
      </c>
      <c r="L24" s="28">
        <f t="shared" si="3"/>
      </c>
      <c r="M24" s="1091">
        <f t="shared" si="0"/>
      </c>
      <c r="N24" s="1095">
        <v>15</v>
      </c>
      <c r="O24" s="96"/>
    </row>
    <row r="25" spans="1:15" ht="30.75" customHeight="1">
      <c r="A25" s="346">
        <v>16</v>
      </c>
      <c r="B25" s="1296"/>
      <c r="C25" s="1297"/>
      <c r="D25" s="1297"/>
      <c r="E25" s="343"/>
      <c r="F25" s="343"/>
      <c r="G25" s="687"/>
      <c r="H25" s="1049" t="s">
        <v>240</v>
      </c>
      <c r="I25" s="28">
        <f t="shared" si="1"/>
      </c>
      <c r="J25" s="1050"/>
      <c r="K25" s="28">
        <f t="shared" si="2"/>
      </c>
      <c r="L25" s="28">
        <f t="shared" si="3"/>
      </c>
      <c r="M25" s="1091">
        <f t="shared" si="0"/>
      </c>
      <c r="N25" s="1094">
        <v>16</v>
      </c>
      <c r="O25" s="96"/>
    </row>
    <row r="26" spans="1:15" ht="30.75" customHeight="1">
      <c r="A26" s="346">
        <v>17</v>
      </c>
      <c r="B26" s="1296"/>
      <c r="C26" s="1297"/>
      <c r="D26" s="1297"/>
      <c r="E26" s="343"/>
      <c r="F26" s="343"/>
      <c r="G26" s="687"/>
      <c r="H26" s="1049" t="s">
        <v>240</v>
      </c>
      <c r="I26" s="28">
        <f t="shared" si="1"/>
      </c>
      <c r="J26" s="1050"/>
      <c r="K26" s="28">
        <f t="shared" si="2"/>
      </c>
      <c r="L26" s="28">
        <f t="shared" si="3"/>
      </c>
      <c r="M26" s="1091">
        <f t="shared" si="0"/>
      </c>
      <c r="N26" s="1095">
        <v>17</v>
      </c>
      <c r="O26" s="96"/>
    </row>
    <row r="27" spans="1:15" ht="30.75" customHeight="1">
      <c r="A27" s="346">
        <v>18</v>
      </c>
      <c r="B27" s="1296"/>
      <c r="C27" s="1297"/>
      <c r="D27" s="1297"/>
      <c r="E27" s="343"/>
      <c r="F27" s="343"/>
      <c r="G27" s="687"/>
      <c r="H27" s="1049" t="s">
        <v>240</v>
      </c>
      <c r="I27" s="28">
        <f t="shared" si="1"/>
      </c>
      <c r="J27" s="1050"/>
      <c r="K27" s="28">
        <f t="shared" si="2"/>
      </c>
      <c r="L27" s="28">
        <f t="shared" si="3"/>
      </c>
      <c r="M27" s="1091">
        <f t="shared" si="0"/>
      </c>
      <c r="N27" s="1094">
        <v>18</v>
      </c>
      <c r="O27" s="96"/>
    </row>
    <row r="28" spans="1:15" ht="30.75" customHeight="1">
      <c r="A28" s="346">
        <v>19</v>
      </c>
      <c r="B28" s="1296"/>
      <c r="C28" s="1297"/>
      <c r="D28" s="1297"/>
      <c r="E28" s="343"/>
      <c r="F28" s="343"/>
      <c r="G28" s="687"/>
      <c r="H28" s="1049" t="s">
        <v>240</v>
      </c>
      <c r="I28" s="28">
        <f t="shared" si="1"/>
      </c>
      <c r="J28" s="1050"/>
      <c r="K28" s="28">
        <f t="shared" si="2"/>
      </c>
      <c r="L28" s="28">
        <f t="shared" si="3"/>
      </c>
      <c r="M28" s="1091">
        <f t="shared" si="0"/>
      </c>
      <c r="N28" s="1095">
        <v>19</v>
      </c>
      <c r="O28" s="96"/>
    </row>
    <row r="29" spans="1:15" ht="30.75" customHeight="1" thickBot="1">
      <c r="A29" s="1052">
        <v>20</v>
      </c>
      <c r="B29" s="1298"/>
      <c r="C29" s="1299"/>
      <c r="D29" s="1299"/>
      <c r="E29" s="357"/>
      <c r="F29" s="357"/>
      <c r="G29" s="689"/>
      <c r="H29" s="1053" t="s">
        <v>240</v>
      </c>
      <c r="I29" s="1054">
        <f t="shared" si="1"/>
      </c>
      <c r="J29" s="1055"/>
      <c r="K29" s="1054">
        <f t="shared" si="2"/>
      </c>
      <c r="L29" s="1054">
        <f t="shared" si="3"/>
      </c>
      <c r="M29" s="1092">
        <f t="shared" si="0"/>
      </c>
      <c r="N29" s="1096">
        <v>20</v>
      </c>
      <c r="O29" s="96"/>
    </row>
    <row r="30" spans="1:15" ht="21" customHeight="1" thickBot="1">
      <c r="A30" s="1300" t="s">
        <v>27</v>
      </c>
      <c r="B30" s="1301"/>
      <c r="C30" s="1301"/>
      <c r="D30" s="1301"/>
      <c r="E30" s="1301"/>
      <c r="F30" s="1301"/>
      <c r="G30" s="1301"/>
      <c r="H30" s="1301"/>
      <c r="I30" s="1301"/>
      <c r="J30" s="1035"/>
      <c r="K30" s="542">
        <f>SUM(K10:K29)</f>
        <v>0</v>
      </c>
      <c r="L30" s="542">
        <f>SUM(L10:L29)</f>
        <v>0</v>
      </c>
      <c r="M30" s="36">
        <f>SUM(M10:M29)</f>
        <v>0</v>
      </c>
      <c r="N30" s="32"/>
      <c r="O30" s="18"/>
    </row>
    <row r="31" spans="1:14" ht="13.5" customHeight="1">
      <c r="A31" s="7"/>
      <c r="N31" s="5"/>
    </row>
    <row r="32" spans="1:14" ht="13.5" customHeight="1">
      <c r="A32" s="7"/>
      <c r="B32" s="602" t="s">
        <v>35</v>
      </c>
      <c r="D32" s="7"/>
      <c r="E32" s="19" t="s">
        <v>201</v>
      </c>
      <c r="N32" s="5"/>
    </row>
    <row r="33" ht="13.5" customHeight="1">
      <c r="E33" s="19" t="s">
        <v>202</v>
      </c>
    </row>
    <row r="34" spans="2:5" ht="13.5" customHeight="1">
      <c r="B34" s="602" t="s">
        <v>36</v>
      </c>
      <c r="E34" s="19" t="s">
        <v>203</v>
      </c>
    </row>
    <row r="35" spans="2:5" ht="13.5" customHeight="1">
      <c r="B35" s="602" t="s">
        <v>37</v>
      </c>
      <c r="E35" s="19" t="s">
        <v>204</v>
      </c>
    </row>
  </sheetData>
  <sheetProtection sheet="1"/>
  <mergeCells count="26">
    <mergeCell ref="A1:E1"/>
    <mergeCell ref="A8:A9"/>
    <mergeCell ref="B8:D8"/>
    <mergeCell ref="K8:L8"/>
    <mergeCell ref="N8:N9"/>
    <mergeCell ref="B10:D10"/>
    <mergeCell ref="B11:D11"/>
    <mergeCell ref="B12:D12"/>
    <mergeCell ref="B13:D13"/>
    <mergeCell ref="B14:D14"/>
    <mergeCell ref="B15:D15"/>
    <mergeCell ref="B16:D16"/>
    <mergeCell ref="B17:D17"/>
    <mergeCell ref="B18:D18"/>
    <mergeCell ref="B19:D19"/>
    <mergeCell ref="B20:D20"/>
    <mergeCell ref="B21:D21"/>
    <mergeCell ref="B22:D22"/>
    <mergeCell ref="B29:D29"/>
    <mergeCell ref="A30:I30"/>
    <mergeCell ref="B23:D23"/>
    <mergeCell ref="B24:D24"/>
    <mergeCell ref="B25:D25"/>
    <mergeCell ref="B26:D26"/>
    <mergeCell ref="B27:D27"/>
    <mergeCell ref="B28:D28"/>
  </mergeCells>
  <dataValidations count="1">
    <dataValidation allowBlank="1" showInputMessage="1" showErrorMessage="1" imeMode="halfAlpha" sqref="I10:M29 K30:L30"/>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tabColor rgb="FF6036D8"/>
    <pageSetUpPr fitToPage="1"/>
  </sheetPr>
  <dimension ref="A1:J69"/>
  <sheetViews>
    <sheetView showGridLines="0" view="pageBreakPreview" zoomScale="70" zoomScaleSheetLayoutView="70" zoomScalePageLayoutView="0" workbookViewId="0" topLeftCell="A1">
      <selection activeCell="B1" sqref="B1"/>
    </sheetView>
  </sheetViews>
  <sheetFormatPr defaultColWidth="9.140625" defaultRowHeight="15"/>
  <cols>
    <col min="1" max="1" width="4.140625" style="602" customWidth="1"/>
    <col min="2" max="2" width="4.421875" style="602" customWidth="1"/>
    <col min="3" max="3" width="16.00390625" style="23" customWidth="1"/>
    <col min="4" max="4" width="14.00390625" style="23" customWidth="1"/>
    <col min="5" max="5" width="14.00390625" style="2" customWidth="1"/>
    <col min="6" max="6" width="14.00390625" style="23" customWidth="1"/>
    <col min="7" max="7" width="17.28125" style="23" customWidth="1"/>
    <col min="8" max="8" width="18.7109375" style="602" customWidth="1"/>
    <col min="9" max="9" width="9.00390625" style="3" customWidth="1"/>
    <col min="10" max="16384" width="9.00390625" style="602" customWidth="1"/>
  </cols>
  <sheetData>
    <row r="1" spans="2:8" ht="18" customHeight="1">
      <c r="B1" s="602" t="s">
        <v>78</v>
      </c>
      <c r="D1" s="2"/>
      <c r="E1" s="23"/>
      <c r="G1" s="602"/>
      <c r="H1" s="685"/>
    </row>
    <row r="2" spans="3:8" ht="18" customHeight="1">
      <c r="C2" s="1321" t="s">
        <v>181</v>
      </c>
      <c r="D2" s="1321"/>
      <c r="E2" s="1321"/>
      <c r="F2" s="1321"/>
      <c r="G2" s="1321"/>
      <c r="H2" s="34"/>
    </row>
    <row r="3" spans="3:8" ht="18" customHeight="1">
      <c r="C3" s="722"/>
      <c r="D3" s="722"/>
      <c r="E3" s="722"/>
      <c r="F3" s="722"/>
      <c r="G3" s="722"/>
      <c r="H3" s="34"/>
    </row>
    <row r="4" spans="3:8" ht="18" customHeight="1">
      <c r="C4" s="78"/>
      <c r="D4" s="78"/>
      <c r="E4" s="79"/>
      <c r="F4" s="80" t="s">
        <v>477</v>
      </c>
      <c r="G4" s="1194" t="str">
        <f>'使い方'!E6</f>
        <v>Ｂ金属株式会社</v>
      </c>
      <c r="H4" s="1195"/>
    </row>
    <row r="5" spans="3:8" ht="18" customHeight="1">
      <c r="C5" s="78"/>
      <c r="D5" s="78"/>
      <c r="E5" s="78"/>
      <c r="F5" s="81"/>
      <c r="G5" s="78"/>
      <c r="H5" s="3"/>
    </row>
    <row r="6" spans="2:8" ht="18" customHeight="1">
      <c r="B6" s="723" t="s">
        <v>182</v>
      </c>
      <c r="C6" s="308" t="s">
        <v>53</v>
      </c>
      <c r="D6" s="309" t="s">
        <v>54</v>
      </c>
      <c r="E6" s="309" t="s">
        <v>55</v>
      </c>
      <c r="F6" s="308" t="s">
        <v>56</v>
      </c>
      <c r="G6" s="309" t="s">
        <v>57</v>
      </c>
      <c r="H6" s="310" t="s">
        <v>207</v>
      </c>
    </row>
    <row r="7" spans="2:9" ht="18" customHeight="1">
      <c r="B7" s="304">
        <v>1</v>
      </c>
      <c r="C7" s="321" t="s">
        <v>395</v>
      </c>
      <c r="D7" s="83" t="s">
        <v>397</v>
      </c>
      <c r="E7" s="82" t="s">
        <v>416</v>
      </c>
      <c r="F7" s="82"/>
      <c r="G7" s="327">
        <v>37926</v>
      </c>
      <c r="H7" s="336">
        <v>28146</v>
      </c>
      <c r="I7" s="305"/>
    </row>
    <row r="8" spans="2:9" ht="18" customHeight="1">
      <c r="B8" s="304">
        <v>2</v>
      </c>
      <c r="C8" s="321" t="s">
        <v>396</v>
      </c>
      <c r="D8" s="83" t="s">
        <v>447</v>
      </c>
      <c r="E8" s="82" t="s">
        <v>416</v>
      </c>
      <c r="F8" s="82" t="s">
        <v>417</v>
      </c>
      <c r="G8" s="84">
        <v>38443</v>
      </c>
      <c r="H8" s="336">
        <v>26343</v>
      </c>
      <c r="I8" s="305"/>
    </row>
    <row r="9" spans="2:9" ht="18" customHeight="1">
      <c r="B9" s="304">
        <v>3</v>
      </c>
      <c r="C9" s="321"/>
      <c r="D9" s="83"/>
      <c r="E9" s="82"/>
      <c r="F9" s="82"/>
      <c r="G9" s="84"/>
      <c r="H9" s="336"/>
      <c r="I9" s="305"/>
    </row>
    <row r="10" spans="2:9" ht="18" customHeight="1">
      <c r="B10" s="304">
        <v>4</v>
      </c>
      <c r="C10" s="321"/>
      <c r="D10" s="83"/>
      <c r="E10" s="82"/>
      <c r="F10" s="82"/>
      <c r="G10" s="84"/>
      <c r="H10" s="336"/>
      <c r="I10" s="305"/>
    </row>
    <row r="11" spans="2:9" ht="18" customHeight="1">
      <c r="B11" s="304">
        <v>5</v>
      </c>
      <c r="C11" s="321"/>
      <c r="D11" s="83"/>
      <c r="E11" s="82"/>
      <c r="F11" s="82"/>
      <c r="G11" s="84"/>
      <c r="H11" s="336"/>
      <c r="I11" s="305"/>
    </row>
    <row r="12" spans="2:9" ht="18" customHeight="1">
      <c r="B12" s="304">
        <v>6</v>
      </c>
      <c r="C12" s="321"/>
      <c r="D12" s="83"/>
      <c r="E12" s="82"/>
      <c r="F12" s="82"/>
      <c r="G12" s="84"/>
      <c r="H12" s="336"/>
      <c r="I12" s="305"/>
    </row>
    <row r="13" spans="2:9" ht="18" customHeight="1">
      <c r="B13" s="304">
        <v>7</v>
      </c>
      <c r="C13" s="321"/>
      <c r="D13" s="83"/>
      <c r="E13" s="82"/>
      <c r="F13" s="82"/>
      <c r="G13" s="84"/>
      <c r="H13" s="336"/>
      <c r="I13" s="305"/>
    </row>
    <row r="14" spans="2:9" ht="18" customHeight="1">
      <c r="B14" s="304">
        <v>8</v>
      </c>
      <c r="C14" s="321"/>
      <c r="D14" s="83"/>
      <c r="E14" s="82"/>
      <c r="F14" s="82"/>
      <c r="G14" s="84"/>
      <c r="H14" s="336"/>
      <c r="I14" s="305"/>
    </row>
    <row r="15" spans="2:9" ht="18" customHeight="1">
      <c r="B15" s="304">
        <v>9</v>
      </c>
      <c r="C15" s="321"/>
      <c r="D15" s="83"/>
      <c r="E15" s="82"/>
      <c r="F15" s="82"/>
      <c r="G15" s="84"/>
      <c r="H15" s="336"/>
      <c r="I15" s="305"/>
    </row>
    <row r="16" spans="2:9" ht="18" customHeight="1">
      <c r="B16" s="304">
        <v>10</v>
      </c>
      <c r="C16" s="321"/>
      <c r="D16" s="83"/>
      <c r="E16" s="82"/>
      <c r="F16" s="82"/>
      <c r="G16" s="84"/>
      <c r="H16" s="336"/>
      <c r="I16" s="305"/>
    </row>
    <row r="17" spans="2:9" ht="18" customHeight="1">
      <c r="B17" s="304">
        <v>11</v>
      </c>
      <c r="C17" s="321"/>
      <c r="D17" s="83"/>
      <c r="E17" s="82"/>
      <c r="F17" s="82"/>
      <c r="G17" s="84"/>
      <c r="H17" s="336"/>
      <c r="I17" s="305"/>
    </row>
    <row r="18" spans="2:9" ht="18" customHeight="1">
      <c r="B18" s="304">
        <v>12</v>
      </c>
      <c r="C18" s="321"/>
      <c r="D18" s="83"/>
      <c r="E18" s="82"/>
      <c r="F18" s="82"/>
      <c r="G18" s="84"/>
      <c r="H18" s="336"/>
      <c r="I18" s="305"/>
    </row>
    <row r="19" spans="1:10" ht="18" customHeight="1">
      <c r="A19" s="2"/>
      <c r="C19" s="2"/>
      <c r="D19" s="2"/>
      <c r="F19" s="2"/>
      <c r="G19" s="2"/>
      <c r="I19" s="306"/>
      <c r="J19" s="2"/>
    </row>
    <row r="20" spans="1:10" ht="18" customHeight="1">
      <c r="A20" s="2"/>
      <c r="C20" s="85" t="s">
        <v>75</v>
      </c>
      <c r="D20" s="2"/>
      <c r="F20" s="2"/>
      <c r="G20" s="2" t="s">
        <v>366</v>
      </c>
      <c r="I20" s="306"/>
      <c r="J20" s="2"/>
    </row>
    <row r="21" spans="1:10" ht="18" customHeight="1">
      <c r="A21" s="2"/>
      <c r="C21" s="85"/>
      <c r="D21" s="2"/>
      <c r="F21" s="2"/>
      <c r="G21" s="2"/>
      <c r="H21" s="34"/>
      <c r="I21" s="306"/>
      <c r="J21" s="2"/>
    </row>
    <row r="22" spans="1:10" ht="18" customHeight="1">
      <c r="A22" s="2"/>
      <c r="B22" s="1322" t="s">
        <v>182</v>
      </c>
      <c r="C22" s="86"/>
      <c r="D22" s="87" t="s">
        <v>71</v>
      </c>
      <c r="E22" s="87" t="s">
        <v>72</v>
      </c>
      <c r="F22" s="87" t="s">
        <v>76</v>
      </c>
      <c r="G22" s="88" t="s">
        <v>77</v>
      </c>
      <c r="H22" s="34"/>
      <c r="I22" s="306"/>
      <c r="J22" s="2"/>
    </row>
    <row r="23" spans="1:10" ht="39">
      <c r="A23" s="2"/>
      <c r="B23" s="1322"/>
      <c r="C23" s="89" t="s">
        <v>54</v>
      </c>
      <c r="D23" s="90" t="s">
        <v>58</v>
      </c>
      <c r="E23" s="90" t="s">
        <v>1027</v>
      </c>
      <c r="F23" s="90" t="s">
        <v>59</v>
      </c>
      <c r="G23" s="90" t="s">
        <v>60</v>
      </c>
      <c r="H23" s="34"/>
      <c r="I23" s="306"/>
      <c r="J23" s="2"/>
    </row>
    <row r="24" spans="1:10" ht="18" customHeight="1">
      <c r="A24" s="2"/>
      <c r="B24" s="318">
        <f aca="true" t="shared" si="0" ref="B24:B35">IF(B7="","",B7)</f>
        <v>1</v>
      </c>
      <c r="C24" s="581" t="str">
        <f aca="true" t="shared" si="1" ref="C24:C35">IF(D7="","",D7)</f>
        <v>甲　太郎</v>
      </c>
      <c r="D24" s="547">
        <f>IF(C24="","",'賃金台帳(1)'!$E$45)</f>
        <v>4813040</v>
      </c>
      <c r="E24" s="547">
        <f>IF(C24="","",'賃金台帳(1)'!$I$45)</f>
        <v>861583</v>
      </c>
      <c r="F24" s="548">
        <f>IF(C24="","",'総労働時間算定表(1)'!$H$5)</f>
        <v>1904</v>
      </c>
      <c r="G24" s="320">
        <f>IF(C24="","",IF((ROUNDDOWN((D24+E24)/F24,0))&gt;=5000,5000,'賃金台帳(1)'!$R$45))</f>
        <v>2980</v>
      </c>
      <c r="H24" s="34"/>
      <c r="I24" s="306"/>
      <c r="J24" s="2"/>
    </row>
    <row r="25" spans="1:10" ht="18" customHeight="1">
      <c r="A25" s="2"/>
      <c r="B25" s="318">
        <f t="shared" si="0"/>
        <v>2</v>
      </c>
      <c r="C25" s="581" t="str">
        <f t="shared" si="1"/>
        <v>乙　次郎</v>
      </c>
      <c r="D25" s="547">
        <f>IF(C25="","",'賃金台帳(2)'!$E$45)</f>
        <v>5804040</v>
      </c>
      <c r="E25" s="547">
        <f>IF(C25="","",'賃金台帳(2)'!$I$45)</f>
        <v>903878</v>
      </c>
      <c r="F25" s="548">
        <f>IF(C25="","",'総労働時間算定表(1)'!$H$5)</f>
        <v>1904</v>
      </c>
      <c r="G25" s="320">
        <f>IF(C25="","",IF((ROUNDDOWN((D25+E25)/F25,0))&gt;=5000,5000,'賃金台帳(2)'!$R$45))</f>
        <v>3523</v>
      </c>
      <c r="H25" s="91"/>
      <c r="I25" s="306"/>
      <c r="J25" s="2"/>
    </row>
    <row r="26" spans="1:10" ht="18" customHeight="1">
      <c r="A26" s="2"/>
      <c r="B26" s="318">
        <f t="shared" si="0"/>
        <v>3</v>
      </c>
      <c r="C26" s="581">
        <f t="shared" si="1"/>
      </c>
      <c r="D26" s="547">
        <f>IF(C26="","",'賃金台帳(3)'!$E$45)</f>
      </c>
      <c r="E26" s="547">
        <f>IF(C26="","",'賃金台帳(3)'!$I$45)</f>
      </c>
      <c r="F26" s="548">
        <f>IF(C26="","",'総労働時間算定表(1)'!$H$5)</f>
      </c>
      <c r="G26" s="320">
        <f>IF(C26="","",IF((ROUNDDOWN((D26+E26)/F26,0))&gt;=5000,5000,'賃金台帳(3)'!$R$45))</f>
      </c>
      <c r="H26" s="34"/>
      <c r="I26" s="306"/>
      <c r="J26" s="2"/>
    </row>
    <row r="27" spans="1:10" ht="18" customHeight="1">
      <c r="A27" s="2"/>
      <c r="B27" s="318">
        <f t="shared" si="0"/>
        <v>4</v>
      </c>
      <c r="C27" s="581">
        <f t="shared" si="1"/>
      </c>
      <c r="D27" s="547">
        <f>IF(C27="","",'賃金台帳(4)'!$E$45)</f>
      </c>
      <c r="E27" s="547">
        <f>IF(C27="","",'賃金台帳(4)'!$I$45)</f>
      </c>
      <c r="F27" s="548">
        <f>IF(C27="","",'総労働時間算定表(1)'!$H$5)</f>
      </c>
      <c r="G27" s="320">
        <f>IF(C27="","",IF((ROUNDDOWN((D27+E27)/F27,0))&gt;=5000,5000,'賃金台帳(4)'!$R$45))</f>
      </c>
      <c r="H27" s="91"/>
      <c r="I27" s="306"/>
      <c r="J27" s="2"/>
    </row>
    <row r="28" spans="1:10" ht="18" customHeight="1">
      <c r="A28" s="2"/>
      <c r="B28" s="318">
        <f t="shared" si="0"/>
        <v>5</v>
      </c>
      <c r="C28" s="581">
        <f t="shared" si="1"/>
      </c>
      <c r="D28" s="547">
        <f>IF(C28="","",'賃金台帳(5)'!$E$45)</f>
      </c>
      <c r="E28" s="547">
        <f>IF(C28="","",'賃金台帳(5)'!$I$45)</f>
      </c>
      <c r="F28" s="548">
        <f>IF(C28="","",'総労働時間算定表(1)'!$H$5)</f>
      </c>
      <c r="G28" s="320">
        <f>IF(C28="","",IF((ROUNDDOWN((D28+E28)/F28,0))&gt;=5000,5000,'賃金台帳(5)'!$R$45))</f>
      </c>
      <c r="H28" s="91"/>
      <c r="I28" s="306"/>
      <c r="J28" s="2"/>
    </row>
    <row r="29" spans="1:10" ht="18" customHeight="1">
      <c r="A29" s="2"/>
      <c r="B29" s="318">
        <f t="shared" si="0"/>
        <v>6</v>
      </c>
      <c r="C29" s="581">
        <f t="shared" si="1"/>
      </c>
      <c r="D29" s="547">
        <f>IF(C29="","",'賃金台帳(6)'!$E$45)</f>
      </c>
      <c r="E29" s="547">
        <f>IF(C29="","",'賃金台帳(6)'!$I$45)</f>
      </c>
      <c r="F29" s="548">
        <f>IF(C29="","",'総労働時間算定表(1)'!$H$5)</f>
      </c>
      <c r="G29" s="320">
        <f>IF(C29="","",IF((ROUNDDOWN((D29+E29)/F29,0))&gt;=5000,5000,'賃金台帳(6)'!$R$45))</f>
      </c>
      <c r="H29" s="91"/>
      <c r="I29" s="306"/>
      <c r="J29" s="2"/>
    </row>
    <row r="30" spans="1:10" ht="18" customHeight="1">
      <c r="A30" s="2"/>
      <c r="B30" s="318">
        <f t="shared" si="0"/>
        <v>7</v>
      </c>
      <c r="C30" s="581">
        <f t="shared" si="1"/>
      </c>
      <c r="D30" s="547">
        <f>IF(C30="","",'賃金台帳(7)'!$E$45)</f>
      </c>
      <c r="E30" s="547">
        <f>IF(C30="","",'賃金台帳(7)'!$I$45)</f>
      </c>
      <c r="F30" s="548">
        <f>IF(C30="","",'総労働時間算定表(1)'!$H$5)</f>
      </c>
      <c r="G30" s="320">
        <f>IF(C30="","",IF((ROUNDDOWN((D30+E30)/F30,0))&gt;=5000,5000,'賃金台帳(7)'!$R$45))</f>
      </c>
      <c r="H30" s="34"/>
      <c r="I30" s="306"/>
      <c r="J30" s="2"/>
    </row>
    <row r="31" spans="1:10" ht="18" customHeight="1">
      <c r="A31" s="2"/>
      <c r="B31" s="318">
        <f t="shared" si="0"/>
        <v>8</v>
      </c>
      <c r="C31" s="581">
        <f t="shared" si="1"/>
      </c>
      <c r="D31" s="547">
        <f>IF(C31="","",'賃金台帳(8)'!$E$45)</f>
      </c>
      <c r="E31" s="547">
        <f>IF(C31="","",'賃金台帳(8)'!$I$45)</f>
      </c>
      <c r="F31" s="548">
        <f>IF(C31="","",'総労働時間算定表(1)'!$H$5)</f>
      </c>
      <c r="G31" s="320">
        <f>IF(C31="","",IF((ROUNDDOWN((D31+E31)/F31,0))&gt;=5000,5000,'賃金台帳(8)'!$R$45))</f>
      </c>
      <c r="H31" s="91"/>
      <c r="I31" s="306"/>
      <c r="J31" s="2"/>
    </row>
    <row r="32" spans="1:10" ht="18" customHeight="1">
      <c r="A32" s="2"/>
      <c r="B32" s="318">
        <f t="shared" si="0"/>
        <v>9</v>
      </c>
      <c r="C32" s="581">
        <f t="shared" si="1"/>
      </c>
      <c r="D32" s="547">
        <f>IF(C32="","",'賃金台帳(9)'!$E$45)</f>
      </c>
      <c r="E32" s="547">
        <f>IF(C32="","",'賃金台帳(9)'!$I$45)</f>
      </c>
      <c r="F32" s="548">
        <f>IF(C32="","",'総労働時間算定表(1)'!$H$5)</f>
      </c>
      <c r="G32" s="320">
        <f>IF(C32="","",IF((ROUNDDOWN((D32+E32)/F32,0))&gt;=5000,5000,'賃金台帳(9)'!$R$45))</f>
      </c>
      <c r="H32" s="34"/>
      <c r="I32" s="306"/>
      <c r="J32" s="2"/>
    </row>
    <row r="33" spans="1:10" ht="18" customHeight="1">
      <c r="A33" s="2"/>
      <c r="B33" s="318">
        <f t="shared" si="0"/>
        <v>10</v>
      </c>
      <c r="C33" s="581">
        <f t="shared" si="1"/>
      </c>
      <c r="D33" s="547">
        <f>IF(C33="","",'賃金台帳(10)'!$E$45)</f>
      </c>
      <c r="E33" s="547">
        <f>IF(C33="","",'賃金台帳(10)'!$I$45)</f>
      </c>
      <c r="F33" s="548">
        <f>IF(C33="","",'総労働時間算定表(1)'!$H$5)</f>
      </c>
      <c r="G33" s="320">
        <f>IF(C33="","",IF((ROUNDDOWN((D33+E33)/F33,0))&gt;=5000,5000,'賃金台帳(10)'!$R$45))</f>
      </c>
      <c r="H33" s="91"/>
      <c r="I33" s="306"/>
      <c r="J33" s="2"/>
    </row>
    <row r="34" spans="1:10" ht="18" customHeight="1">
      <c r="A34" s="2"/>
      <c r="B34" s="318">
        <f t="shared" si="0"/>
        <v>11</v>
      </c>
      <c r="C34" s="581">
        <f t="shared" si="1"/>
      </c>
      <c r="D34" s="547">
        <f>IF(C34="","",'賃金台帳(11)'!$E$45)</f>
      </c>
      <c r="E34" s="547">
        <f>IF(C34="","",'賃金台帳(11)'!$I$45)</f>
      </c>
      <c r="F34" s="548">
        <f>IF(C34="","",'総労働時間算定表(1)'!$H$5)</f>
      </c>
      <c r="G34" s="320">
        <f>IF(C34="","",IF((ROUNDDOWN((D34+E34)/F34,0))&gt;=5000,5000,'賃金台帳(11)'!$R$45))</f>
      </c>
      <c r="H34" s="91"/>
      <c r="I34" s="306"/>
      <c r="J34" s="2"/>
    </row>
    <row r="35" spans="1:10" ht="18" customHeight="1">
      <c r="A35" s="2"/>
      <c r="B35" s="318">
        <f t="shared" si="0"/>
        <v>12</v>
      </c>
      <c r="C35" s="581">
        <f t="shared" si="1"/>
      </c>
      <c r="D35" s="547">
        <f>IF(C35="","",'賃金台帳(12)'!$E$45)</f>
      </c>
      <c r="E35" s="547">
        <f>IF(C35="","",'賃金台帳(12)'!$I$45)</f>
      </c>
      <c r="F35" s="548">
        <f>IF(C35="","",'総労働時間算定表(1)'!$H$5)</f>
      </c>
      <c r="G35" s="320">
        <f>IF(C35="","",IF((ROUNDDOWN((D35+E35)/F35,0))&gt;=5000,5000,'賃金台帳(12)'!$R$45))</f>
      </c>
      <c r="H35" s="91"/>
      <c r="I35" s="306"/>
      <c r="J35" s="2"/>
    </row>
    <row r="36" spans="1:9" s="2" customFormat="1" ht="18" customHeight="1">
      <c r="A36" s="602"/>
      <c r="B36" s="602"/>
      <c r="C36" s="128" t="s">
        <v>205</v>
      </c>
      <c r="H36" s="602"/>
      <c r="I36" s="306"/>
    </row>
    <row r="37" spans="1:9" s="2" customFormat="1" ht="18" customHeight="1">
      <c r="A37" s="602"/>
      <c r="B37" s="602"/>
      <c r="C37" s="128" t="s">
        <v>974</v>
      </c>
      <c r="D37" s="23"/>
      <c r="F37" s="23"/>
      <c r="G37" s="23"/>
      <c r="H37" s="602"/>
      <c r="I37" s="306"/>
    </row>
    <row r="38" spans="1:9" s="2" customFormat="1" ht="18" customHeight="1">
      <c r="A38" s="602"/>
      <c r="B38" s="602"/>
      <c r="C38" s="128" t="s">
        <v>206</v>
      </c>
      <c r="D38" s="23"/>
      <c r="F38" s="23"/>
      <c r="G38" s="23"/>
      <c r="H38" s="602"/>
      <c r="I38" s="306"/>
    </row>
    <row r="39" spans="1:10" s="2" customFormat="1" ht="18" customHeight="1">
      <c r="A39" s="602"/>
      <c r="B39" s="602"/>
      <c r="C39" s="23"/>
      <c r="D39" s="23"/>
      <c r="F39" s="23"/>
      <c r="G39" s="23"/>
      <c r="H39" s="602"/>
      <c r="I39" s="3"/>
      <c r="J39" s="602"/>
    </row>
    <row r="40" spans="1:9" s="2" customFormat="1" ht="13.5">
      <c r="A40" s="602"/>
      <c r="B40" s="602"/>
      <c r="C40" s="23"/>
      <c r="D40" s="23"/>
      <c r="F40" s="23"/>
      <c r="G40" s="23"/>
      <c r="H40" s="602"/>
      <c r="I40" s="306"/>
    </row>
    <row r="41" spans="1:9" s="2" customFormat="1" ht="13.5">
      <c r="A41" s="16"/>
      <c r="B41" s="602"/>
      <c r="C41" s="23"/>
      <c r="D41" s="23"/>
      <c r="F41" s="23"/>
      <c r="G41" s="23"/>
      <c r="H41" s="602"/>
      <c r="I41" s="306"/>
    </row>
    <row r="42" spans="1:9" s="2" customFormat="1" ht="13.5">
      <c r="A42" s="16"/>
      <c r="B42" s="602"/>
      <c r="C42" s="23"/>
      <c r="D42" s="23"/>
      <c r="F42" s="23"/>
      <c r="G42" s="23"/>
      <c r="H42" s="602"/>
      <c r="I42" s="306"/>
    </row>
    <row r="43" spans="1:10" s="2" customFormat="1" ht="13.5">
      <c r="A43" s="602"/>
      <c r="B43" s="602"/>
      <c r="C43" s="23"/>
      <c r="D43" s="23"/>
      <c r="F43" s="23"/>
      <c r="G43" s="23"/>
      <c r="H43" s="602"/>
      <c r="I43" s="3"/>
      <c r="J43" s="602"/>
    </row>
    <row r="44" spans="1:9" s="2" customFormat="1" ht="13.5">
      <c r="A44" s="602"/>
      <c r="B44" s="602"/>
      <c r="C44" s="23"/>
      <c r="D44" s="23"/>
      <c r="F44" s="23"/>
      <c r="G44" s="23"/>
      <c r="H44" s="602"/>
      <c r="I44" s="306"/>
    </row>
    <row r="45" spans="1:9" s="2" customFormat="1" ht="13.5">
      <c r="A45" s="602"/>
      <c r="B45" s="602"/>
      <c r="C45" s="23"/>
      <c r="D45" s="23"/>
      <c r="F45" s="23"/>
      <c r="G45" s="23"/>
      <c r="H45" s="602"/>
      <c r="I45" s="306"/>
    </row>
    <row r="46" spans="1:9" s="2" customFormat="1" ht="13.5">
      <c r="A46" s="16"/>
      <c r="B46" s="602"/>
      <c r="C46" s="23"/>
      <c r="D46" s="23"/>
      <c r="F46" s="23"/>
      <c r="G46" s="23"/>
      <c r="H46" s="602"/>
      <c r="I46" s="306"/>
    </row>
    <row r="47" spans="1:9" s="2" customFormat="1" ht="13.5">
      <c r="A47" s="16"/>
      <c r="B47" s="602"/>
      <c r="C47" s="23"/>
      <c r="D47" s="23"/>
      <c r="F47" s="23"/>
      <c r="G47" s="23"/>
      <c r="H47" s="602"/>
      <c r="I47" s="306"/>
    </row>
    <row r="48" spans="1:10" s="2" customFormat="1" ht="13.5">
      <c r="A48" s="602"/>
      <c r="B48" s="602"/>
      <c r="C48" s="23"/>
      <c r="D48" s="23"/>
      <c r="F48" s="23"/>
      <c r="G48" s="23"/>
      <c r="H48" s="602"/>
      <c r="I48" s="3"/>
      <c r="J48" s="602"/>
    </row>
    <row r="49" spans="1:10" s="2" customFormat="1" ht="13.5">
      <c r="A49" s="602"/>
      <c r="B49" s="602"/>
      <c r="C49" s="23"/>
      <c r="D49" s="23"/>
      <c r="F49" s="23"/>
      <c r="G49" s="23"/>
      <c r="H49" s="602"/>
      <c r="I49" s="3"/>
      <c r="J49" s="602"/>
    </row>
    <row r="50" spans="1:10" s="2" customFormat="1" ht="13.5">
      <c r="A50" s="602"/>
      <c r="B50" s="602"/>
      <c r="C50" s="23"/>
      <c r="D50" s="23"/>
      <c r="F50" s="23"/>
      <c r="G50" s="23"/>
      <c r="H50" s="602"/>
      <c r="I50" s="3"/>
      <c r="J50" s="602"/>
    </row>
    <row r="52" spans="1:10" s="2" customFormat="1" ht="13.5">
      <c r="A52" s="602"/>
      <c r="B52" s="602"/>
      <c r="C52" s="23"/>
      <c r="D52" s="23"/>
      <c r="F52" s="23"/>
      <c r="G52" s="23"/>
      <c r="H52" s="602"/>
      <c r="I52" s="3"/>
      <c r="J52" s="602"/>
    </row>
    <row r="53" spans="1:10" s="2" customFormat="1" ht="13.5">
      <c r="A53" s="602"/>
      <c r="B53" s="602"/>
      <c r="C53" s="23"/>
      <c r="D53" s="23"/>
      <c r="F53" s="23"/>
      <c r="G53" s="23"/>
      <c r="H53" s="602"/>
      <c r="I53" s="307"/>
      <c r="J53" s="16"/>
    </row>
    <row r="54" spans="1:10" s="2" customFormat="1" ht="13.5">
      <c r="A54" s="602"/>
      <c r="B54" s="602"/>
      <c r="C54" s="23"/>
      <c r="D54" s="23"/>
      <c r="F54" s="23"/>
      <c r="G54" s="23"/>
      <c r="H54" s="602"/>
      <c r="I54" s="307"/>
      <c r="J54" s="16"/>
    </row>
    <row r="56" spans="1:10" s="2" customFormat="1" ht="13.5">
      <c r="A56" s="602"/>
      <c r="B56" s="602"/>
      <c r="C56" s="23"/>
      <c r="D56" s="23"/>
      <c r="F56" s="23"/>
      <c r="G56" s="23"/>
      <c r="H56" s="602"/>
      <c r="I56" s="3"/>
      <c r="J56" s="602"/>
    </row>
    <row r="57" spans="1:10" s="2" customFormat="1" ht="13.5">
      <c r="A57" s="602"/>
      <c r="B57" s="602"/>
      <c r="C57" s="23"/>
      <c r="D57" s="23"/>
      <c r="F57" s="23"/>
      <c r="G57" s="23"/>
      <c r="H57" s="602"/>
      <c r="I57" s="307"/>
      <c r="J57" s="16"/>
    </row>
    <row r="58" spans="1:10" s="2" customFormat="1" ht="13.5">
      <c r="A58" s="602"/>
      <c r="B58" s="602"/>
      <c r="C58" s="23"/>
      <c r="D58" s="23"/>
      <c r="F58" s="23"/>
      <c r="G58" s="23"/>
      <c r="H58" s="602"/>
      <c r="I58" s="307"/>
      <c r="J58" s="16"/>
    </row>
    <row r="63" ht="20.25" customHeight="1"/>
    <row r="64" spans="1:10" s="16" customFormat="1" ht="20.25" customHeight="1">
      <c r="A64" s="602"/>
      <c r="B64" s="602"/>
      <c r="C64" s="23"/>
      <c r="D64" s="23"/>
      <c r="E64" s="2"/>
      <c r="F64" s="23"/>
      <c r="G64" s="23"/>
      <c r="H64" s="602"/>
      <c r="I64" s="3"/>
      <c r="J64" s="602"/>
    </row>
    <row r="65" spans="1:10" s="16" customFormat="1" ht="20.25" customHeight="1">
      <c r="A65" s="602"/>
      <c r="B65" s="602"/>
      <c r="C65" s="23"/>
      <c r="D65" s="23"/>
      <c r="E65" s="2"/>
      <c r="F65" s="23"/>
      <c r="G65" s="23"/>
      <c r="H65" s="602"/>
      <c r="I65" s="3"/>
      <c r="J65" s="602"/>
    </row>
    <row r="66" ht="20.25" customHeight="1"/>
    <row r="67" ht="20.25" customHeight="1"/>
    <row r="68" spans="1:10" s="16" customFormat="1" ht="13.5">
      <c r="A68" s="602"/>
      <c r="B68" s="602"/>
      <c r="C68" s="23"/>
      <c r="D68" s="23"/>
      <c r="E68" s="2"/>
      <c r="F68" s="23"/>
      <c r="G68" s="23"/>
      <c r="H68" s="602"/>
      <c r="I68" s="3"/>
      <c r="J68" s="602"/>
    </row>
    <row r="69" spans="1:10" s="16" customFormat="1" ht="13.5">
      <c r="A69" s="602"/>
      <c r="B69" s="602"/>
      <c r="C69" s="23"/>
      <c r="D69" s="23"/>
      <c r="E69" s="2"/>
      <c r="F69" s="23"/>
      <c r="G69" s="23"/>
      <c r="H69" s="602"/>
      <c r="I69" s="3"/>
      <c r="J69" s="602"/>
    </row>
    <row r="79" ht="15" customHeight="1"/>
    <row r="80" ht="15" customHeight="1"/>
    <row r="81" ht="15" customHeight="1"/>
  </sheetData>
  <sheetProtection sheet="1"/>
  <mergeCells count="2">
    <mergeCell ref="C2:G2"/>
    <mergeCell ref="B22:B23"/>
  </mergeCells>
  <dataValidations count="1">
    <dataValidation allowBlank="1" showInputMessage="1" showErrorMessage="1" imeMode="halfAlpha" sqref="B24:F35"/>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58" customWidth="1"/>
    <col min="2" max="2" width="9.7109375" style="558" customWidth="1"/>
    <col min="3" max="3" width="11.57421875" style="558" bestFit="1" customWidth="1"/>
    <col min="4" max="4" width="10.57421875" style="558" customWidth="1"/>
    <col min="5" max="5" width="9.421875" style="558" customWidth="1"/>
    <col min="6" max="6" width="12.421875" style="558" customWidth="1"/>
    <col min="7" max="7" width="13.28125" style="558" customWidth="1"/>
    <col min="8" max="8" width="14.421875" style="558" customWidth="1"/>
    <col min="9" max="16384" width="9.00390625" style="558" customWidth="1"/>
  </cols>
  <sheetData>
    <row r="1" spans="2:8" ht="18" customHeight="1">
      <c r="B1" s="1323" t="s">
        <v>183</v>
      </c>
      <c r="C1" s="1323"/>
      <c r="D1" s="1323"/>
      <c r="E1" s="1323"/>
      <c r="F1" s="1323"/>
      <c r="G1" s="1323"/>
      <c r="H1" s="1323"/>
    </row>
    <row r="2" ht="9.75" customHeight="1"/>
    <row r="3" ht="17.25">
      <c r="H3" s="101" t="s">
        <v>184</v>
      </c>
    </row>
    <row r="4" spans="2:8" ht="17.25">
      <c r="B4" s="102"/>
      <c r="C4" s="102"/>
      <c r="D4" s="102"/>
      <c r="E4" s="102"/>
      <c r="G4" s="102"/>
      <c r="H4" s="20" t="str">
        <f>'使い方'!E6</f>
        <v>Ｂ金属株式会社</v>
      </c>
    </row>
    <row r="5" spans="2:9" ht="17.25">
      <c r="B5" s="102" t="s">
        <v>185</v>
      </c>
      <c r="D5" s="102"/>
      <c r="E5" s="102"/>
      <c r="F5" s="102"/>
      <c r="G5" s="1207" t="s">
        <v>61</v>
      </c>
      <c r="H5" s="1204">
        <f>H27+H28</f>
        <v>1904</v>
      </c>
      <c r="I5" s="102" t="s">
        <v>186</v>
      </c>
    </row>
    <row r="6" spans="2:9" ht="17.25">
      <c r="B6" s="102"/>
      <c r="D6" s="102"/>
      <c r="E6" s="102"/>
      <c r="F6" s="102"/>
      <c r="G6" s="103"/>
      <c r="H6" s="129"/>
      <c r="I6" s="102"/>
    </row>
    <row r="7" spans="2:7" ht="18" thickBot="1">
      <c r="B7" s="102"/>
      <c r="C7" s="1211" t="s">
        <v>187</v>
      </c>
      <c r="D7" s="102"/>
      <c r="E7" s="102"/>
      <c r="F7" s="1211" t="s">
        <v>187</v>
      </c>
      <c r="G7" s="102"/>
    </row>
    <row r="8" spans="2:7" ht="17.25">
      <c r="B8" s="102" t="s">
        <v>388</v>
      </c>
      <c r="C8" s="104">
        <v>20</v>
      </c>
      <c r="D8" s="102"/>
      <c r="E8" s="102" t="s">
        <v>1015</v>
      </c>
      <c r="F8" s="104">
        <v>22</v>
      </c>
      <c r="G8" s="102"/>
    </row>
    <row r="9" spans="2:7" ht="17.25">
      <c r="B9" s="102" t="s">
        <v>188</v>
      </c>
      <c r="C9" s="105">
        <v>21</v>
      </c>
      <c r="D9" s="102"/>
      <c r="E9" s="102" t="s">
        <v>1016</v>
      </c>
      <c r="F9" s="105">
        <v>21</v>
      </c>
      <c r="G9" s="102"/>
    </row>
    <row r="10" spans="2:7" ht="17.25">
      <c r="B10" s="102" t="s">
        <v>189</v>
      </c>
      <c r="C10" s="105">
        <v>21</v>
      </c>
      <c r="D10" s="102"/>
      <c r="E10" s="102" t="s">
        <v>1018</v>
      </c>
      <c r="F10" s="105">
        <v>17</v>
      </c>
      <c r="G10" s="102"/>
    </row>
    <row r="11" spans="2:7" ht="17.25">
      <c r="B11" s="102" t="s">
        <v>389</v>
      </c>
      <c r="C11" s="105">
        <v>21</v>
      </c>
      <c r="D11" s="102"/>
      <c r="E11" s="102" t="s">
        <v>1019</v>
      </c>
      <c r="F11" s="105">
        <v>18</v>
      </c>
      <c r="G11" s="102"/>
    </row>
    <row r="12" spans="2:7" ht="17.25">
      <c r="B12" s="102" t="s">
        <v>390</v>
      </c>
      <c r="C12" s="105">
        <v>19</v>
      </c>
      <c r="D12" s="102"/>
      <c r="E12" s="102" t="s">
        <v>1020</v>
      </c>
      <c r="F12" s="105">
        <v>19</v>
      </c>
      <c r="G12" s="532" t="s">
        <v>1008</v>
      </c>
    </row>
    <row r="13" spans="2:7" ht="18" thickBot="1">
      <c r="B13" s="102" t="s">
        <v>391</v>
      </c>
      <c r="C13" s="106">
        <v>19</v>
      </c>
      <c r="D13" s="102"/>
      <c r="E13" s="102" t="s">
        <v>1021</v>
      </c>
      <c r="F13" s="106">
        <v>20</v>
      </c>
      <c r="G13" s="532" t="s">
        <v>1009</v>
      </c>
    </row>
    <row r="14" spans="2:7" ht="17.25">
      <c r="B14" s="102"/>
      <c r="C14" s="102"/>
      <c r="D14" s="102"/>
      <c r="E14" s="102" t="s">
        <v>61</v>
      </c>
      <c r="F14" s="108">
        <f>C8+C9+C10+C11+C12+C13+F8+F9+F10+F11+F12+F13</f>
        <v>238</v>
      </c>
      <c r="G14" s="109" t="s">
        <v>190</v>
      </c>
    </row>
    <row r="15" spans="2:12" ht="18" thickBot="1">
      <c r="B15" s="102"/>
      <c r="C15" s="102"/>
      <c r="D15" s="102"/>
      <c r="E15" s="102"/>
      <c r="F15" s="107"/>
      <c r="G15" s="109"/>
      <c r="K15" s="110"/>
      <c r="L15" s="110"/>
    </row>
    <row r="16" spans="2:9" ht="18" thickBot="1">
      <c r="B16" s="111" t="s">
        <v>191</v>
      </c>
      <c r="C16" s="111"/>
      <c r="D16" s="111"/>
      <c r="E16" s="112">
        <v>0.375</v>
      </c>
      <c r="F16" s="113" t="s">
        <v>62</v>
      </c>
      <c r="G16" s="114">
        <v>0.75</v>
      </c>
      <c r="H16" s="115">
        <f>G16-E16</f>
        <v>0.375</v>
      </c>
      <c r="I16" s="110"/>
    </row>
    <row r="17" spans="2:9" ht="18" thickBot="1">
      <c r="B17" s="111"/>
      <c r="C17" s="111"/>
      <c r="D17" s="111"/>
      <c r="E17" s="2"/>
      <c r="F17" s="2"/>
      <c r="G17" s="116"/>
      <c r="H17" s="2"/>
      <c r="I17" s="110"/>
    </row>
    <row r="18" spans="2:9" ht="17.25">
      <c r="B18" s="111" t="s">
        <v>192</v>
      </c>
      <c r="C18" s="111"/>
      <c r="D18" s="111"/>
      <c r="E18" s="117"/>
      <c r="F18" s="603" t="s">
        <v>62</v>
      </c>
      <c r="G18" s="323"/>
      <c r="H18" s="118">
        <f>G18-E18</f>
        <v>0</v>
      </c>
      <c r="I18" s="110"/>
    </row>
    <row r="19" spans="2:9" ht="17.25">
      <c r="B19" s="111" t="s">
        <v>193</v>
      </c>
      <c r="C19" s="111"/>
      <c r="D19" s="111"/>
      <c r="E19" s="119">
        <v>0.5</v>
      </c>
      <c r="F19" s="603" t="s">
        <v>62</v>
      </c>
      <c r="G19" s="324">
        <v>0.5416666666666666</v>
      </c>
      <c r="H19" s="118">
        <f>G19-E19</f>
        <v>0.04166666666666663</v>
      </c>
      <c r="I19" s="110"/>
    </row>
    <row r="20" spans="2:9" ht="18" thickBot="1">
      <c r="B20" s="111" t="s">
        <v>194</v>
      </c>
      <c r="C20" s="111"/>
      <c r="D20" s="111"/>
      <c r="E20" s="120"/>
      <c r="F20" s="603" t="s">
        <v>62</v>
      </c>
      <c r="G20" s="325"/>
      <c r="H20" s="118">
        <f>G20-E20</f>
        <v>0</v>
      </c>
      <c r="I20" s="110"/>
    </row>
    <row r="21" spans="2:9" ht="17.25">
      <c r="B21" s="111"/>
      <c r="C21" s="111"/>
      <c r="D21" s="111"/>
      <c r="E21" s="121"/>
      <c r="F21" s="122"/>
      <c r="G21" s="107" t="s">
        <v>217</v>
      </c>
      <c r="H21" s="1206">
        <f>H16-H18-H19-H20</f>
        <v>0.33333333333333337</v>
      </c>
      <c r="I21" s="109" t="s">
        <v>186</v>
      </c>
    </row>
    <row r="22" spans="2:8" ht="17.25">
      <c r="B22" s="102" t="s">
        <v>195</v>
      </c>
      <c r="C22" s="102"/>
      <c r="D22" s="102"/>
      <c r="E22" s="102"/>
      <c r="F22" s="107"/>
      <c r="G22" s="3"/>
      <c r="H22" s="3"/>
    </row>
    <row r="23" spans="2:8" ht="18" thickBot="1">
      <c r="B23" s="102" t="s">
        <v>196</v>
      </c>
      <c r="C23" s="102"/>
      <c r="D23" s="102"/>
      <c r="E23" s="102"/>
      <c r="F23" s="107"/>
      <c r="G23" s="107"/>
      <c r="H23" s="3"/>
    </row>
    <row r="24" spans="2:8" ht="18" thickBot="1">
      <c r="B24" s="102" t="s">
        <v>197</v>
      </c>
      <c r="C24" s="102"/>
      <c r="D24" s="102"/>
      <c r="E24" s="102"/>
      <c r="F24" s="123"/>
      <c r="G24" s="107"/>
      <c r="H24" s="3"/>
    </row>
    <row r="25" spans="2:8" ht="18" thickBot="1">
      <c r="B25" s="102" t="s">
        <v>198</v>
      </c>
      <c r="C25" s="102"/>
      <c r="D25" s="102"/>
      <c r="E25" s="102"/>
      <c r="F25" s="123" t="s">
        <v>70</v>
      </c>
      <c r="G25" s="102"/>
      <c r="H25" s="3"/>
    </row>
    <row r="26" spans="2:8" s="602" customFormat="1" ht="17.25">
      <c r="B26" s="102" t="s">
        <v>1010</v>
      </c>
      <c r="C26" s="102"/>
      <c r="D26" s="102"/>
      <c r="E26" s="102"/>
      <c r="F26" s="107"/>
      <c r="G26" s="102"/>
      <c r="H26" s="3"/>
    </row>
    <row r="27" spans="2:9" ht="17.25">
      <c r="B27" s="124">
        <f>F14</f>
        <v>238</v>
      </c>
      <c r="C27" s="1209" t="s">
        <v>1006</v>
      </c>
      <c r="D27" s="1208">
        <f>HOUR(H21)/24</f>
        <v>0.3333333333333333</v>
      </c>
      <c r="E27" s="580"/>
      <c r="G27" s="1210" t="s">
        <v>1012</v>
      </c>
      <c r="H27" s="1205">
        <f>B27*D27*24</f>
        <v>1904</v>
      </c>
      <c r="I27" s="102" t="s">
        <v>186</v>
      </c>
    </row>
    <row r="28" spans="2:12" ht="17.25">
      <c r="B28" s="124">
        <f>F14</f>
        <v>238</v>
      </c>
      <c r="C28" s="1209" t="s">
        <v>1005</v>
      </c>
      <c r="D28" s="125">
        <f>MINUTE(H21)</f>
        <v>0</v>
      </c>
      <c r="E28" s="126" t="s">
        <v>199</v>
      </c>
      <c r="F28" s="580">
        <v>60</v>
      </c>
      <c r="G28" s="1210" t="s">
        <v>1014</v>
      </c>
      <c r="H28" s="1205">
        <f>ROUNDDOWN(F29*B28,3)</f>
        <v>0</v>
      </c>
      <c r="I28" s="102" t="s">
        <v>186</v>
      </c>
      <c r="J28" s="102"/>
      <c r="K28" s="102"/>
      <c r="L28" s="102"/>
    </row>
    <row r="29" spans="6:7" ht="17.25">
      <c r="F29" s="127">
        <f>ROUNDDOWN(D28/F28,3)</f>
        <v>0</v>
      </c>
      <c r="G29" s="602" t="s">
        <v>1007</v>
      </c>
    </row>
    <row r="30" ht="13.5">
      <c r="G30" s="3"/>
    </row>
  </sheetData>
  <sheetProtection sheet="1" objects="1" scenarios="1"/>
  <mergeCells count="1">
    <mergeCell ref="B1:H1"/>
  </mergeCells>
  <dataValidations count="2">
    <dataValidation allowBlank="1" showInputMessage="1" showErrorMessage="1" imeMode="halfAlpha" sqref="G9 F24 G16 E16 E18:E20 F8:F13 C8:C13 G18:G20"/>
    <dataValidation type="list" allowBlank="1" showInputMessage="1" showErrorMessage="1" sqref="F25:F26">
      <formula1>$K$25:$K$27</formula1>
    </dataValidation>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B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58" customWidth="1"/>
    <col min="2" max="2" width="9.7109375" style="558" customWidth="1"/>
    <col min="3" max="3" width="11.57421875" style="558" bestFit="1" customWidth="1"/>
    <col min="4" max="4" width="10.57421875" style="558" customWidth="1"/>
    <col min="5" max="5" width="9.421875" style="558" customWidth="1"/>
    <col min="6" max="6" width="12.421875" style="558" customWidth="1"/>
    <col min="7" max="7" width="13.28125" style="558" customWidth="1"/>
    <col min="8" max="8" width="14.421875" style="558" customWidth="1"/>
    <col min="9" max="16384" width="9.00390625" style="558" customWidth="1"/>
  </cols>
  <sheetData>
    <row r="1" spans="2:8" ht="18" customHeight="1">
      <c r="B1" s="1323" t="s">
        <v>183</v>
      </c>
      <c r="C1" s="1323"/>
      <c r="D1" s="1323"/>
      <c r="E1" s="1323"/>
      <c r="F1" s="1323"/>
      <c r="G1" s="1323"/>
      <c r="H1" s="1323"/>
    </row>
    <row r="2" ht="9.75" customHeight="1"/>
    <row r="3" ht="17.25">
      <c r="H3" s="101" t="s">
        <v>184</v>
      </c>
    </row>
    <row r="4" spans="2:8" ht="17.25">
      <c r="B4" s="102"/>
      <c r="C4" s="102"/>
      <c r="D4" s="102"/>
      <c r="E4" s="102"/>
      <c r="G4" s="102"/>
      <c r="H4" s="20" t="str">
        <f>'使い方'!E6</f>
        <v>Ｂ金属株式会社</v>
      </c>
    </row>
    <row r="5" spans="2:9" ht="17.25">
      <c r="B5" s="102" t="s">
        <v>185</v>
      </c>
      <c r="D5" s="102"/>
      <c r="E5" s="102"/>
      <c r="F5" s="102"/>
      <c r="G5" s="1207" t="s">
        <v>61</v>
      </c>
      <c r="H5" s="1204">
        <f>H27+H28</f>
        <v>0</v>
      </c>
      <c r="I5" s="102" t="s">
        <v>186</v>
      </c>
    </row>
    <row r="6" spans="2:9" ht="17.25">
      <c r="B6" s="102"/>
      <c r="D6" s="102"/>
      <c r="E6" s="102"/>
      <c r="F6" s="102"/>
      <c r="G6" s="103"/>
      <c r="H6" s="129"/>
      <c r="I6" s="102"/>
    </row>
    <row r="7" spans="2:7" ht="18" thickBot="1">
      <c r="B7" s="102"/>
      <c r="C7" s="1211" t="s">
        <v>187</v>
      </c>
      <c r="D7" s="102"/>
      <c r="E7" s="102"/>
      <c r="F7" s="1211" t="s">
        <v>187</v>
      </c>
      <c r="G7" s="102"/>
    </row>
    <row r="8" spans="2:7" ht="17.25">
      <c r="B8" s="102" t="s">
        <v>392</v>
      </c>
      <c r="C8" s="104"/>
      <c r="D8" s="102"/>
      <c r="E8" s="102" t="s">
        <v>1015</v>
      </c>
      <c r="F8" s="104"/>
      <c r="G8" s="102"/>
    </row>
    <row r="9" spans="2:7" ht="17.25">
      <c r="B9" s="102" t="s">
        <v>393</v>
      </c>
      <c r="C9" s="105"/>
      <c r="D9" s="102"/>
      <c r="E9" s="102" t="s">
        <v>1016</v>
      </c>
      <c r="F9" s="105"/>
      <c r="G9" s="102"/>
    </row>
    <row r="10" spans="2:7" ht="17.25">
      <c r="B10" s="102" t="s">
        <v>189</v>
      </c>
      <c r="C10" s="105"/>
      <c r="D10" s="102"/>
      <c r="E10" s="102" t="s">
        <v>1018</v>
      </c>
      <c r="F10" s="105"/>
      <c r="G10" s="102"/>
    </row>
    <row r="11" spans="2:7" ht="17.25">
      <c r="B11" s="102" t="s">
        <v>389</v>
      </c>
      <c r="C11" s="105"/>
      <c r="D11" s="102"/>
      <c r="E11" s="102" t="s">
        <v>1019</v>
      </c>
      <c r="F11" s="105"/>
      <c r="G11" s="102"/>
    </row>
    <row r="12" spans="2:7" ht="17.25">
      <c r="B12" s="102" t="s">
        <v>390</v>
      </c>
      <c r="C12" s="105"/>
      <c r="D12" s="102"/>
      <c r="E12" s="102" t="s">
        <v>1020</v>
      </c>
      <c r="F12" s="105"/>
      <c r="G12" s="532" t="s">
        <v>1008</v>
      </c>
    </row>
    <row r="13" spans="2:7" ht="18" thickBot="1">
      <c r="B13" s="102" t="s">
        <v>391</v>
      </c>
      <c r="C13" s="106"/>
      <c r="D13" s="102"/>
      <c r="E13" s="102" t="s">
        <v>1021</v>
      </c>
      <c r="F13" s="106"/>
      <c r="G13" s="532" t="s">
        <v>1009</v>
      </c>
    </row>
    <row r="14" spans="2:7" ht="17.25">
      <c r="B14" s="102"/>
      <c r="C14" s="102"/>
      <c r="D14" s="102"/>
      <c r="E14" s="102" t="s">
        <v>61</v>
      </c>
      <c r="F14" s="108">
        <f>C8+C9+C10+C11+C12+C13+F8+F9+F10+F11+F12+F13</f>
        <v>0</v>
      </c>
      <c r="G14" s="109" t="s">
        <v>190</v>
      </c>
    </row>
    <row r="15" spans="2:12" ht="18" thickBot="1">
      <c r="B15" s="102"/>
      <c r="C15" s="102"/>
      <c r="D15" s="102"/>
      <c r="E15" s="102"/>
      <c r="F15" s="107"/>
      <c r="G15" s="109"/>
      <c r="K15" s="110"/>
      <c r="L15" s="110"/>
    </row>
    <row r="16" spans="2:9" ht="18" thickBot="1">
      <c r="B16" s="111" t="s">
        <v>191</v>
      </c>
      <c r="C16" s="111"/>
      <c r="D16" s="111"/>
      <c r="E16" s="112"/>
      <c r="F16" s="113" t="s">
        <v>62</v>
      </c>
      <c r="G16" s="114"/>
      <c r="H16" s="115">
        <f>G16-E16</f>
        <v>0</v>
      </c>
      <c r="I16" s="110"/>
    </row>
    <row r="17" spans="2:9" ht="18" thickBot="1">
      <c r="B17" s="111"/>
      <c r="C17" s="111"/>
      <c r="D17" s="111"/>
      <c r="E17" s="2"/>
      <c r="F17" s="2"/>
      <c r="G17" s="116"/>
      <c r="H17" s="2"/>
      <c r="I17" s="110"/>
    </row>
    <row r="18" spans="2:9" ht="17.25">
      <c r="B18" s="111" t="s">
        <v>192</v>
      </c>
      <c r="C18" s="111"/>
      <c r="D18" s="111"/>
      <c r="E18" s="117"/>
      <c r="F18" s="603" t="s">
        <v>62</v>
      </c>
      <c r="G18" s="323"/>
      <c r="H18" s="118">
        <f>G18-E18</f>
        <v>0</v>
      </c>
      <c r="I18" s="110"/>
    </row>
    <row r="19" spans="2:9" ht="17.25">
      <c r="B19" s="111" t="s">
        <v>193</v>
      </c>
      <c r="C19" s="111"/>
      <c r="D19" s="111"/>
      <c r="E19" s="119"/>
      <c r="F19" s="603" t="s">
        <v>62</v>
      </c>
      <c r="G19" s="324"/>
      <c r="H19" s="118">
        <f>G19-E19</f>
        <v>0</v>
      </c>
      <c r="I19" s="110"/>
    </row>
    <row r="20" spans="2:9" ht="18" thickBot="1">
      <c r="B20" s="111" t="s">
        <v>194</v>
      </c>
      <c r="C20" s="111"/>
      <c r="D20" s="111"/>
      <c r="E20" s="120"/>
      <c r="F20" s="603" t="s">
        <v>62</v>
      </c>
      <c r="G20" s="325"/>
      <c r="H20" s="118">
        <f>G20-E20</f>
        <v>0</v>
      </c>
      <c r="I20" s="110"/>
    </row>
    <row r="21" spans="2:9" ht="17.25">
      <c r="B21" s="111"/>
      <c r="C21" s="111"/>
      <c r="D21" s="111"/>
      <c r="E21" s="121"/>
      <c r="F21" s="122"/>
      <c r="G21" s="107"/>
      <c r="H21" s="1206">
        <f>H16-H18-H19-H20</f>
        <v>0</v>
      </c>
      <c r="I21" s="109" t="s">
        <v>186</v>
      </c>
    </row>
    <row r="22" spans="2:8" ht="17.25">
      <c r="B22" s="102" t="s">
        <v>195</v>
      </c>
      <c r="C22" s="102"/>
      <c r="D22" s="102"/>
      <c r="E22" s="102"/>
      <c r="F22" s="107"/>
      <c r="G22" s="3"/>
      <c r="H22" s="3"/>
    </row>
    <row r="23" spans="2:8" ht="18" thickBot="1">
      <c r="B23" s="102" t="s">
        <v>196</v>
      </c>
      <c r="C23" s="102"/>
      <c r="D23" s="102"/>
      <c r="E23" s="102"/>
      <c r="F23" s="107"/>
      <c r="G23" s="107"/>
      <c r="H23" s="3"/>
    </row>
    <row r="24" spans="2:8" ht="18" thickBot="1">
      <c r="B24" s="102" t="s">
        <v>197</v>
      </c>
      <c r="C24" s="102"/>
      <c r="D24" s="102"/>
      <c r="E24" s="102"/>
      <c r="F24" s="123"/>
      <c r="G24" s="107"/>
      <c r="H24" s="3"/>
    </row>
    <row r="25" spans="2:8" ht="18" thickBot="1">
      <c r="B25" s="102" t="s">
        <v>198</v>
      </c>
      <c r="C25" s="102"/>
      <c r="D25" s="102"/>
      <c r="E25" s="102"/>
      <c r="F25" s="123" t="s">
        <v>70</v>
      </c>
      <c r="G25" s="102"/>
      <c r="H25" s="3"/>
    </row>
    <row r="26" spans="2:8" s="602" customFormat="1" ht="17.25">
      <c r="B26" s="102" t="s">
        <v>1010</v>
      </c>
      <c r="C26" s="102"/>
      <c r="D26" s="102"/>
      <c r="E26" s="102"/>
      <c r="F26" s="107"/>
      <c r="G26" s="102"/>
      <c r="H26" s="3"/>
    </row>
    <row r="27" spans="2:9" ht="17.25">
      <c r="B27" s="124">
        <f>F14</f>
        <v>0</v>
      </c>
      <c r="C27" s="1209" t="s">
        <v>1006</v>
      </c>
      <c r="D27" s="1208">
        <f>HOUR(H21)/24</f>
        <v>0</v>
      </c>
      <c r="E27" s="580"/>
      <c r="G27" s="1210" t="s">
        <v>1012</v>
      </c>
      <c r="H27" s="1205">
        <f>B27*D27*24</f>
        <v>0</v>
      </c>
      <c r="I27" s="102" t="s">
        <v>186</v>
      </c>
    </row>
    <row r="28" spans="2:12" ht="17.25">
      <c r="B28" s="124">
        <f>F14</f>
        <v>0</v>
      </c>
      <c r="C28" s="1209" t="s">
        <v>1005</v>
      </c>
      <c r="D28" s="125">
        <f>MINUTE(H21)</f>
        <v>0</v>
      </c>
      <c r="E28" s="126" t="s">
        <v>199</v>
      </c>
      <c r="F28" s="580">
        <v>60</v>
      </c>
      <c r="G28" s="1210" t="s">
        <v>1014</v>
      </c>
      <c r="H28" s="1205">
        <f>ROUNDDOWN(F29*B28,3)</f>
        <v>0</v>
      </c>
      <c r="I28" s="102" t="s">
        <v>186</v>
      </c>
      <c r="J28" s="102"/>
      <c r="K28" s="102"/>
      <c r="L28" s="102"/>
    </row>
    <row r="29" spans="6:7" ht="17.25">
      <c r="F29" s="127">
        <f>ROUNDDOWN(D28/F28,3)</f>
        <v>0</v>
      </c>
      <c r="G29" s="602" t="s">
        <v>1007</v>
      </c>
    </row>
    <row r="30" ht="13.5">
      <c r="G30" s="3"/>
    </row>
  </sheetData>
  <sheetProtection sheet="1" objects="1" scenarios="1"/>
  <mergeCells count="1">
    <mergeCell ref="B1:H1"/>
  </mergeCells>
  <dataValidations count="2">
    <dataValidation type="list" allowBlank="1" showInputMessage="1" showErrorMessage="1" sqref="F25:F26">
      <formula1>$K$25:$K$27</formula1>
    </dataValidation>
    <dataValidation allowBlank="1" showInputMessage="1" showErrorMessage="1" imeMode="halfAlpha" sqref="G9 F24 G16 E16 E18:E20 F8:F13 C8:C13 G18:G20"/>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46"/>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602" customWidth="1"/>
    <col min="2" max="2" width="4.7109375" style="602" customWidth="1"/>
    <col min="3" max="3" width="5.28125" style="602" customWidth="1"/>
    <col min="4" max="4" width="5.140625" style="602" customWidth="1"/>
    <col min="5" max="5" width="4.57421875" style="602" customWidth="1"/>
    <col min="6" max="20" width="16.28125" style="602" customWidth="1"/>
    <col min="21" max="21" width="10.28125" style="602" bestFit="1" customWidth="1"/>
    <col min="22" max="16384" width="9.00390625" style="602" customWidth="1"/>
  </cols>
  <sheetData>
    <row r="1" spans="1:6" ht="17.25">
      <c r="A1" s="1334" t="s">
        <v>476</v>
      </c>
      <c r="B1" s="1334"/>
      <c r="C1" s="1334"/>
      <c r="D1" s="1334"/>
      <c r="E1" s="1334"/>
      <c r="F1" s="102"/>
    </row>
    <row r="2" spans="1:20" ht="17.25">
      <c r="A2" s="844"/>
      <c r="B2" s="845" t="s">
        <v>180</v>
      </c>
      <c r="C2" s="1335" t="s">
        <v>33</v>
      </c>
      <c r="D2" s="1335"/>
      <c r="E2" s="1335"/>
      <c r="F2" s="1335"/>
      <c r="G2" s="16"/>
      <c r="H2" s="16"/>
      <c r="I2" s="16"/>
      <c r="J2" s="16"/>
      <c r="K2" s="16"/>
      <c r="L2" s="16"/>
      <c r="M2" s="16"/>
      <c r="N2" s="16"/>
      <c r="O2" s="16"/>
      <c r="P2" s="16"/>
      <c r="Q2" s="16"/>
      <c r="R2" s="16"/>
      <c r="S2" s="16"/>
      <c r="T2" s="16"/>
    </row>
    <row r="3" spans="1:20" ht="17.25">
      <c r="A3" s="16"/>
      <c r="B3" s="58"/>
      <c r="C3" s="58"/>
      <c r="D3" s="58"/>
      <c r="E3" s="58"/>
      <c r="F3" s="16"/>
      <c r="G3" s="16"/>
      <c r="H3" s="16"/>
      <c r="I3" s="16"/>
      <c r="J3" s="16"/>
      <c r="K3" s="16"/>
      <c r="L3" s="16"/>
      <c r="M3" s="16"/>
      <c r="N3" s="16"/>
      <c r="O3" s="16"/>
      <c r="P3" s="16"/>
      <c r="Q3" s="16"/>
      <c r="R3" s="16"/>
      <c r="S3" s="16"/>
      <c r="T3" s="844" t="s">
        <v>38</v>
      </c>
    </row>
    <row r="4" spans="1:21" ht="17.25">
      <c r="A4" s="16"/>
      <c r="B4" s="58" t="s">
        <v>2</v>
      </c>
      <c r="C4" s="58"/>
      <c r="D4" s="58"/>
      <c r="E4" s="58"/>
      <c r="F4" s="16"/>
      <c r="G4" s="16"/>
      <c r="H4" s="16"/>
      <c r="I4" s="16"/>
      <c r="J4" s="16"/>
      <c r="K4" s="16"/>
      <c r="L4" s="16"/>
      <c r="N4" s="59"/>
      <c r="O4" s="59"/>
      <c r="P4" s="843"/>
      <c r="Q4" s="846" t="s">
        <v>200</v>
      </c>
      <c r="R4" s="1196" t="str">
        <f>'使い方'!E6</f>
        <v>Ｂ金属株式会社</v>
      </c>
      <c r="S4" s="59"/>
      <c r="T4" s="59"/>
      <c r="U4" s="3"/>
    </row>
    <row r="5" spans="1:21" ht="14.25" thickBot="1">
      <c r="A5" s="16"/>
      <c r="B5" s="58" t="s">
        <v>2</v>
      </c>
      <c r="C5" s="58"/>
      <c r="D5" s="58"/>
      <c r="E5" s="58"/>
      <c r="F5" s="16"/>
      <c r="G5" s="16"/>
      <c r="H5" s="16"/>
      <c r="I5" s="16"/>
      <c r="J5" s="16"/>
      <c r="K5" s="16"/>
      <c r="L5" s="16"/>
      <c r="M5" s="16"/>
      <c r="N5" s="16"/>
      <c r="O5" s="16"/>
      <c r="P5" s="16"/>
      <c r="Q5" s="16"/>
      <c r="R5" s="16"/>
      <c r="S5" s="16"/>
      <c r="T5" s="16"/>
      <c r="U5" s="3"/>
    </row>
    <row r="6" spans="1:21" ht="35.25" customHeight="1" thickBot="1">
      <c r="A6" s="16"/>
      <c r="B6" s="1336" t="s">
        <v>415</v>
      </c>
      <c r="C6" s="1337"/>
      <c r="D6" s="1337"/>
      <c r="E6" s="1338"/>
      <c r="F6" s="1339" t="str">
        <f>'対象者一覧表'!C24</f>
        <v>甲　太郎</v>
      </c>
      <c r="G6" s="1340"/>
      <c r="H6" s="1340"/>
      <c r="I6" s="1340"/>
      <c r="J6" s="1341"/>
      <c r="K6" s="1342" t="str">
        <f>'対象者一覧表'!C25</f>
        <v>乙　次郎</v>
      </c>
      <c r="L6" s="1343"/>
      <c r="M6" s="1343"/>
      <c r="N6" s="1343"/>
      <c r="O6" s="1344"/>
      <c r="P6" s="1342">
        <f>'対象者一覧表'!C26</f>
      </c>
      <c r="Q6" s="1343"/>
      <c r="R6" s="1343"/>
      <c r="S6" s="1343"/>
      <c r="T6" s="1344"/>
      <c r="U6" s="60"/>
    </row>
    <row r="7" spans="1:21" ht="33.75" customHeight="1">
      <c r="A7" s="16"/>
      <c r="B7" s="1326"/>
      <c r="C7" s="61"/>
      <c r="D7" s="61"/>
      <c r="E7" s="62"/>
      <c r="F7" s="63" t="s">
        <v>4</v>
      </c>
      <c r="G7" s="64" t="s">
        <v>5</v>
      </c>
      <c r="H7" s="1130" t="s">
        <v>6</v>
      </c>
      <c r="I7" s="1332" t="s">
        <v>975</v>
      </c>
      <c r="J7" s="1332" t="s">
        <v>976</v>
      </c>
      <c r="K7" s="1038" t="s">
        <v>4</v>
      </c>
      <c r="L7" s="64" t="s">
        <v>5</v>
      </c>
      <c r="M7" s="1130" t="s">
        <v>6</v>
      </c>
      <c r="N7" s="1332" t="s">
        <v>975</v>
      </c>
      <c r="O7" s="1332" t="s">
        <v>976</v>
      </c>
      <c r="P7" s="1038" t="s">
        <v>4</v>
      </c>
      <c r="Q7" s="64" t="s">
        <v>5</v>
      </c>
      <c r="R7" s="66" t="s">
        <v>6</v>
      </c>
      <c r="S7" s="1332" t="s">
        <v>975</v>
      </c>
      <c r="T7" s="1332" t="s">
        <v>976</v>
      </c>
      <c r="U7" s="60"/>
    </row>
    <row r="8" spans="1:21" ht="13.5">
      <c r="A8" s="16"/>
      <c r="B8" s="1327"/>
      <c r="C8" s="67"/>
      <c r="D8" s="67"/>
      <c r="E8" s="68"/>
      <c r="F8" s="69" t="s">
        <v>7</v>
      </c>
      <c r="G8" s="70" t="s">
        <v>8</v>
      </c>
      <c r="H8" s="1131"/>
      <c r="I8" s="1333"/>
      <c r="J8" s="1333"/>
      <c r="K8" s="1039" t="s">
        <v>7</v>
      </c>
      <c r="L8" s="70" t="s">
        <v>8</v>
      </c>
      <c r="M8" s="1131"/>
      <c r="N8" s="1333"/>
      <c r="O8" s="1333"/>
      <c r="P8" s="1039" t="s">
        <v>7</v>
      </c>
      <c r="Q8" s="70" t="s">
        <v>8</v>
      </c>
      <c r="R8" s="72"/>
      <c r="S8" s="1333"/>
      <c r="T8" s="1333"/>
      <c r="U8" s="60"/>
    </row>
    <row r="9" spans="1:21" ht="14.25" thickBot="1">
      <c r="A9" s="16"/>
      <c r="B9" s="1327"/>
      <c r="C9" s="67"/>
      <c r="D9" s="67"/>
      <c r="E9" s="68"/>
      <c r="F9" s="69" t="s">
        <v>9</v>
      </c>
      <c r="G9" s="70" t="s">
        <v>10</v>
      </c>
      <c r="H9" s="1131" t="s">
        <v>11</v>
      </c>
      <c r="I9" s="1333"/>
      <c r="J9" s="1333"/>
      <c r="K9" s="1039" t="s">
        <v>9</v>
      </c>
      <c r="L9" s="70" t="s">
        <v>10</v>
      </c>
      <c r="M9" s="1131" t="s">
        <v>11</v>
      </c>
      <c r="N9" s="1333"/>
      <c r="O9" s="1333"/>
      <c r="P9" s="1039" t="s">
        <v>9</v>
      </c>
      <c r="Q9" s="70" t="s">
        <v>10</v>
      </c>
      <c r="R9" s="72" t="s">
        <v>11</v>
      </c>
      <c r="S9" s="1333"/>
      <c r="T9" s="1333"/>
      <c r="U9" s="60"/>
    </row>
    <row r="10" spans="1:20" ht="25.5" customHeight="1">
      <c r="A10" s="16"/>
      <c r="B10" s="870">
        <v>26</v>
      </c>
      <c r="C10" s="871" t="s">
        <v>31</v>
      </c>
      <c r="D10" s="871">
        <v>7</v>
      </c>
      <c r="E10" s="871" t="s">
        <v>32</v>
      </c>
      <c r="F10" s="827">
        <f>IF('対象者一覧表'!$G$24="","",'対象者一覧表'!$G$24)</f>
        <v>2980</v>
      </c>
      <c r="G10" s="820">
        <v>10</v>
      </c>
      <c r="H10" s="1132">
        <f aca="true" t="shared" si="0" ref="H10:H20">IF(F10="","",ROUNDDOWN((G10*F10),0))</f>
        <v>29800</v>
      </c>
      <c r="I10" s="1137">
        <v>350000</v>
      </c>
      <c r="J10" s="1137">
        <f>IF(F10="","",MIN(H10,I10))</f>
        <v>29800</v>
      </c>
      <c r="K10" s="879">
        <f>IF('対象者一覧表'!$G$25="","",'対象者一覧表'!$G$25)</f>
        <v>3523</v>
      </c>
      <c r="L10" s="820">
        <v>20.5</v>
      </c>
      <c r="M10" s="877">
        <f aca="true" t="shared" si="1" ref="M10:M20">IF(K10="","",ROUNDDOWN((L10*K10),0))</f>
        <v>72221</v>
      </c>
      <c r="N10" s="1137">
        <v>380000</v>
      </c>
      <c r="O10" s="1137">
        <f>IF(K10="","",MIN(M10,N10))</f>
        <v>72221</v>
      </c>
      <c r="P10" s="879">
        <f>IF('対象者一覧表'!$G$26="","",'対象者一覧表'!$G$26)</f>
      </c>
      <c r="Q10" s="820"/>
      <c r="R10" s="828">
        <f aca="true" t="shared" si="2" ref="R10:R20">IF(P10="","",ROUNDDOWN((Q10*P10),0))</f>
      </c>
      <c r="S10" s="829"/>
      <c r="T10" s="1137">
        <f>IF(P10="","",MIN(R10,S10))</f>
      </c>
    </row>
    <row r="11" spans="1:20" ht="25.5" customHeight="1">
      <c r="A11" s="16"/>
      <c r="B11" s="831"/>
      <c r="C11" s="832" t="s">
        <v>31</v>
      </c>
      <c r="D11" s="832">
        <v>8</v>
      </c>
      <c r="E11" s="832" t="s">
        <v>32</v>
      </c>
      <c r="F11" s="822">
        <f>IF('対象者一覧表'!$G$24="","",'対象者一覧表'!$G$24)</f>
        <v>2980</v>
      </c>
      <c r="G11" s="811">
        <v>40.5</v>
      </c>
      <c r="H11" s="1133">
        <f t="shared" si="0"/>
        <v>120690</v>
      </c>
      <c r="I11" s="1138">
        <v>345000</v>
      </c>
      <c r="J11" s="1138">
        <f aca="true" t="shared" si="3" ref="J11:J20">IF(F11="","",MIN(H11,I11))</f>
        <v>120690</v>
      </c>
      <c r="K11" s="814">
        <f>IF('対象者一覧表'!$G$25="","",'対象者一覧表'!$G$25)</f>
        <v>3523</v>
      </c>
      <c r="L11" s="811">
        <v>45</v>
      </c>
      <c r="M11" s="812">
        <f t="shared" si="1"/>
        <v>158535</v>
      </c>
      <c r="N11" s="1138">
        <v>355000</v>
      </c>
      <c r="O11" s="1138">
        <f aca="true" t="shared" si="4" ref="O11:O20">IF(K11="","",MIN(M11,N11))</f>
        <v>158535</v>
      </c>
      <c r="P11" s="814">
        <f>IF('対象者一覧表'!$G$26="","",'対象者一覧表'!$G$26)</f>
      </c>
      <c r="Q11" s="811"/>
      <c r="R11" s="821">
        <f t="shared" si="2"/>
      </c>
      <c r="S11" s="823"/>
      <c r="T11" s="1138">
        <f aca="true" t="shared" si="5" ref="T11:T20">IF(P11="","",MIN(R11,S11))</f>
      </c>
    </row>
    <row r="12" spans="1:20" ht="25.5" customHeight="1">
      <c r="A12" s="16"/>
      <c r="B12" s="831"/>
      <c r="C12" s="832" t="s">
        <v>31</v>
      </c>
      <c r="D12" s="832">
        <v>9</v>
      </c>
      <c r="E12" s="832" t="s">
        <v>32</v>
      </c>
      <c r="F12" s="822">
        <f>IF('対象者一覧表'!$G$24="","",'対象者一覧表'!$G$24)</f>
        <v>2980</v>
      </c>
      <c r="G12" s="811">
        <v>80</v>
      </c>
      <c r="H12" s="1133">
        <f t="shared" si="0"/>
        <v>238400</v>
      </c>
      <c r="I12" s="1138">
        <v>345000</v>
      </c>
      <c r="J12" s="1138">
        <f t="shared" si="3"/>
        <v>238400</v>
      </c>
      <c r="K12" s="814">
        <f>IF('対象者一覧表'!$G$25="","",'対象者一覧表'!$G$25)</f>
        <v>3523</v>
      </c>
      <c r="L12" s="811">
        <v>90</v>
      </c>
      <c r="M12" s="812">
        <f t="shared" si="1"/>
        <v>317070</v>
      </c>
      <c r="N12" s="1138">
        <v>355000</v>
      </c>
      <c r="O12" s="1138">
        <f t="shared" si="4"/>
        <v>317070</v>
      </c>
      <c r="P12" s="814">
        <f>IF('対象者一覧表'!$G$26="","",'対象者一覧表'!$G$26)</f>
      </c>
      <c r="Q12" s="811"/>
      <c r="R12" s="821">
        <f t="shared" si="2"/>
      </c>
      <c r="S12" s="823"/>
      <c r="T12" s="1138">
        <f t="shared" si="5"/>
      </c>
    </row>
    <row r="13" spans="1:20" ht="25.5" customHeight="1">
      <c r="A13" s="16"/>
      <c r="B13" s="831"/>
      <c r="C13" s="832" t="s">
        <v>31</v>
      </c>
      <c r="D13" s="832">
        <v>10</v>
      </c>
      <c r="E13" s="832" t="s">
        <v>32</v>
      </c>
      <c r="F13" s="822">
        <f>IF('対象者一覧表'!$G$24="","",'対象者一覧表'!$G$24)</f>
        <v>2980</v>
      </c>
      <c r="G13" s="809">
        <v>125.66</v>
      </c>
      <c r="H13" s="1133">
        <f t="shared" si="0"/>
        <v>374466</v>
      </c>
      <c r="I13" s="1138">
        <v>380000</v>
      </c>
      <c r="J13" s="1138">
        <f t="shared" si="3"/>
        <v>374466</v>
      </c>
      <c r="K13" s="814">
        <f>IF('対象者一覧表'!$G$25="","",'対象者一覧表'!$G$25)</f>
        <v>3523</v>
      </c>
      <c r="L13" s="809">
        <v>100.5</v>
      </c>
      <c r="M13" s="812">
        <f t="shared" si="1"/>
        <v>354061</v>
      </c>
      <c r="N13" s="1138">
        <v>400000</v>
      </c>
      <c r="O13" s="1138">
        <f t="shared" si="4"/>
        <v>354061</v>
      </c>
      <c r="P13" s="814">
        <f>IF('対象者一覧表'!$G$26="","",'対象者一覧表'!$G$26)</f>
      </c>
      <c r="Q13" s="809"/>
      <c r="R13" s="821">
        <f t="shared" si="2"/>
      </c>
      <c r="S13" s="823"/>
      <c r="T13" s="1138">
        <f t="shared" si="5"/>
      </c>
    </row>
    <row r="14" spans="1:20" ht="25.5" customHeight="1">
      <c r="A14" s="16"/>
      <c r="B14" s="833"/>
      <c r="C14" s="834" t="s">
        <v>31</v>
      </c>
      <c r="D14" s="834">
        <v>11</v>
      </c>
      <c r="E14" s="832" t="s">
        <v>22</v>
      </c>
      <c r="F14" s="822">
        <f>IF('対象者一覧表'!$G$24="","",'対象者一覧表'!$G$24)</f>
        <v>2980</v>
      </c>
      <c r="G14" s="811">
        <v>153.33</v>
      </c>
      <c r="H14" s="1133">
        <f t="shared" si="0"/>
        <v>456923</v>
      </c>
      <c r="I14" s="1138">
        <v>350000</v>
      </c>
      <c r="J14" s="1138">
        <f t="shared" si="3"/>
        <v>350000</v>
      </c>
      <c r="K14" s="814">
        <f>IF('対象者一覧表'!$G$25="","",'対象者一覧表'!$G$25)</f>
        <v>3523</v>
      </c>
      <c r="L14" s="811">
        <v>164.33</v>
      </c>
      <c r="M14" s="812">
        <f t="shared" si="1"/>
        <v>578934</v>
      </c>
      <c r="N14" s="1138">
        <v>355000</v>
      </c>
      <c r="O14" s="1138">
        <f t="shared" si="4"/>
        <v>355000</v>
      </c>
      <c r="P14" s="814">
        <f>IF('対象者一覧表'!$G$26="","",'対象者一覧表'!$G$26)</f>
      </c>
      <c r="Q14" s="811"/>
      <c r="R14" s="821">
        <f t="shared" si="2"/>
      </c>
      <c r="S14" s="823"/>
      <c r="T14" s="1138">
        <f t="shared" si="5"/>
      </c>
    </row>
    <row r="15" spans="1:21" ht="25.5" customHeight="1">
      <c r="A15" s="16"/>
      <c r="B15" s="831"/>
      <c r="C15" s="832" t="s">
        <v>31</v>
      </c>
      <c r="D15" s="832">
        <v>12</v>
      </c>
      <c r="E15" s="832" t="s">
        <v>22</v>
      </c>
      <c r="F15" s="822">
        <f>IF('対象者一覧表'!$G$24="","",'対象者一覧表'!$G$24)</f>
        <v>2980</v>
      </c>
      <c r="G15" s="811">
        <v>148.5</v>
      </c>
      <c r="H15" s="1133">
        <f t="shared" si="0"/>
        <v>442530</v>
      </c>
      <c r="I15" s="1138">
        <v>360000</v>
      </c>
      <c r="J15" s="1138">
        <f t="shared" si="3"/>
        <v>360000</v>
      </c>
      <c r="K15" s="814">
        <f>IF('対象者一覧表'!$G$25="","",'対象者一覧表'!$G$25)</f>
        <v>3523</v>
      </c>
      <c r="L15" s="811">
        <v>158.66</v>
      </c>
      <c r="M15" s="812">
        <f t="shared" si="1"/>
        <v>558959</v>
      </c>
      <c r="N15" s="1138">
        <v>360000</v>
      </c>
      <c r="O15" s="1138">
        <f t="shared" si="4"/>
        <v>360000</v>
      </c>
      <c r="P15" s="814">
        <f>IF('対象者一覧表'!$G$26="","",'対象者一覧表'!$G$26)</f>
      </c>
      <c r="Q15" s="811"/>
      <c r="R15" s="821">
        <f t="shared" si="2"/>
      </c>
      <c r="S15" s="823"/>
      <c r="T15" s="1138">
        <f t="shared" si="5"/>
      </c>
      <c r="U15" s="685"/>
    </row>
    <row r="16" spans="1:21" ht="25.5" customHeight="1">
      <c r="A16" s="16"/>
      <c r="B16" s="831">
        <v>27</v>
      </c>
      <c r="C16" s="832" t="s">
        <v>31</v>
      </c>
      <c r="D16" s="832">
        <v>1</v>
      </c>
      <c r="E16" s="832" t="s">
        <v>22</v>
      </c>
      <c r="F16" s="822">
        <f>IF('対象者一覧表'!$G$24="","",'対象者一覧表'!$G$24)</f>
        <v>2980</v>
      </c>
      <c r="G16" s="811">
        <v>60</v>
      </c>
      <c r="H16" s="1133">
        <f t="shared" si="0"/>
        <v>178800</v>
      </c>
      <c r="I16" s="1138">
        <v>380000</v>
      </c>
      <c r="J16" s="1138">
        <f t="shared" si="3"/>
        <v>178800</v>
      </c>
      <c r="K16" s="814">
        <f>IF('対象者一覧表'!$G$25="","",'対象者一覧表'!$G$25)</f>
        <v>3523</v>
      </c>
      <c r="L16" s="811">
        <v>65</v>
      </c>
      <c r="M16" s="812">
        <f t="shared" si="1"/>
        <v>228995</v>
      </c>
      <c r="N16" s="1138">
        <v>386000</v>
      </c>
      <c r="O16" s="1138">
        <f t="shared" si="4"/>
        <v>228995</v>
      </c>
      <c r="P16" s="814">
        <f>IF('対象者一覧表'!$G$26="","",'対象者一覧表'!$G$26)</f>
      </c>
      <c r="Q16" s="811"/>
      <c r="R16" s="821">
        <f t="shared" si="2"/>
      </c>
      <c r="S16" s="823"/>
      <c r="T16" s="1138">
        <f t="shared" si="5"/>
      </c>
      <c r="U16" s="685"/>
    </row>
    <row r="17" spans="1:21" ht="25.5" customHeight="1">
      <c r="A17" s="16"/>
      <c r="B17" s="831"/>
      <c r="C17" s="832" t="s">
        <v>31</v>
      </c>
      <c r="D17" s="832">
        <v>2</v>
      </c>
      <c r="E17" s="832" t="s">
        <v>22</v>
      </c>
      <c r="F17" s="822">
        <f>IF('対象者一覧表'!$G$24="","",'対象者一覧表'!$G$24)</f>
        <v>2980</v>
      </c>
      <c r="G17" s="811">
        <v>60</v>
      </c>
      <c r="H17" s="1133">
        <f t="shared" si="0"/>
        <v>178800</v>
      </c>
      <c r="I17" s="1138">
        <v>345000</v>
      </c>
      <c r="J17" s="1138">
        <f t="shared" si="3"/>
        <v>178800</v>
      </c>
      <c r="K17" s="814">
        <f>IF('対象者一覧表'!$G$25="","",'対象者一覧表'!$G$25)</f>
        <v>3523</v>
      </c>
      <c r="L17" s="811">
        <v>60</v>
      </c>
      <c r="M17" s="812">
        <f t="shared" si="1"/>
        <v>211380</v>
      </c>
      <c r="N17" s="1138">
        <v>355000</v>
      </c>
      <c r="O17" s="1138">
        <f t="shared" si="4"/>
        <v>211380</v>
      </c>
      <c r="P17" s="814">
        <f>IF('対象者一覧表'!$G$26="","",'対象者一覧表'!$G$26)</f>
      </c>
      <c r="Q17" s="811"/>
      <c r="R17" s="821">
        <f t="shared" si="2"/>
      </c>
      <c r="S17" s="823"/>
      <c r="T17" s="1138">
        <f t="shared" si="5"/>
      </c>
      <c r="U17" s="334"/>
    </row>
    <row r="18" spans="1:21" ht="25.5" customHeight="1">
      <c r="A18" s="16"/>
      <c r="B18" s="831"/>
      <c r="C18" s="832" t="s">
        <v>31</v>
      </c>
      <c r="D18" s="832">
        <v>3</v>
      </c>
      <c r="E18" s="832" t="s">
        <v>284</v>
      </c>
      <c r="F18" s="822">
        <f>IF('対象者一覧表'!$G$24="","",'対象者一覧表'!$G$24)</f>
        <v>2980</v>
      </c>
      <c r="G18" s="811">
        <v>80</v>
      </c>
      <c r="H18" s="1133">
        <f t="shared" si="0"/>
        <v>238400</v>
      </c>
      <c r="I18" s="1138">
        <v>345000</v>
      </c>
      <c r="J18" s="1138">
        <f t="shared" si="3"/>
        <v>238400</v>
      </c>
      <c r="K18" s="814">
        <f>IF('対象者一覧表'!$G$25="","",'対象者一覧表'!$G$25)</f>
        <v>3523</v>
      </c>
      <c r="L18" s="811">
        <v>80</v>
      </c>
      <c r="M18" s="812">
        <f t="shared" si="1"/>
        <v>281840</v>
      </c>
      <c r="N18" s="1138">
        <v>355000</v>
      </c>
      <c r="O18" s="1138">
        <f t="shared" si="4"/>
        <v>281840</v>
      </c>
      <c r="P18" s="814">
        <f>IF('対象者一覧表'!$G$26="","",'対象者一覧表'!$G$26)</f>
      </c>
      <c r="Q18" s="811"/>
      <c r="R18" s="821">
        <f t="shared" si="2"/>
      </c>
      <c r="S18" s="823"/>
      <c r="T18" s="1138">
        <f t="shared" si="5"/>
      </c>
      <c r="U18" s="334"/>
    </row>
    <row r="19" spans="1:21" ht="25.5" customHeight="1">
      <c r="A19" s="16"/>
      <c r="B19" s="831"/>
      <c r="C19" s="832" t="s">
        <v>31</v>
      </c>
      <c r="D19" s="832">
        <v>4</v>
      </c>
      <c r="E19" s="832" t="s">
        <v>22</v>
      </c>
      <c r="F19" s="822">
        <f>IF('対象者一覧表'!$G$24="","",'対象者一覧表'!$G$24)</f>
        <v>2980</v>
      </c>
      <c r="G19" s="809"/>
      <c r="H19" s="1133">
        <f t="shared" si="0"/>
        <v>0</v>
      </c>
      <c r="I19" s="1138"/>
      <c r="J19" s="1138">
        <f t="shared" si="3"/>
        <v>0</v>
      </c>
      <c r="K19" s="814">
        <f>IF('対象者一覧表'!$G$25="","",'対象者一覧表'!$G$25)</f>
        <v>3523</v>
      </c>
      <c r="L19" s="809"/>
      <c r="M19" s="812">
        <f t="shared" si="1"/>
        <v>0</v>
      </c>
      <c r="N19" s="1138"/>
      <c r="O19" s="1138">
        <f t="shared" si="4"/>
        <v>0</v>
      </c>
      <c r="P19" s="814">
        <f>IF('対象者一覧表'!$G$26="","",'対象者一覧表'!$G$26)</f>
      </c>
      <c r="Q19" s="809"/>
      <c r="R19" s="821">
        <f t="shared" si="2"/>
      </c>
      <c r="S19" s="823"/>
      <c r="T19" s="1138">
        <f t="shared" si="5"/>
      </c>
      <c r="U19" s="334"/>
    </row>
    <row r="20" spans="1:20" ht="25.5" customHeight="1" thickBot="1">
      <c r="A20" s="16"/>
      <c r="B20" s="835"/>
      <c r="C20" s="836" t="s">
        <v>31</v>
      </c>
      <c r="D20" s="836">
        <v>5</v>
      </c>
      <c r="E20" s="836" t="s">
        <v>22</v>
      </c>
      <c r="F20" s="872">
        <f>IF('対象者一覧表'!$G$24="","",'対象者一覧表'!$G$24)</f>
        <v>2980</v>
      </c>
      <c r="G20" s="873"/>
      <c r="H20" s="1134">
        <f t="shared" si="0"/>
        <v>0</v>
      </c>
      <c r="I20" s="1139"/>
      <c r="J20" s="1139">
        <f t="shared" si="3"/>
        <v>0</v>
      </c>
      <c r="K20" s="882">
        <f>IF('対象者一覧表'!$G$25="","",'対象者一覧表'!$G$25)</f>
        <v>3523</v>
      </c>
      <c r="L20" s="873"/>
      <c r="M20" s="880">
        <f t="shared" si="1"/>
        <v>0</v>
      </c>
      <c r="N20" s="1139"/>
      <c r="O20" s="1139">
        <f t="shared" si="4"/>
        <v>0</v>
      </c>
      <c r="P20" s="882">
        <f>IF('対象者一覧表'!$G$26="","",'対象者一覧表'!$G$26)</f>
      </c>
      <c r="Q20" s="873"/>
      <c r="R20" s="874">
        <f t="shared" si="2"/>
      </c>
      <c r="S20" s="875"/>
      <c r="T20" s="1139">
        <f t="shared" si="5"/>
      </c>
    </row>
    <row r="21" spans="1:20" ht="25.5" customHeight="1" thickBot="1">
      <c r="A21" s="16"/>
      <c r="B21" s="837"/>
      <c r="C21" s="838"/>
      <c r="D21" s="838"/>
      <c r="E21" s="839" t="s">
        <v>1</v>
      </c>
      <c r="F21" s="815"/>
      <c r="G21" s="816">
        <f>SUM(G10:G20)</f>
        <v>757.99</v>
      </c>
      <c r="H21" s="1135">
        <f>SUM(H10:H20)</f>
        <v>2258809</v>
      </c>
      <c r="I21" s="1136">
        <f>SUM(I10:I20)</f>
        <v>3200000</v>
      </c>
      <c r="J21" s="1136">
        <f>SUM(J10:J20)</f>
        <v>2069356</v>
      </c>
      <c r="K21" s="1040"/>
      <c r="L21" s="816">
        <f>SUM(L10:L20)</f>
        <v>783.99</v>
      </c>
      <c r="M21" s="1135">
        <f>SUM(M10:M20)</f>
        <v>2761995</v>
      </c>
      <c r="N21" s="1136">
        <f>SUM(N10:N20)</f>
        <v>3301000</v>
      </c>
      <c r="O21" s="1136">
        <f>SUM(O10:O20)</f>
        <v>2339102</v>
      </c>
      <c r="P21" s="1040"/>
      <c r="Q21" s="816">
        <f>SUM(Q10:Q20)</f>
        <v>0</v>
      </c>
      <c r="R21" s="818">
        <f>SUM(R10:R20)</f>
        <v>0</v>
      </c>
      <c r="S21" s="817">
        <f>SUM(S10:S20)</f>
        <v>0</v>
      </c>
      <c r="T21" s="817">
        <f>SUM(T10:T20)</f>
        <v>0</v>
      </c>
    </row>
    <row r="22" spans="1:20" ht="14.25" thickBot="1">
      <c r="A22" s="16"/>
      <c r="B22" s="73"/>
      <c r="C22" s="73"/>
      <c r="D22" s="73"/>
      <c r="E22" s="73"/>
      <c r="F22" s="16"/>
      <c r="G22" s="16"/>
      <c r="H22" s="16"/>
      <c r="I22" s="16"/>
      <c r="J22" s="16"/>
      <c r="K22" s="16"/>
      <c r="L22" s="16"/>
      <c r="M22" s="16"/>
      <c r="N22" s="16"/>
      <c r="O22" s="16"/>
      <c r="P22" s="16"/>
      <c r="Q22" s="16"/>
      <c r="R22" s="16"/>
      <c r="S22" s="16"/>
      <c r="T22" s="16"/>
    </row>
    <row r="23" spans="1:20" ht="35.25" customHeight="1" thickBot="1">
      <c r="A23" s="16"/>
      <c r="B23" s="1328" t="s">
        <v>3</v>
      </c>
      <c r="C23" s="1329"/>
      <c r="D23" s="1329"/>
      <c r="E23" s="1329"/>
      <c r="F23" s="1345">
        <f>'対象者一覧表'!C27</f>
      </c>
      <c r="G23" s="1340"/>
      <c r="H23" s="1340"/>
      <c r="I23" s="1346"/>
      <c r="J23" s="1347"/>
      <c r="K23" s="1339">
        <f>'対象者一覧表'!C28</f>
      </c>
      <c r="L23" s="1340"/>
      <c r="M23" s="1340"/>
      <c r="N23" s="1340"/>
      <c r="O23" s="1341"/>
      <c r="P23" s="1342">
        <f>'対象者一覧表'!C29</f>
      </c>
      <c r="Q23" s="1343"/>
      <c r="R23" s="1343"/>
      <c r="S23" s="1343"/>
      <c r="T23" s="1344"/>
    </row>
    <row r="24" spans="1:20" ht="21" customHeight="1">
      <c r="A24" s="16"/>
      <c r="B24" s="1330"/>
      <c r="C24" s="61"/>
      <c r="D24" s="61"/>
      <c r="E24" s="61"/>
      <c r="F24" s="316" t="s">
        <v>4</v>
      </c>
      <c r="G24" s="64" t="s">
        <v>5</v>
      </c>
      <c r="H24" s="1130" t="s">
        <v>6</v>
      </c>
      <c r="I24" s="1332" t="s">
        <v>975</v>
      </c>
      <c r="J24" s="1332" t="s">
        <v>976</v>
      </c>
      <c r="K24" s="1038" t="s">
        <v>4</v>
      </c>
      <c r="L24" s="64" t="s">
        <v>5</v>
      </c>
      <c r="M24" s="1130" t="s">
        <v>6</v>
      </c>
      <c r="N24" s="1332" t="s">
        <v>975</v>
      </c>
      <c r="O24" s="1332" t="s">
        <v>976</v>
      </c>
      <c r="P24" s="1038" t="s">
        <v>4</v>
      </c>
      <c r="Q24" s="64" t="s">
        <v>5</v>
      </c>
      <c r="R24" s="65" t="s">
        <v>6</v>
      </c>
      <c r="S24" s="1332" t="s">
        <v>975</v>
      </c>
      <c r="T24" s="1332" t="s">
        <v>976</v>
      </c>
    </row>
    <row r="25" spans="1:20" ht="13.5" customHeight="1">
      <c r="A25" s="16"/>
      <c r="B25" s="1331"/>
      <c r="C25" s="67"/>
      <c r="D25" s="67"/>
      <c r="E25" s="67"/>
      <c r="F25" s="317" t="s">
        <v>7</v>
      </c>
      <c r="G25" s="70" t="s">
        <v>8</v>
      </c>
      <c r="H25" s="1131"/>
      <c r="I25" s="1333"/>
      <c r="J25" s="1333"/>
      <c r="K25" s="1039" t="s">
        <v>7</v>
      </c>
      <c r="L25" s="70" t="s">
        <v>8</v>
      </c>
      <c r="M25" s="1131"/>
      <c r="N25" s="1333"/>
      <c r="O25" s="1333"/>
      <c r="P25" s="1039" t="s">
        <v>7</v>
      </c>
      <c r="Q25" s="70" t="s">
        <v>8</v>
      </c>
      <c r="R25" s="71"/>
      <c r="S25" s="1333"/>
      <c r="T25" s="1333"/>
    </row>
    <row r="26" spans="1:20" ht="14.25" thickBot="1">
      <c r="A26" s="16"/>
      <c r="B26" s="1331"/>
      <c r="C26" s="67"/>
      <c r="D26" s="67"/>
      <c r="E26" s="67"/>
      <c r="F26" s="317" t="s">
        <v>9</v>
      </c>
      <c r="G26" s="70" t="s">
        <v>10</v>
      </c>
      <c r="H26" s="1131" t="s">
        <v>11</v>
      </c>
      <c r="I26" s="1333"/>
      <c r="J26" s="1333"/>
      <c r="K26" s="1039" t="s">
        <v>9</v>
      </c>
      <c r="L26" s="70" t="s">
        <v>10</v>
      </c>
      <c r="M26" s="1131" t="s">
        <v>11</v>
      </c>
      <c r="N26" s="1333"/>
      <c r="O26" s="1333"/>
      <c r="P26" s="1039" t="s">
        <v>9</v>
      </c>
      <c r="Q26" s="70" t="s">
        <v>10</v>
      </c>
      <c r="R26" s="71" t="s">
        <v>11</v>
      </c>
      <c r="S26" s="1333"/>
      <c r="T26" s="1333"/>
    </row>
    <row r="27" spans="1:21" ht="25.5" customHeight="1">
      <c r="A27" s="16"/>
      <c r="B27" s="870">
        <v>26</v>
      </c>
      <c r="C27" s="871" t="s">
        <v>31</v>
      </c>
      <c r="D27" s="871">
        <v>7</v>
      </c>
      <c r="E27" s="871" t="s">
        <v>32</v>
      </c>
      <c r="F27" s="827">
        <f>IF('対象者一覧表'!$G$27="","",'対象者一覧表'!$G$27)</f>
      </c>
      <c r="G27" s="820"/>
      <c r="H27" s="877">
        <f aca="true" t="shared" si="6" ref="H27:H37">IF(F27="","",ROUNDDOWN((G27*F27),0))</f>
      </c>
      <c r="I27" s="878"/>
      <c r="J27" s="1137">
        <f>IF(F27="","",MIN(H27,I27))</f>
      </c>
      <c r="K27" s="879">
        <f>IF('対象者一覧表'!$G$28="","",'対象者一覧表'!$G$28)</f>
      </c>
      <c r="L27" s="820"/>
      <c r="M27" s="877">
        <f aca="true" t="shared" si="7" ref="M27:M37">IF(K27="","",ROUNDDOWN((L27*K27),0))</f>
      </c>
      <c r="N27" s="1137"/>
      <c r="O27" s="1137">
        <f>IF(K27="","",MIN(M27,N27))</f>
      </c>
      <c r="P27" s="879">
        <f>IF('対象者一覧表'!$G$29="","",'対象者一覧表'!$G$29)</f>
      </c>
      <c r="Q27" s="820"/>
      <c r="R27" s="828">
        <f aca="true" t="shared" si="8" ref="R27:R37">IF(P27="","",ROUNDDOWN((Q27*P27),0))</f>
      </c>
      <c r="S27" s="829"/>
      <c r="T27" s="1137">
        <f>IF(P27="","",MIN(R27,S27))</f>
      </c>
      <c r="U27" s="3"/>
    </row>
    <row r="28" spans="1:21" ht="25.5" customHeight="1">
      <c r="A28" s="16"/>
      <c r="B28" s="831"/>
      <c r="C28" s="832" t="s">
        <v>31</v>
      </c>
      <c r="D28" s="832">
        <v>8</v>
      </c>
      <c r="E28" s="832" t="s">
        <v>32</v>
      </c>
      <c r="F28" s="822">
        <f>IF('対象者一覧表'!$G$27="","",'対象者一覧表'!$G$27)</f>
      </c>
      <c r="G28" s="811"/>
      <c r="H28" s="812">
        <f t="shared" si="6"/>
      </c>
      <c r="I28" s="813"/>
      <c r="J28" s="1138">
        <f aca="true" t="shared" si="9" ref="J28:J37">IF(F28="","",MIN(H28,I28))</f>
      </c>
      <c r="K28" s="814">
        <f>IF('対象者一覧表'!$G$28="","",'対象者一覧表'!$G$28)</f>
      </c>
      <c r="L28" s="811"/>
      <c r="M28" s="812">
        <f t="shared" si="7"/>
      </c>
      <c r="N28" s="1138"/>
      <c r="O28" s="1138">
        <f aca="true" t="shared" si="10" ref="O28:O37">IF(K28="","",MIN(M28,N28))</f>
      </c>
      <c r="P28" s="814">
        <f>IF('対象者一覧表'!$G$29="","",'対象者一覧表'!$G$29)</f>
      </c>
      <c r="Q28" s="811"/>
      <c r="R28" s="821">
        <f t="shared" si="8"/>
      </c>
      <c r="S28" s="823"/>
      <c r="T28" s="1138">
        <f aca="true" t="shared" si="11" ref="T28:T37">IF(P28="","",MIN(R28,S28))</f>
      </c>
      <c r="U28" s="3"/>
    </row>
    <row r="29" spans="1:21" ht="25.5" customHeight="1">
      <c r="A29" s="16"/>
      <c r="B29" s="831"/>
      <c r="C29" s="832" t="s">
        <v>31</v>
      </c>
      <c r="D29" s="832">
        <v>9</v>
      </c>
      <c r="E29" s="832" t="s">
        <v>32</v>
      </c>
      <c r="F29" s="822">
        <f>IF('対象者一覧表'!$G$27="","",'対象者一覧表'!$G$27)</f>
      </c>
      <c r="G29" s="811"/>
      <c r="H29" s="812">
        <f t="shared" si="6"/>
      </c>
      <c r="I29" s="813"/>
      <c r="J29" s="1138">
        <f t="shared" si="9"/>
      </c>
      <c r="K29" s="814">
        <f>IF('対象者一覧表'!$G$28="","",'対象者一覧表'!$G$28)</f>
      </c>
      <c r="L29" s="811"/>
      <c r="M29" s="812">
        <f t="shared" si="7"/>
      </c>
      <c r="N29" s="1138"/>
      <c r="O29" s="1138">
        <f t="shared" si="10"/>
      </c>
      <c r="P29" s="814">
        <f>IF('対象者一覧表'!$G$29="","",'対象者一覧表'!$G$29)</f>
      </c>
      <c r="Q29" s="811"/>
      <c r="R29" s="821">
        <f t="shared" si="8"/>
      </c>
      <c r="S29" s="823"/>
      <c r="T29" s="1138">
        <f t="shared" si="11"/>
      </c>
      <c r="U29" s="92"/>
    </row>
    <row r="30" spans="1:20" ht="25.5" customHeight="1">
      <c r="A30" s="16"/>
      <c r="B30" s="831"/>
      <c r="C30" s="832" t="s">
        <v>31</v>
      </c>
      <c r="D30" s="832">
        <v>10</v>
      </c>
      <c r="E30" s="832" t="s">
        <v>32</v>
      </c>
      <c r="F30" s="822">
        <f>IF('対象者一覧表'!$G$27="","",'対象者一覧表'!$G$27)</f>
      </c>
      <c r="G30" s="809"/>
      <c r="H30" s="812">
        <f t="shared" si="6"/>
      </c>
      <c r="I30" s="813"/>
      <c r="J30" s="1138">
        <f t="shared" si="9"/>
      </c>
      <c r="K30" s="814">
        <f>IF('対象者一覧表'!$G$28="","",'対象者一覧表'!$G$28)</f>
      </c>
      <c r="L30" s="809"/>
      <c r="M30" s="812">
        <f t="shared" si="7"/>
      </c>
      <c r="N30" s="1138"/>
      <c r="O30" s="1138">
        <f t="shared" si="10"/>
      </c>
      <c r="P30" s="814">
        <f>IF('対象者一覧表'!$G$29="","",'対象者一覧表'!$G$29)</f>
      </c>
      <c r="Q30" s="809"/>
      <c r="R30" s="821">
        <f t="shared" si="8"/>
      </c>
      <c r="S30" s="823"/>
      <c r="T30" s="1138">
        <f t="shared" si="11"/>
      </c>
    </row>
    <row r="31" spans="1:20" ht="25.5" customHeight="1">
      <c r="A31" s="16"/>
      <c r="B31" s="833"/>
      <c r="C31" s="834" t="s">
        <v>31</v>
      </c>
      <c r="D31" s="834">
        <v>11</v>
      </c>
      <c r="E31" s="832" t="s">
        <v>22</v>
      </c>
      <c r="F31" s="822">
        <f>IF('対象者一覧表'!$G$27="","",'対象者一覧表'!$G$27)</f>
      </c>
      <c r="G31" s="811"/>
      <c r="H31" s="812">
        <f t="shared" si="6"/>
      </c>
      <c r="I31" s="813"/>
      <c r="J31" s="1138">
        <f t="shared" si="9"/>
      </c>
      <c r="K31" s="814">
        <f>IF('対象者一覧表'!$G$28="","",'対象者一覧表'!$G$28)</f>
      </c>
      <c r="L31" s="811"/>
      <c r="M31" s="812">
        <f t="shared" si="7"/>
      </c>
      <c r="N31" s="1138"/>
      <c r="O31" s="1138">
        <f t="shared" si="10"/>
      </c>
      <c r="P31" s="814">
        <f>IF('対象者一覧表'!$G$29="","",'対象者一覧表'!$G$29)</f>
      </c>
      <c r="Q31" s="811"/>
      <c r="R31" s="821">
        <f t="shared" si="8"/>
      </c>
      <c r="S31" s="823"/>
      <c r="T31" s="1138">
        <f t="shared" si="11"/>
      </c>
    </row>
    <row r="32" spans="1:20" ht="25.5" customHeight="1">
      <c r="A32" s="16"/>
      <c r="B32" s="831"/>
      <c r="C32" s="832" t="s">
        <v>31</v>
      </c>
      <c r="D32" s="832">
        <v>12</v>
      </c>
      <c r="E32" s="832" t="s">
        <v>22</v>
      </c>
      <c r="F32" s="822">
        <f>IF('対象者一覧表'!$G$27="","",'対象者一覧表'!$G$27)</f>
      </c>
      <c r="G32" s="811"/>
      <c r="H32" s="812">
        <f t="shared" si="6"/>
      </c>
      <c r="I32" s="813"/>
      <c r="J32" s="1138">
        <f t="shared" si="9"/>
      </c>
      <c r="K32" s="814">
        <f>IF('対象者一覧表'!$G$28="","",'対象者一覧表'!$G$28)</f>
      </c>
      <c r="L32" s="811"/>
      <c r="M32" s="812">
        <f t="shared" si="7"/>
      </c>
      <c r="N32" s="1138"/>
      <c r="O32" s="1138">
        <f t="shared" si="10"/>
      </c>
      <c r="P32" s="814">
        <f>IF('対象者一覧表'!$G$29="","",'対象者一覧表'!$G$29)</f>
      </c>
      <c r="Q32" s="811"/>
      <c r="R32" s="821">
        <f t="shared" si="8"/>
      </c>
      <c r="S32" s="823"/>
      <c r="T32" s="1138">
        <f t="shared" si="11"/>
      </c>
    </row>
    <row r="33" spans="1:20" ht="25.5" customHeight="1">
      <c r="A33" s="16"/>
      <c r="B33" s="831">
        <v>27</v>
      </c>
      <c r="C33" s="832" t="s">
        <v>31</v>
      </c>
      <c r="D33" s="832">
        <v>1</v>
      </c>
      <c r="E33" s="832" t="s">
        <v>22</v>
      </c>
      <c r="F33" s="822">
        <f>IF('対象者一覧表'!$G$27="","",'対象者一覧表'!$G$27)</f>
      </c>
      <c r="G33" s="811"/>
      <c r="H33" s="812">
        <f t="shared" si="6"/>
      </c>
      <c r="I33" s="813"/>
      <c r="J33" s="1138">
        <f t="shared" si="9"/>
      </c>
      <c r="K33" s="814">
        <f>IF('対象者一覧表'!$G$28="","",'対象者一覧表'!$G$28)</f>
      </c>
      <c r="L33" s="811"/>
      <c r="M33" s="812">
        <f t="shared" si="7"/>
      </c>
      <c r="N33" s="1138"/>
      <c r="O33" s="1138">
        <f t="shared" si="10"/>
      </c>
      <c r="P33" s="814">
        <f>IF('対象者一覧表'!$G$29="","",'対象者一覧表'!$G$29)</f>
      </c>
      <c r="Q33" s="811"/>
      <c r="R33" s="821">
        <f t="shared" si="8"/>
      </c>
      <c r="S33" s="823"/>
      <c r="T33" s="1138">
        <f t="shared" si="11"/>
      </c>
    </row>
    <row r="34" spans="1:20" ht="25.5" customHeight="1">
      <c r="A34" s="16"/>
      <c r="B34" s="831"/>
      <c r="C34" s="832" t="s">
        <v>31</v>
      </c>
      <c r="D34" s="832">
        <v>2</v>
      </c>
      <c r="E34" s="832" t="s">
        <v>22</v>
      </c>
      <c r="F34" s="822">
        <f>IF('対象者一覧表'!$G$27="","",'対象者一覧表'!$G$27)</f>
      </c>
      <c r="G34" s="811"/>
      <c r="H34" s="812">
        <f t="shared" si="6"/>
      </c>
      <c r="I34" s="813"/>
      <c r="J34" s="1138">
        <f t="shared" si="9"/>
      </c>
      <c r="K34" s="814">
        <f>IF('対象者一覧表'!$G$28="","",'対象者一覧表'!$G$28)</f>
      </c>
      <c r="L34" s="811"/>
      <c r="M34" s="812">
        <f t="shared" si="7"/>
      </c>
      <c r="N34" s="1138"/>
      <c r="O34" s="1138">
        <f t="shared" si="10"/>
      </c>
      <c r="P34" s="814">
        <f>IF('対象者一覧表'!$G$29="","",'対象者一覧表'!$G$29)</f>
      </c>
      <c r="Q34" s="811"/>
      <c r="R34" s="821">
        <f t="shared" si="8"/>
      </c>
      <c r="S34" s="823"/>
      <c r="T34" s="1138">
        <f t="shared" si="11"/>
      </c>
    </row>
    <row r="35" spans="1:20" ht="25.5" customHeight="1">
      <c r="A35" s="16"/>
      <c r="B35" s="831"/>
      <c r="C35" s="832" t="s">
        <v>31</v>
      </c>
      <c r="D35" s="832">
        <v>3</v>
      </c>
      <c r="E35" s="832" t="s">
        <v>22</v>
      </c>
      <c r="F35" s="822">
        <f>IF('対象者一覧表'!$G$27="","",'対象者一覧表'!$G$27)</f>
      </c>
      <c r="G35" s="811"/>
      <c r="H35" s="812">
        <f t="shared" si="6"/>
      </c>
      <c r="I35" s="813"/>
      <c r="J35" s="1138">
        <f t="shared" si="9"/>
      </c>
      <c r="K35" s="814">
        <f>IF('対象者一覧表'!$G$28="","",'対象者一覧表'!$G$28)</f>
      </c>
      <c r="L35" s="811"/>
      <c r="M35" s="812">
        <f t="shared" si="7"/>
      </c>
      <c r="N35" s="1138"/>
      <c r="O35" s="1138">
        <f t="shared" si="10"/>
      </c>
      <c r="P35" s="814">
        <f>IF('対象者一覧表'!$G$29="","",'対象者一覧表'!$G$29)</f>
      </c>
      <c r="Q35" s="811"/>
      <c r="R35" s="821">
        <f t="shared" si="8"/>
      </c>
      <c r="S35" s="823"/>
      <c r="T35" s="1138">
        <f t="shared" si="11"/>
      </c>
    </row>
    <row r="36" spans="1:20" ht="25.5" customHeight="1">
      <c r="A36" s="16"/>
      <c r="B36" s="831"/>
      <c r="C36" s="832" t="s">
        <v>31</v>
      </c>
      <c r="D36" s="832">
        <v>4</v>
      </c>
      <c r="E36" s="832" t="s">
        <v>284</v>
      </c>
      <c r="F36" s="822">
        <f>IF('対象者一覧表'!$G$27="","",'対象者一覧表'!$G$27)</f>
      </c>
      <c r="G36" s="809"/>
      <c r="H36" s="812">
        <f t="shared" si="6"/>
      </c>
      <c r="I36" s="813"/>
      <c r="J36" s="1138">
        <f t="shared" si="9"/>
      </c>
      <c r="K36" s="814">
        <f>IF('対象者一覧表'!$G$28="","",'対象者一覧表'!$G$28)</f>
      </c>
      <c r="L36" s="809"/>
      <c r="M36" s="812">
        <f t="shared" si="7"/>
      </c>
      <c r="N36" s="1138"/>
      <c r="O36" s="1138">
        <f t="shared" si="10"/>
      </c>
      <c r="P36" s="814">
        <f>IF('対象者一覧表'!$G$29="","",'対象者一覧表'!$G$29)</f>
      </c>
      <c r="Q36" s="809"/>
      <c r="R36" s="821">
        <f t="shared" si="8"/>
      </c>
      <c r="S36" s="823"/>
      <c r="T36" s="1138">
        <f t="shared" si="11"/>
      </c>
    </row>
    <row r="37" spans="1:20" ht="25.5" customHeight="1" thickBot="1">
      <c r="A37" s="16"/>
      <c r="B37" s="835"/>
      <c r="C37" s="836" t="s">
        <v>31</v>
      </c>
      <c r="D37" s="836">
        <v>5</v>
      </c>
      <c r="E37" s="836" t="s">
        <v>22</v>
      </c>
      <c r="F37" s="872">
        <f>IF('対象者一覧表'!$G$27="","",'対象者一覧表'!$G$27)</f>
      </c>
      <c r="G37" s="873"/>
      <c r="H37" s="880">
        <f t="shared" si="6"/>
      </c>
      <c r="I37" s="881"/>
      <c r="J37" s="1139">
        <f t="shared" si="9"/>
      </c>
      <c r="K37" s="882">
        <f>IF('対象者一覧表'!$G$28="","",'対象者一覧表'!$G$28)</f>
      </c>
      <c r="L37" s="873"/>
      <c r="M37" s="880">
        <f t="shared" si="7"/>
      </c>
      <c r="N37" s="1139"/>
      <c r="O37" s="1139">
        <f t="shared" si="10"/>
      </c>
      <c r="P37" s="882">
        <f>IF('対象者一覧表'!$G$29="","",'対象者一覧表'!$G$29)</f>
      </c>
      <c r="Q37" s="873"/>
      <c r="R37" s="874">
        <f t="shared" si="8"/>
      </c>
      <c r="S37" s="875"/>
      <c r="T37" s="1139">
        <f t="shared" si="11"/>
      </c>
    </row>
    <row r="38" spans="1:20" ht="25.5" customHeight="1" thickBot="1">
      <c r="A38" s="16"/>
      <c r="B38" s="840"/>
      <c r="C38" s="841"/>
      <c r="D38" s="841"/>
      <c r="E38" s="842" t="s">
        <v>1</v>
      </c>
      <c r="F38" s="815"/>
      <c r="G38" s="816">
        <f>SUM(G27:G37)</f>
        <v>0</v>
      </c>
      <c r="H38" s="1135">
        <f>SUM(H27:H37)</f>
        <v>0</v>
      </c>
      <c r="I38" s="1144">
        <f>SUM(I27:I37)</f>
        <v>0</v>
      </c>
      <c r="J38" s="1136">
        <f>SUM(J27:J37)</f>
        <v>0</v>
      </c>
      <c r="K38" s="1040"/>
      <c r="L38" s="816">
        <f>SUM(L27:L37)</f>
        <v>0</v>
      </c>
      <c r="M38" s="1135">
        <f>SUM(M27:M37)</f>
        <v>0</v>
      </c>
      <c r="N38" s="1136">
        <f>SUM(N27:N37)</f>
        <v>0</v>
      </c>
      <c r="O38" s="1136">
        <f>SUM(O27:O37)</f>
        <v>0</v>
      </c>
      <c r="P38" s="1040"/>
      <c r="Q38" s="816">
        <f>SUM(Q27:Q37)</f>
        <v>0</v>
      </c>
      <c r="R38" s="817">
        <f>SUM(R27:R37)</f>
        <v>0</v>
      </c>
      <c r="S38" s="817">
        <f>SUM(S27:S37)</f>
        <v>0</v>
      </c>
      <c r="T38" s="817">
        <f>SUM(T27:T37)</f>
        <v>0</v>
      </c>
    </row>
    <row r="39" spans="1:20" ht="14.25" thickBot="1">
      <c r="A39" s="16"/>
      <c r="B39" s="74"/>
      <c r="C39" s="74"/>
      <c r="D39" s="74"/>
      <c r="E39" s="74"/>
      <c r="F39" s="337"/>
      <c r="G39" s="337"/>
      <c r="H39" s="337"/>
      <c r="I39" s="337"/>
      <c r="J39" s="337"/>
      <c r="K39" s="337"/>
      <c r="L39" s="337"/>
      <c r="M39" s="337"/>
      <c r="N39" s="337"/>
      <c r="O39" s="337"/>
      <c r="P39" s="337"/>
      <c r="Q39" s="337"/>
      <c r="R39" s="337"/>
      <c r="S39" s="337"/>
      <c r="T39" s="337"/>
    </row>
    <row r="40" spans="1:20" ht="25.5" customHeight="1" thickBot="1">
      <c r="A40" s="16"/>
      <c r="B40" s="1324" t="s">
        <v>179</v>
      </c>
      <c r="C40" s="1325"/>
      <c r="D40" s="1325"/>
      <c r="E40" s="1325"/>
      <c r="F40" s="338"/>
      <c r="G40" s="825">
        <f>SUM(J21,O21,T21,J38,O38,T38)</f>
        <v>4408458</v>
      </c>
      <c r="H40" s="339" t="s">
        <v>12</v>
      </c>
      <c r="I40" s="720"/>
      <c r="J40" s="720"/>
      <c r="K40" s="337"/>
      <c r="L40" s="337"/>
      <c r="M40" s="337"/>
      <c r="N40" s="337"/>
      <c r="O40" s="337"/>
      <c r="P40" s="337"/>
      <c r="Q40" s="337"/>
      <c r="R40" s="337"/>
      <c r="S40" s="337"/>
      <c r="T40" s="337"/>
    </row>
    <row r="41" spans="1:20" ht="13.5">
      <c r="A41" s="16"/>
      <c r="B41" s="774"/>
      <c r="C41" s="774"/>
      <c r="D41" s="774"/>
      <c r="E41" s="774"/>
      <c r="F41" s="76"/>
      <c r="G41" s="76"/>
      <c r="H41" s="77"/>
      <c r="I41" s="77"/>
      <c r="J41" s="77"/>
      <c r="K41" s="16"/>
      <c r="L41" s="16"/>
      <c r="M41" s="16"/>
      <c r="N41" s="16"/>
      <c r="O41" s="16"/>
      <c r="P41" s="16"/>
      <c r="Q41" s="16"/>
      <c r="R41" s="16"/>
      <c r="S41" s="16"/>
      <c r="T41" s="16"/>
    </row>
    <row r="42" ht="13.5">
      <c r="B42" s="602" t="s">
        <v>1031</v>
      </c>
    </row>
    <row r="43" spans="2:12" ht="13.5">
      <c r="B43" s="602" t="s">
        <v>370</v>
      </c>
      <c r="L43" s="685"/>
    </row>
    <row r="44" spans="2:12" ht="13.5">
      <c r="B44" s="602" t="s">
        <v>367</v>
      </c>
      <c r="C44" s="602" t="s">
        <v>368</v>
      </c>
      <c r="L44" s="685"/>
    </row>
    <row r="45" spans="2:20" ht="13.5">
      <c r="B45" s="602" t="s">
        <v>977</v>
      </c>
      <c r="C45" s="11"/>
      <c r="D45" s="11"/>
      <c r="E45" s="11"/>
      <c r="F45" s="11"/>
      <c r="G45" s="11"/>
      <c r="H45" s="11"/>
      <c r="I45" s="11"/>
      <c r="J45" s="11"/>
      <c r="K45" s="719"/>
      <c r="L45" s="11"/>
      <c r="M45" s="11"/>
      <c r="N45" s="11"/>
      <c r="O45" s="11"/>
      <c r="P45" s="11"/>
      <c r="Q45" s="11"/>
      <c r="R45" s="11"/>
      <c r="S45" s="11"/>
      <c r="T45" s="11"/>
    </row>
    <row r="46" spans="2:12" ht="13.5">
      <c r="B46" s="602" t="s">
        <v>369</v>
      </c>
      <c r="L46" s="685"/>
    </row>
  </sheetData>
  <sheetProtection sheet="1"/>
  <mergeCells count="25">
    <mergeCell ref="T7:T9"/>
    <mergeCell ref="T24:T26"/>
    <mergeCell ref="P6:T6"/>
    <mergeCell ref="F23:J23"/>
    <mergeCell ref="K23:O23"/>
    <mergeCell ref="P23:T23"/>
    <mergeCell ref="O24:O26"/>
    <mergeCell ref="S24:S26"/>
    <mergeCell ref="S7:S9"/>
    <mergeCell ref="A1:E1"/>
    <mergeCell ref="C2:F2"/>
    <mergeCell ref="B6:E6"/>
    <mergeCell ref="F6:J6"/>
    <mergeCell ref="I24:I26"/>
    <mergeCell ref="N24:N26"/>
    <mergeCell ref="J7:J9"/>
    <mergeCell ref="K6:O6"/>
    <mergeCell ref="N7:N9"/>
    <mergeCell ref="O7:O9"/>
    <mergeCell ref="B40:E40"/>
    <mergeCell ref="B7:B9"/>
    <mergeCell ref="B23:E23"/>
    <mergeCell ref="B24:B26"/>
    <mergeCell ref="J24:J26"/>
    <mergeCell ref="I7:I9"/>
  </mergeCells>
  <dataValidations count="1">
    <dataValidation allowBlank="1" showInputMessage="1" showErrorMessage="1" imeMode="halfAlpha" sqref="U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8" r:id="rId1"/>
  <colBreaks count="1" manualBreakCount="1">
    <brk id="20"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U47"/>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602" customWidth="1"/>
    <col min="2" max="2" width="4.7109375" style="602" customWidth="1"/>
    <col min="3" max="3" width="5.28125" style="602" customWidth="1"/>
    <col min="4" max="4" width="5.140625" style="602" customWidth="1"/>
    <col min="5" max="5" width="4.57421875" style="602" customWidth="1"/>
    <col min="6" max="20" width="16.28125" style="602" customWidth="1"/>
    <col min="21" max="21" width="10.28125" style="602" bestFit="1" customWidth="1"/>
    <col min="22" max="16384" width="9.00390625" style="602" customWidth="1"/>
  </cols>
  <sheetData>
    <row r="1" spans="1:6" ht="17.25">
      <c r="A1" s="1334" t="s">
        <v>29</v>
      </c>
      <c r="B1" s="1334"/>
      <c r="C1" s="1334"/>
      <c r="D1" s="1334"/>
      <c r="E1" s="1334"/>
      <c r="F1" s="102"/>
    </row>
    <row r="2" spans="1:20" ht="17.25">
      <c r="A2" s="844"/>
      <c r="B2" s="845" t="s">
        <v>414</v>
      </c>
      <c r="C2" s="1335" t="s">
        <v>33</v>
      </c>
      <c r="D2" s="1335"/>
      <c r="E2" s="1335"/>
      <c r="F2" s="1335"/>
      <c r="G2" s="16"/>
      <c r="H2" s="16"/>
      <c r="I2" s="16"/>
      <c r="J2" s="16"/>
      <c r="K2" s="16"/>
      <c r="L2" s="16"/>
      <c r="M2" s="16"/>
      <c r="N2" s="16"/>
      <c r="O2" s="16"/>
      <c r="P2" s="16"/>
      <c r="Q2" s="16"/>
      <c r="R2" s="16"/>
      <c r="S2" s="16"/>
      <c r="T2" s="16"/>
    </row>
    <row r="3" spans="1:20" ht="17.25">
      <c r="A3" s="16"/>
      <c r="B3" s="58"/>
      <c r="C3" s="58"/>
      <c r="D3" s="58"/>
      <c r="E3" s="58"/>
      <c r="F3" s="16"/>
      <c r="G3" s="16"/>
      <c r="H3" s="16"/>
      <c r="I3" s="16"/>
      <c r="J3" s="16"/>
      <c r="K3" s="16"/>
      <c r="L3" s="16"/>
      <c r="M3" s="16"/>
      <c r="N3" s="16"/>
      <c r="O3" s="16"/>
      <c r="P3" s="16"/>
      <c r="Q3" s="16"/>
      <c r="S3" s="16"/>
      <c r="T3" s="844" t="s">
        <v>38</v>
      </c>
    </row>
    <row r="4" spans="1:21" ht="17.25">
      <c r="A4" s="16"/>
      <c r="B4" s="58" t="s">
        <v>2</v>
      </c>
      <c r="C4" s="58"/>
      <c r="D4" s="58"/>
      <c r="E4" s="58"/>
      <c r="F4" s="16"/>
      <c r="G4" s="16"/>
      <c r="H4" s="16"/>
      <c r="I4" s="16"/>
      <c r="J4" s="16"/>
      <c r="K4" s="16"/>
      <c r="L4" s="16"/>
      <c r="N4" s="59"/>
      <c r="O4" s="59"/>
      <c r="P4" s="843"/>
      <c r="Q4" s="846" t="s">
        <v>200</v>
      </c>
      <c r="R4" s="844" t="str">
        <f>'使い方'!E6</f>
        <v>Ｂ金属株式会社</v>
      </c>
      <c r="S4" s="59"/>
      <c r="T4" s="59"/>
      <c r="U4" s="3"/>
    </row>
    <row r="5" spans="1:21" ht="14.25" thickBot="1">
      <c r="A5" s="16"/>
      <c r="B5" s="58" t="s">
        <v>2</v>
      </c>
      <c r="C5" s="58"/>
      <c r="D5" s="58"/>
      <c r="E5" s="58"/>
      <c r="F5" s="16"/>
      <c r="G5" s="16"/>
      <c r="H5" s="16"/>
      <c r="I5" s="16"/>
      <c r="J5" s="16"/>
      <c r="K5" s="16"/>
      <c r="L5" s="16"/>
      <c r="M5" s="16"/>
      <c r="N5" s="16"/>
      <c r="O5" s="16"/>
      <c r="P5" s="16"/>
      <c r="Q5" s="16"/>
      <c r="R5" s="16"/>
      <c r="S5" s="16"/>
      <c r="T5" s="16"/>
      <c r="U5" s="3"/>
    </row>
    <row r="6" spans="1:21" ht="34.5" customHeight="1" thickBot="1">
      <c r="A6" s="16"/>
      <c r="B6" s="1336" t="s">
        <v>3</v>
      </c>
      <c r="C6" s="1337"/>
      <c r="D6" s="1337"/>
      <c r="E6" s="1348"/>
      <c r="F6" s="1345">
        <f>'対象者一覧表'!C30</f>
      </c>
      <c r="G6" s="1340"/>
      <c r="H6" s="1340"/>
      <c r="I6" s="1340"/>
      <c r="J6" s="1341"/>
      <c r="K6" s="1342">
        <f>'対象者一覧表'!C31</f>
      </c>
      <c r="L6" s="1343"/>
      <c r="M6" s="1343"/>
      <c r="N6" s="1343"/>
      <c r="O6" s="1344"/>
      <c r="P6" s="1342">
        <f>'対象者一覧表'!C32</f>
      </c>
      <c r="Q6" s="1343"/>
      <c r="R6" s="1343"/>
      <c r="S6" s="1343"/>
      <c r="T6" s="1344"/>
      <c r="U6" s="60"/>
    </row>
    <row r="7" spans="1:21" ht="33.75" customHeight="1">
      <c r="A7" s="16"/>
      <c r="B7" s="1326"/>
      <c r="C7" s="61"/>
      <c r="D7" s="61"/>
      <c r="E7" s="1041"/>
      <c r="F7" s="1038" t="s">
        <v>4</v>
      </c>
      <c r="G7" s="64" t="s">
        <v>5</v>
      </c>
      <c r="H7" s="1130" t="s">
        <v>6</v>
      </c>
      <c r="I7" s="1332" t="s">
        <v>975</v>
      </c>
      <c r="J7" s="1332" t="s">
        <v>976</v>
      </c>
      <c r="K7" s="1038" t="s">
        <v>4</v>
      </c>
      <c r="L7" s="64" t="s">
        <v>5</v>
      </c>
      <c r="M7" s="1130" t="s">
        <v>6</v>
      </c>
      <c r="N7" s="1332" t="s">
        <v>975</v>
      </c>
      <c r="O7" s="1332" t="s">
        <v>976</v>
      </c>
      <c r="P7" s="1038" t="s">
        <v>4</v>
      </c>
      <c r="Q7" s="64" t="s">
        <v>5</v>
      </c>
      <c r="R7" s="66" t="s">
        <v>6</v>
      </c>
      <c r="S7" s="1332" t="s">
        <v>975</v>
      </c>
      <c r="T7" s="1332" t="s">
        <v>976</v>
      </c>
      <c r="U7" s="60"/>
    </row>
    <row r="8" spans="1:21" ht="13.5">
      <c r="A8" s="16"/>
      <c r="B8" s="1327"/>
      <c r="C8" s="67"/>
      <c r="D8" s="67"/>
      <c r="E8" s="1042"/>
      <c r="F8" s="1039" t="s">
        <v>7</v>
      </c>
      <c r="G8" s="70" t="s">
        <v>8</v>
      </c>
      <c r="H8" s="1131"/>
      <c r="I8" s="1333"/>
      <c r="J8" s="1333"/>
      <c r="K8" s="1039" t="s">
        <v>7</v>
      </c>
      <c r="L8" s="70" t="s">
        <v>8</v>
      </c>
      <c r="M8" s="1131"/>
      <c r="N8" s="1333"/>
      <c r="O8" s="1333"/>
      <c r="P8" s="1039" t="s">
        <v>7</v>
      </c>
      <c r="Q8" s="70" t="s">
        <v>8</v>
      </c>
      <c r="R8" s="72"/>
      <c r="S8" s="1333"/>
      <c r="T8" s="1333"/>
      <c r="U8" s="60"/>
    </row>
    <row r="9" spans="1:21" ht="14.25" thickBot="1">
      <c r="A9" s="16"/>
      <c r="B9" s="1327"/>
      <c r="C9" s="67"/>
      <c r="D9" s="67"/>
      <c r="E9" s="1042"/>
      <c r="F9" s="1039" t="s">
        <v>9</v>
      </c>
      <c r="G9" s="70" t="s">
        <v>10</v>
      </c>
      <c r="H9" s="1131" t="s">
        <v>11</v>
      </c>
      <c r="I9" s="1333"/>
      <c r="J9" s="1333"/>
      <c r="K9" s="1039" t="s">
        <v>9</v>
      </c>
      <c r="L9" s="70" t="s">
        <v>10</v>
      </c>
      <c r="M9" s="1131" t="s">
        <v>11</v>
      </c>
      <c r="N9" s="1333"/>
      <c r="O9" s="1333"/>
      <c r="P9" s="1039" t="s">
        <v>9</v>
      </c>
      <c r="Q9" s="70" t="s">
        <v>10</v>
      </c>
      <c r="R9" s="72" t="s">
        <v>11</v>
      </c>
      <c r="S9" s="1333"/>
      <c r="T9" s="1333"/>
      <c r="U9" s="60"/>
    </row>
    <row r="10" spans="1:20" ht="25.5" customHeight="1">
      <c r="A10" s="16"/>
      <c r="B10" s="870">
        <v>26</v>
      </c>
      <c r="C10" s="871" t="s">
        <v>31</v>
      </c>
      <c r="D10" s="871">
        <v>7</v>
      </c>
      <c r="E10" s="1043" t="s">
        <v>32</v>
      </c>
      <c r="F10" s="879">
        <f>IF('対象者一覧表'!$G$30="","",'対象者一覧表'!$G$30)</f>
      </c>
      <c r="G10" s="820"/>
      <c r="H10" s="877">
        <f aca="true" t="shared" si="0" ref="H10:H20">IF(F10="","",ROUNDDOWN((G10*F10),0))</f>
      </c>
      <c r="I10" s="1137"/>
      <c r="J10" s="1137">
        <f>IF(F10="","",MIN(H10,I10))</f>
      </c>
      <c r="K10" s="879">
        <f>IF('対象者一覧表'!$G$31="","",'対象者一覧表'!$G$31)</f>
      </c>
      <c r="L10" s="820"/>
      <c r="M10" s="877">
        <f aca="true" t="shared" si="1" ref="M10:M20">IF(K10="","",ROUNDDOWN((L10*K10),0))</f>
      </c>
      <c r="N10" s="1137"/>
      <c r="O10" s="1137">
        <f>IF(K10="","",MIN(M10,N10))</f>
      </c>
      <c r="P10" s="879">
        <f>IF('対象者一覧表'!$G$32="","",'対象者一覧表'!$G$32)</f>
      </c>
      <c r="Q10" s="820"/>
      <c r="R10" s="877">
        <f aca="true" t="shared" si="2" ref="R10:R20">IF(P10="","",ROUNDDOWN((Q10*P10),0))</f>
      </c>
      <c r="S10" s="878"/>
      <c r="T10" s="1137">
        <f>IF(P10="","",MIN(R10,S10))</f>
      </c>
    </row>
    <row r="11" spans="1:20" ht="25.5" customHeight="1">
      <c r="A11" s="16"/>
      <c r="B11" s="831"/>
      <c r="C11" s="832" t="s">
        <v>31</v>
      </c>
      <c r="D11" s="832">
        <v>8</v>
      </c>
      <c r="E11" s="1044" t="s">
        <v>32</v>
      </c>
      <c r="F11" s="814">
        <f>IF('対象者一覧表'!$G$30="","",'対象者一覧表'!$G$30)</f>
      </c>
      <c r="G11" s="811"/>
      <c r="H11" s="812">
        <f t="shared" si="0"/>
      </c>
      <c r="I11" s="1138"/>
      <c r="J11" s="1138">
        <f aca="true" t="shared" si="3" ref="J11:J20">IF(F11="","",MIN(H11,I11))</f>
      </c>
      <c r="K11" s="814">
        <f>IF('対象者一覧表'!$G$31="","",'対象者一覧表'!$G$31)</f>
      </c>
      <c r="L11" s="811"/>
      <c r="M11" s="812">
        <f t="shared" si="1"/>
      </c>
      <c r="N11" s="1138"/>
      <c r="O11" s="1138">
        <f aca="true" t="shared" si="4" ref="O11:O20">IF(K11="","",MIN(M11,N11))</f>
      </c>
      <c r="P11" s="814">
        <f>IF('対象者一覧表'!$G$32="","",'対象者一覧表'!$G$32)</f>
      </c>
      <c r="Q11" s="811"/>
      <c r="R11" s="812">
        <f t="shared" si="2"/>
      </c>
      <c r="S11" s="813"/>
      <c r="T11" s="1138">
        <f aca="true" t="shared" si="5" ref="T11:T20">IF(P11="","",MIN(R11,S11))</f>
      </c>
    </row>
    <row r="12" spans="1:20" ht="25.5" customHeight="1">
      <c r="A12" s="16"/>
      <c r="B12" s="831"/>
      <c r="C12" s="832" t="s">
        <v>31</v>
      </c>
      <c r="D12" s="832">
        <v>9</v>
      </c>
      <c r="E12" s="1044" t="s">
        <v>32</v>
      </c>
      <c r="F12" s="814">
        <f>IF('対象者一覧表'!$G$30="","",'対象者一覧表'!$G$30)</f>
      </c>
      <c r="G12" s="811"/>
      <c r="H12" s="812">
        <f t="shared" si="0"/>
      </c>
      <c r="I12" s="1138"/>
      <c r="J12" s="1138">
        <f t="shared" si="3"/>
      </c>
      <c r="K12" s="814">
        <f>IF('対象者一覧表'!$G$31="","",'対象者一覧表'!$G$31)</f>
      </c>
      <c r="L12" s="811"/>
      <c r="M12" s="812">
        <f t="shared" si="1"/>
      </c>
      <c r="N12" s="1138"/>
      <c r="O12" s="1138">
        <f t="shared" si="4"/>
      </c>
      <c r="P12" s="814">
        <f>IF('対象者一覧表'!$G$32="","",'対象者一覧表'!$G$32)</f>
      </c>
      <c r="Q12" s="811"/>
      <c r="R12" s="812">
        <f t="shared" si="2"/>
      </c>
      <c r="S12" s="813"/>
      <c r="T12" s="1138">
        <f t="shared" si="5"/>
      </c>
    </row>
    <row r="13" spans="1:20" ht="25.5" customHeight="1">
      <c r="A13" s="16"/>
      <c r="B13" s="831"/>
      <c r="C13" s="832" t="s">
        <v>31</v>
      </c>
      <c r="D13" s="832">
        <v>10</v>
      </c>
      <c r="E13" s="1044" t="s">
        <v>32</v>
      </c>
      <c r="F13" s="814">
        <f>IF('対象者一覧表'!$G$30="","",'対象者一覧表'!$G$30)</f>
      </c>
      <c r="G13" s="809"/>
      <c r="H13" s="812">
        <f t="shared" si="0"/>
      </c>
      <c r="I13" s="1138"/>
      <c r="J13" s="1138">
        <f t="shared" si="3"/>
      </c>
      <c r="K13" s="814">
        <f>IF('対象者一覧表'!$G$31="","",'対象者一覧表'!$G$31)</f>
      </c>
      <c r="L13" s="809"/>
      <c r="M13" s="812">
        <f t="shared" si="1"/>
      </c>
      <c r="N13" s="1138"/>
      <c r="O13" s="1138">
        <f t="shared" si="4"/>
      </c>
      <c r="P13" s="814">
        <f>IF('対象者一覧表'!$G$32="","",'対象者一覧表'!$G$32)</f>
      </c>
      <c r="Q13" s="809"/>
      <c r="R13" s="812">
        <f t="shared" si="2"/>
      </c>
      <c r="S13" s="813"/>
      <c r="T13" s="1138">
        <f t="shared" si="5"/>
      </c>
    </row>
    <row r="14" spans="1:20" ht="25.5" customHeight="1">
      <c r="A14" s="16"/>
      <c r="B14" s="833"/>
      <c r="C14" s="834" t="s">
        <v>31</v>
      </c>
      <c r="D14" s="834">
        <v>11</v>
      </c>
      <c r="E14" s="1044" t="s">
        <v>22</v>
      </c>
      <c r="F14" s="814">
        <f>IF('対象者一覧表'!$G$30="","",'対象者一覧表'!$G$30)</f>
      </c>
      <c r="G14" s="811"/>
      <c r="H14" s="812">
        <f t="shared" si="0"/>
      </c>
      <c r="I14" s="1138"/>
      <c r="J14" s="1138">
        <f t="shared" si="3"/>
      </c>
      <c r="K14" s="814">
        <f>IF('対象者一覧表'!$G$31="","",'対象者一覧表'!$G$31)</f>
      </c>
      <c r="L14" s="811"/>
      <c r="M14" s="812">
        <f t="shared" si="1"/>
      </c>
      <c r="N14" s="1138"/>
      <c r="O14" s="1138">
        <f t="shared" si="4"/>
      </c>
      <c r="P14" s="814">
        <f>IF('対象者一覧表'!$G$32="","",'対象者一覧表'!$G$32)</f>
      </c>
      <c r="Q14" s="811"/>
      <c r="R14" s="812">
        <f t="shared" si="2"/>
      </c>
      <c r="S14" s="813"/>
      <c r="T14" s="1138">
        <f t="shared" si="5"/>
      </c>
    </row>
    <row r="15" spans="1:21" ht="25.5" customHeight="1">
      <c r="A15" s="16"/>
      <c r="B15" s="831"/>
      <c r="C15" s="832" t="s">
        <v>31</v>
      </c>
      <c r="D15" s="832">
        <v>12</v>
      </c>
      <c r="E15" s="1044" t="s">
        <v>22</v>
      </c>
      <c r="F15" s="814">
        <f>IF('対象者一覧表'!$G$30="","",'対象者一覧表'!$G$30)</f>
      </c>
      <c r="G15" s="811"/>
      <c r="H15" s="812">
        <f t="shared" si="0"/>
      </c>
      <c r="I15" s="1138"/>
      <c r="J15" s="1138">
        <f t="shared" si="3"/>
      </c>
      <c r="K15" s="814">
        <f>IF('対象者一覧表'!$G$31="","",'対象者一覧表'!$G$31)</f>
      </c>
      <c r="L15" s="811"/>
      <c r="M15" s="812">
        <f t="shared" si="1"/>
      </c>
      <c r="N15" s="1138"/>
      <c r="O15" s="1138">
        <f t="shared" si="4"/>
      </c>
      <c r="P15" s="814">
        <f>IF('対象者一覧表'!$G$32="","",'対象者一覧表'!$G$32)</f>
      </c>
      <c r="Q15" s="811"/>
      <c r="R15" s="812">
        <f t="shared" si="2"/>
      </c>
      <c r="S15" s="813"/>
      <c r="T15" s="1138">
        <f t="shared" si="5"/>
      </c>
      <c r="U15" s="685"/>
    </row>
    <row r="16" spans="1:21" ht="25.5" customHeight="1">
      <c r="A16" s="16"/>
      <c r="B16" s="831">
        <v>27</v>
      </c>
      <c r="C16" s="832" t="s">
        <v>31</v>
      </c>
      <c r="D16" s="832">
        <v>1</v>
      </c>
      <c r="E16" s="1044" t="s">
        <v>22</v>
      </c>
      <c r="F16" s="814">
        <f>IF('対象者一覧表'!$G$30="","",'対象者一覧表'!$G$30)</f>
      </c>
      <c r="G16" s="811"/>
      <c r="H16" s="812">
        <f t="shared" si="0"/>
      </c>
      <c r="I16" s="1138"/>
      <c r="J16" s="1138">
        <f t="shared" si="3"/>
      </c>
      <c r="K16" s="814">
        <f>IF('対象者一覧表'!$G$31="","",'対象者一覧表'!$G$31)</f>
      </c>
      <c r="L16" s="811"/>
      <c r="M16" s="812">
        <f t="shared" si="1"/>
      </c>
      <c r="N16" s="1138"/>
      <c r="O16" s="1138">
        <f t="shared" si="4"/>
      </c>
      <c r="P16" s="814">
        <f>IF('対象者一覧表'!$G$32="","",'対象者一覧表'!$G$32)</f>
      </c>
      <c r="Q16" s="811"/>
      <c r="R16" s="812">
        <f t="shared" si="2"/>
      </c>
      <c r="S16" s="813"/>
      <c r="T16" s="1138">
        <f t="shared" si="5"/>
      </c>
      <c r="U16" s="685"/>
    </row>
    <row r="17" spans="1:21" ht="25.5" customHeight="1">
      <c r="A17" s="16"/>
      <c r="B17" s="831"/>
      <c r="C17" s="832" t="s">
        <v>31</v>
      </c>
      <c r="D17" s="832">
        <v>2</v>
      </c>
      <c r="E17" s="1044" t="s">
        <v>22</v>
      </c>
      <c r="F17" s="814">
        <f>IF('対象者一覧表'!$G$30="","",'対象者一覧表'!$G$30)</f>
      </c>
      <c r="G17" s="811"/>
      <c r="H17" s="812">
        <f t="shared" si="0"/>
      </c>
      <c r="I17" s="1138"/>
      <c r="J17" s="1138">
        <f t="shared" si="3"/>
      </c>
      <c r="K17" s="814">
        <f>IF('対象者一覧表'!$G$31="","",'対象者一覧表'!$G$31)</f>
      </c>
      <c r="L17" s="811"/>
      <c r="M17" s="812">
        <f t="shared" si="1"/>
      </c>
      <c r="N17" s="1138"/>
      <c r="O17" s="1138">
        <f t="shared" si="4"/>
      </c>
      <c r="P17" s="814">
        <f>IF('対象者一覧表'!$G$32="","",'対象者一覧表'!$G$32)</f>
      </c>
      <c r="Q17" s="811"/>
      <c r="R17" s="812">
        <f t="shared" si="2"/>
      </c>
      <c r="S17" s="813"/>
      <c r="T17" s="1138">
        <f t="shared" si="5"/>
      </c>
      <c r="U17" s="334"/>
    </row>
    <row r="18" spans="1:21" ht="25.5" customHeight="1">
      <c r="A18" s="16"/>
      <c r="B18" s="831"/>
      <c r="C18" s="832" t="s">
        <v>31</v>
      </c>
      <c r="D18" s="832">
        <v>3</v>
      </c>
      <c r="E18" s="1044" t="s">
        <v>22</v>
      </c>
      <c r="F18" s="814">
        <f>IF('対象者一覧表'!$G$30="","",'対象者一覧表'!$G$30)</f>
      </c>
      <c r="G18" s="811"/>
      <c r="H18" s="812">
        <f t="shared" si="0"/>
      </c>
      <c r="I18" s="1138"/>
      <c r="J18" s="1138">
        <f t="shared" si="3"/>
      </c>
      <c r="K18" s="814">
        <f>IF('対象者一覧表'!$G$31="","",'対象者一覧表'!$G$31)</f>
      </c>
      <c r="L18" s="811"/>
      <c r="M18" s="812">
        <f t="shared" si="1"/>
      </c>
      <c r="N18" s="1138"/>
      <c r="O18" s="1138">
        <f t="shared" si="4"/>
      </c>
      <c r="P18" s="814">
        <f>IF('対象者一覧表'!$G$32="","",'対象者一覧表'!$G$32)</f>
      </c>
      <c r="Q18" s="811"/>
      <c r="R18" s="812">
        <f t="shared" si="2"/>
      </c>
      <c r="S18" s="813"/>
      <c r="T18" s="1138">
        <f t="shared" si="5"/>
      </c>
      <c r="U18" s="334"/>
    </row>
    <row r="19" spans="1:21" ht="25.5" customHeight="1">
      <c r="A19" s="16"/>
      <c r="B19" s="831"/>
      <c r="C19" s="832" t="s">
        <v>31</v>
      </c>
      <c r="D19" s="832">
        <v>4</v>
      </c>
      <c r="E19" s="1044" t="s">
        <v>284</v>
      </c>
      <c r="F19" s="814">
        <f>IF('対象者一覧表'!$G$30="","",'対象者一覧表'!$G$30)</f>
      </c>
      <c r="G19" s="809"/>
      <c r="H19" s="812">
        <f t="shared" si="0"/>
      </c>
      <c r="I19" s="1138"/>
      <c r="J19" s="1138">
        <f t="shared" si="3"/>
      </c>
      <c r="K19" s="814">
        <f>IF('対象者一覧表'!$G$31="","",'対象者一覧表'!$G$31)</f>
      </c>
      <c r="L19" s="809"/>
      <c r="M19" s="812">
        <f t="shared" si="1"/>
      </c>
      <c r="N19" s="1138"/>
      <c r="O19" s="1138">
        <f t="shared" si="4"/>
      </c>
      <c r="P19" s="814">
        <f>IF('対象者一覧表'!$G$32="","",'対象者一覧表'!$G$32)</f>
      </c>
      <c r="Q19" s="809"/>
      <c r="R19" s="812">
        <f t="shared" si="2"/>
      </c>
      <c r="S19" s="813"/>
      <c r="T19" s="1138">
        <f t="shared" si="5"/>
      </c>
      <c r="U19" s="334"/>
    </row>
    <row r="20" spans="1:20" ht="25.5" customHeight="1" thickBot="1">
      <c r="A20" s="16"/>
      <c r="B20" s="835"/>
      <c r="C20" s="836" t="s">
        <v>31</v>
      </c>
      <c r="D20" s="836">
        <v>5</v>
      </c>
      <c r="E20" s="1045" t="s">
        <v>22</v>
      </c>
      <c r="F20" s="882">
        <f>IF('対象者一覧表'!$G$30="","",'対象者一覧表'!$G$30)</f>
      </c>
      <c r="G20" s="873"/>
      <c r="H20" s="880">
        <f t="shared" si="0"/>
      </c>
      <c r="I20" s="1139"/>
      <c r="J20" s="1139">
        <f t="shared" si="3"/>
      </c>
      <c r="K20" s="882">
        <f>IF('対象者一覧表'!$G$31="","",'対象者一覧表'!$G$31)</f>
      </c>
      <c r="L20" s="873"/>
      <c r="M20" s="880">
        <f t="shared" si="1"/>
      </c>
      <c r="N20" s="1139"/>
      <c r="O20" s="1139">
        <f t="shared" si="4"/>
      </c>
      <c r="P20" s="882">
        <f>IF('対象者一覧表'!$G$32="","",'対象者一覧表'!$G$32)</f>
      </c>
      <c r="Q20" s="873"/>
      <c r="R20" s="880">
        <f t="shared" si="2"/>
      </c>
      <c r="S20" s="881"/>
      <c r="T20" s="1139">
        <f t="shared" si="5"/>
      </c>
    </row>
    <row r="21" spans="1:20" ht="25.5" customHeight="1" thickBot="1">
      <c r="A21" s="16"/>
      <c r="B21" s="837"/>
      <c r="C21" s="838"/>
      <c r="D21" s="838"/>
      <c r="E21" s="1046" t="s">
        <v>1</v>
      </c>
      <c r="F21" s="1040"/>
      <c r="G21" s="816">
        <f>SUM(G10:G20)</f>
        <v>0</v>
      </c>
      <c r="H21" s="1135">
        <f>SUM(H10:H20)</f>
        <v>0</v>
      </c>
      <c r="I21" s="1136">
        <f>SUM(I10:I20)</f>
        <v>0</v>
      </c>
      <c r="J21" s="1136">
        <f>SUM(J10:J20)</f>
        <v>0</v>
      </c>
      <c r="K21" s="1040"/>
      <c r="L21" s="816">
        <f>SUM(L10:L20)</f>
        <v>0</v>
      </c>
      <c r="M21" s="1135">
        <f>SUM(M10:M20)</f>
        <v>0</v>
      </c>
      <c r="N21" s="1136">
        <f>SUM(N10:N20)</f>
        <v>0</v>
      </c>
      <c r="O21" s="1136">
        <f>SUM(O10:O20)</f>
        <v>0</v>
      </c>
      <c r="P21" s="1040"/>
      <c r="Q21" s="816">
        <f>SUM(Q10:Q20)</f>
        <v>0</v>
      </c>
      <c r="R21" s="818">
        <f>SUM(R10:R20)</f>
        <v>0</v>
      </c>
      <c r="S21" s="817">
        <f>SUM(S10:S20)</f>
        <v>0</v>
      </c>
      <c r="T21" s="817">
        <f>SUM(T10:T20)</f>
        <v>0</v>
      </c>
    </row>
    <row r="22" spans="1:20" ht="14.25" thickBot="1">
      <c r="A22" s="16"/>
      <c r="B22" s="73"/>
      <c r="C22" s="73"/>
      <c r="D22" s="73"/>
      <c r="E22" s="73"/>
      <c r="F22" s="16"/>
      <c r="G22" s="16"/>
      <c r="H22" s="16"/>
      <c r="I22" s="16"/>
      <c r="J22" s="16"/>
      <c r="K22" s="16"/>
      <c r="L22" s="16"/>
      <c r="M22" s="16"/>
      <c r="N22" s="16"/>
      <c r="O22" s="16"/>
      <c r="P22" s="16"/>
      <c r="Q22" s="16"/>
      <c r="R22" s="16"/>
      <c r="S22" s="16"/>
      <c r="T22" s="16"/>
    </row>
    <row r="23" spans="1:20" ht="34.5" customHeight="1" thickBot="1">
      <c r="A23" s="16"/>
      <c r="B23" s="1328" t="s">
        <v>3</v>
      </c>
      <c r="C23" s="1329"/>
      <c r="D23" s="1329"/>
      <c r="E23" s="1329"/>
      <c r="F23" s="1350">
        <f>'対象者一覧表'!C33</f>
      </c>
      <c r="G23" s="1346"/>
      <c r="H23" s="1346"/>
      <c r="I23" s="1346"/>
      <c r="J23" s="1347"/>
      <c r="K23" s="1351">
        <f>'対象者一覧表'!C34</f>
      </c>
      <c r="L23" s="1346"/>
      <c r="M23" s="1346"/>
      <c r="N23" s="1346"/>
      <c r="O23" s="1347"/>
      <c r="P23" s="1342">
        <f>'対象者一覧表'!C35</f>
      </c>
      <c r="Q23" s="1343"/>
      <c r="R23" s="1343"/>
      <c r="S23" s="1343"/>
      <c r="T23" s="1344"/>
    </row>
    <row r="24" spans="1:20" ht="21" customHeight="1">
      <c r="A24" s="16"/>
      <c r="B24" s="1330"/>
      <c r="C24" s="61"/>
      <c r="D24" s="61"/>
      <c r="E24" s="61"/>
      <c r="F24" s="771" t="s">
        <v>4</v>
      </c>
      <c r="G24" s="772" t="s">
        <v>5</v>
      </c>
      <c r="H24" s="1140" t="s">
        <v>6</v>
      </c>
      <c r="I24" s="1332" t="s">
        <v>975</v>
      </c>
      <c r="J24" s="1332" t="s">
        <v>976</v>
      </c>
      <c r="K24" s="1141" t="s">
        <v>4</v>
      </c>
      <c r="L24" s="772" t="s">
        <v>5</v>
      </c>
      <c r="M24" s="1140" t="s">
        <v>6</v>
      </c>
      <c r="N24" s="1332" t="s">
        <v>975</v>
      </c>
      <c r="O24" s="1332" t="s">
        <v>976</v>
      </c>
      <c r="P24" s="1141" t="s">
        <v>4</v>
      </c>
      <c r="Q24" s="772" t="s">
        <v>5</v>
      </c>
      <c r="R24" s="773" t="s">
        <v>6</v>
      </c>
      <c r="S24" s="1332" t="s">
        <v>975</v>
      </c>
      <c r="T24" s="1332" t="s">
        <v>976</v>
      </c>
    </row>
    <row r="25" spans="1:20" ht="13.5" customHeight="1">
      <c r="A25" s="16"/>
      <c r="B25" s="1331"/>
      <c r="C25" s="67"/>
      <c r="D25" s="67"/>
      <c r="E25" s="67"/>
      <c r="F25" s="317" t="s">
        <v>7</v>
      </c>
      <c r="G25" s="70" t="s">
        <v>8</v>
      </c>
      <c r="H25" s="1131"/>
      <c r="I25" s="1333"/>
      <c r="J25" s="1333"/>
      <c r="K25" s="1039" t="s">
        <v>7</v>
      </c>
      <c r="L25" s="70" t="s">
        <v>8</v>
      </c>
      <c r="M25" s="1131"/>
      <c r="N25" s="1333"/>
      <c r="O25" s="1333"/>
      <c r="P25" s="1039" t="s">
        <v>7</v>
      </c>
      <c r="Q25" s="70" t="s">
        <v>8</v>
      </c>
      <c r="R25" s="72"/>
      <c r="S25" s="1333"/>
      <c r="T25" s="1333"/>
    </row>
    <row r="26" spans="1:20" ht="14.25" thickBot="1">
      <c r="A26" s="16"/>
      <c r="B26" s="1349"/>
      <c r="C26" s="67"/>
      <c r="D26" s="67"/>
      <c r="E26" s="67"/>
      <c r="F26" s="317" t="s">
        <v>9</v>
      </c>
      <c r="G26" s="70" t="s">
        <v>10</v>
      </c>
      <c r="H26" s="1131" t="s">
        <v>11</v>
      </c>
      <c r="I26" s="1333"/>
      <c r="J26" s="1333"/>
      <c r="K26" s="1039" t="s">
        <v>9</v>
      </c>
      <c r="L26" s="70" t="s">
        <v>10</v>
      </c>
      <c r="M26" s="1131" t="s">
        <v>11</v>
      </c>
      <c r="N26" s="1333"/>
      <c r="O26" s="1333"/>
      <c r="P26" s="1039" t="s">
        <v>9</v>
      </c>
      <c r="Q26" s="70" t="s">
        <v>10</v>
      </c>
      <c r="R26" s="72" t="s">
        <v>11</v>
      </c>
      <c r="S26" s="1333"/>
      <c r="T26" s="1333"/>
    </row>
    <row r="27" spans="1:21" ht="26.25" customHeight="1">
      <c r="A27" s="16"/>
      <c r="B27" s="830">
        <v>26</v>
      </c>
      <c r="C27" s="871" t="s">
        <v>31</v>
      </c>
      <c r="D27" s="871">
        <v>7</v>
      </c>
      <c r="E27" s="871" t="s">
        <v>32</v>
      </c>
      <c r="F27" s="827">
        <f>IF('対象者一覧表'!$G$33="","",'対象者一覧表'!$G$33)</f>
      </c>
      <c r="G27" s="820"/>
      <c r="H27" s="877">
        <f aca="true" t="shared" si="6" ref="H27:H37">IF(F27="","",ROUNDDOWN((G27*F27),0))</f>
      </c>
      <c r="I27" s="878"/>
      <c r="J27" s="1137">
        <f>IF(F27="","",MIN(H27,I27))</f>
      </c>
      <c r="K27" s="879">
        <f>IF('対象者一覧表'!$G$34="","",'対象者一覧表'!$G$34)</f>
      </c>
      <c r="L27" s="820"/>
      <c r="M27" s="877">
        <f aca="true" t="shared" si="7" ref="M27:M37">IF(K27="","",ROUNDDOWN((L27*K27),0))</f>
      </c>
      <c r="N27" s="1137"/>
      <c r="O27" s="1137">
        <f>IF(K27="","",MIN(M27,N27))</f>
      </c>
      <c r="P27" s="879">
        <f>IF('対象者一覧表'!$G$35="","",'対象者一覧表'!$G$35)</f>
      </c>
      <c r="Q27" s="820"/>
      <c r="R27" s="828">
        <f aca="true" t="shared" si="8" ref="R27:R37">IF(P27="","",ROUNDDOWN((Q27*P27),0))</f>
      </c>
      <c r="S27" s="829"/>
      <c r="T27" s="1137">
        <f>IF(P27="","",MIN(R27,S27))</f>
      </c>
      <c r="U27" s="3"/>
    </row>
    <row r="28" spans="1:21" ht="26.25" customHeight="1">
      <c r="A28" s="16"/>
      <c r="B28" s="831"/>
      <c r="C28" s="832" t="s">
        <v>31</v>
      </c>
      <c r="D28" s="832">
        <v>8</v>
      </c>
      <c r="E28" s="832" t="s">
        <v>32</v>
      </c>
      <c r="F28" s="819">
        <f>IF('対象者一覧表'!$G$33="","",'対象者一覧表'!$G$33)</f>
      </c>
      <c r="G28" s="811"/>
      <c r="H28" s="812">
        <f t="shared" si="6"/>
      </c>
      <c r="I28" s="813"/>
      <c r="J28" s="1138">
        <f aca="true" t="shared" si="9" ref="J28:J37">IF(F28="","",MIN(H28,I28))</f>
      </c>
      <c r="K28" s="814">
        <f>IF('対象者一覧表'!$G$34="","",'対象者一覧表'!$G$34)</f>
      </c>
      <c r="L28" s="811"/>
      <c r="M28" s="812">
        <f t="shared" si="7"/>
      </c>
      <c r="N28" s="1138"/>
      <c r="O28" s="1138">
        <f aca="true" t="shared" si="10" ref="O28:O37">IF(K28="","",MIN(M28,N28))</f>
      </c>
      <c r="P28" s="814">
        <f>IF('対象者一覧表'!$G$35="","",'対象者一覧表'!$G$35)</f>
      </c>
      <c r="Q28" s="811"/>
      <c r="R28" s="821">
        <f t="shared" si="8"/>
      </c>
      <c r="S28" s="823"/>
      <c r="T28" s="1138">
        <f aca="true" t="shared" si="11" ref="T28:T37">IF(P28="","",MIN(R28,S28))</f>
      </c>
      <c r="U28" s="3"/>
    </row>
    <row r="29" spans="1:21" ht="26.25" customHeight="1">
      <c r="A29" s="16"/>
      <c r="B29" s="831"/>
      <c r="C29" s="832" t="s">
        <v>31</v>
      </c>
      <c r="D29" s="832">
        <v>9</v>
      </c>
      <c r="E29" s="832" t="s">
        <v>32</v>
      </c>
      <c r="F29" s="819">
        <f>IF('対象者一覧表'!$G$33="","",'対象者一覧表'!$G$33)</f>
      </c>
      <c r="G29" s="811"/>
      <c r="H29" s="812">
        <f t="shared" si="6"/>
      </c>
      <c r="I29" s="813"/>
      <c r="J29" s="1138">
        <f t="shared" si="9"/>
      </c>
      <c r="K29" s="1142">
        <f>IF('対象者一覧表'!$G$34="","",'対象者一覧表'!$G$34)</f>
      </c>
      <c r="L29" s="811"/>
      <c r="M29" s="812">
        <f t="shared" si="7"/>
      </c>
      <c r="N29" s="1138"/>
      <c r="O29" s="1138">
        <f t="shared" si="10"/>
      </c>
      <c r="P29" s="1142">
        <f>IF('対象者一覧表'!$G$35="","",'対象者一覧表'!$G$35)</f>
      </c>
      <c r="Q29" s="811"/>
      <c r="R29" s="821">
        <f t="shared" si="8"/>
      </c>
      <c r="S29" s="823"/>
      <c r="T29" s="1138">
        <f t="shared" si="11"/>
      </c>
      <c r="U29" s="92"/>
    </row>
    <row r="30" spans="1:20" ht="26.25" customHeight="1">
      <c r="A30" s="16"/>
      <c r="B30" s="831"/>
      <c r="C30" s="832" t="s">
        <v>31</v>
      </c>
      <c r="D30" s="832">
        <v>10</v>
      </c>
      <c r="E30" s="832" t="s">
        <v>32</v>
      </c>
      <c r="F30" s="819">
        <f>IF('対象者一覧表'!$G$33="","",'対象者一覧表'!$G$33)</f>
      </c>
      <c r="G30" s="809"/>
      <c r="H30" s="812">
        <f t="shared" si="6"/>
      </c>
      <c r="I30" s="813"/>
      <c r="J30" s="1138">
        <f t="shared" si="9"/>
      </c>
      <c r="K30" s="814">
        <f>IF('対象者一覧表'!$G$34="","",'対象者一覧表'!$G$34)</f>
      </c>
      <c r="L30" s="809"/>
      <c r="M30" s="812">
        <f t="shared" si="7"/>
      </c>
      <c r="N30" s="1138"/>
      <c r="O30" s="1138">
        <f t="shared" si="10"/>
      </c>
      <c r="P30" s="814">
        <f>IF('対象者一覧表'!$G$35="","",'対象者一覧表'!$G$35)</f>
      </c>
      <c r="Q30" s="809"/>
      <c r="R30" s="821">
        <f t="shared" si="8"/>
      </c>
      <c r="S30" s="823"/>
      <c r="T30" s="1138">
        <f t="shared" si="11"/>
      </c>
    </row>
    <row r="31" spans="1:20" ht="26.25" customHeight="1">
      <c r="A31" s="16"/>
      <c r="B31" s="833"/>
      <c r="C31" s="834" t="s">
        <v>31</v>
      </c>
      <c r="D31" s="834">
        <v>11</v>
      </c>
      <c r="E31" s="832" t="s">
        <v>22</v>
      </c>
      <c r="F31" s="819">
        <f>IF('対象者一覧表'!$G$33="","",'対象者一覧表'!$G$33)</f>
      </c>
      <c r="G31" s="811"/>
      <c r="H31" s="812">
        <f t="shared" si="6"/>
      </c>
      <c r="I31" s="813"/>
      <c r="J31" s="1138">
        <f t="shared" si="9"/>
      </c>
      <c r="K31" s="1142">
        <f>IF('対象者一覧表'!$G$34="","",'対象者一覧表'!$G$34)</f>
      </c>
      <c r="L31" s="811"/>
      <c r="M31" s="812">
        <f t="shared" si="7"/>
      </c>
      <c r="N31" s="1138"/>
      <c r="O31" s="1138">
        <f t="shared" si="10"/>
      </c>
      <c r="P31" s="1142">
        <f>IF('対象者一覧表'!$G$35="","",'対象者一覧表'!$G$35)</f>
      </c>
      <c r="Q31" s="811"/>
      <c r="R31" s="821">
        <f t="shared" si="8"/>
      </c>
      <c r="S31" s="823"/>
      <c r="T31" s="1138">
        <f t="shared" si="11"/>
      </c>
    </row>
    <row r="32" spans="1:20" ht="26.25" customHeight="1">
      <c r="A32" s="16"/>
      <c r="B32" s="831"/>
      <c r="C32" s="832" t="s">
        <v>31</v>
      </c>
      <c r="D32" s="832">
        <v>12</v>
      </c>
      <c r="E32" s="832" t="s">
        <v>22</v>
      </c>
      <c r="F32" s="819">
        <f>IF('対象者一覧表'!$G$33="","",'対象者一覧表'!$G$33)</f>
      </c>
      <c r="G32" s="811"/>
      <c r="H32" s="812">
        <f t="shared" si="6"/>
      </c>
      <c r="I32" s="813"/>
      <c r="J32" s="1138">
        <f t="shared" si="9"/>
      </c>
      <c r="K32" s="814">
        <f>IF('対象者一覧表'!$G$34="","",'対象者一覧表'!$G$34)</f>
      </c>
      <c r="L32" s="811"/>
      <c r="M32" s="812">
        <f t="shared" si="7"/>
      </c>
      <c r="N32" s="1138"/>
      <c r="O32" s="1138">
        <f t="shared" si="10"/>
      </c>
      <c r="P32" s="814">
        <f>IF('対象者一覧表'!$G$35="","",'対象者一覧表'!$G$35)</f>
      </c>
      <c r="Q32" s="811"/>
      <c r="R32" s="821">
        <f t="shared" si="8"/>
      </c>
      <c r="S32" s="823"/>
      <c r="T32" s="1138">
        <f t="shared" si="11"/>
      </c>
    </row>
    <row r="33" spans="1:20" ht="26.25" customHeight="1">
      <c r="A33" s="16"/>
      <c r="B33" s="831">
        <v>27</v>
      </c>
      <c r="C33" s="832" t="s">
        <v>31</v>
      </c>
      <c r="D33" s="832">
        <v>1</v>
      </c>
      <c r="E33" s="832" t="s">
        <v>22</v>
      </c>
      <c r="F33" s="819">
        <f>IF('対象者一覧表'!$G$33="","",'対象者一覧表'!$G$33)</f>
      </c>
      <c r="G33" s="811"/>
      <c r="H33" s="812">
        <f t="shared" si="6"/>
      </c>
      <c r="I33" s="813"/>
      <c r="J33" s="1138">
        <f t="shared" si="9"/>
      </c>
      <c r="K33" s="1142">
        <f>IF('対象者一覧表'!$G$34="","",'対象者一覧表'!$G$34)</f>
      </c>
      <c r="L33" s="811"/>
      <c r="M33" s="812">
        <f t="shared" si="7"/>
      </c>
      <c r="N33" s="1138"/>
      <c r="O33" s="1138">
        <f t="shared" si="10"/>
      </c>
      <c r="P33" s="1142">
        <f>IF('対象者一覧表'!$G$35="","",'対象者一覧表'!$G$35)</f>
      </c>
      <c r="Q33" s="811"/>
      <c r="R33" s="821">
        <f t="shared" si="8"/>
      </c>
      <c r="S33" s="823"/>
      <c r="T33" s="1138">
        <f t="shared" si="11"/>
      </c>
    </row>
    <row r="34" spans="1:20" ht="26.25" customHeight="1">
      <c r="A34" s="16"/>
      <c r="B34" s="831"/>
      <c r="C34" s="832" t="s">
        <v>31</v>
      </c>
      <c r="D34" s="832">
        <v>2</v>
      </c>
      <c r="E34" s="832" t="s">
        <v>22</v>
      </c>
      <c r="F34" s="819">
        <f>IF('対象者一覧表'!$G$33="","",'対象者一覧表'!$G$33)</f>
      </c>
      <c r="G34" s="811"/>
      <c r="H34" s="812">
        <f t="shared" si="6"/>
      </c>
      <c r="I34" s="813"/>
      <c r="J34" s="1138">
        <f t="shared" si="9"/>
      </c>
      <c r="K34" s="814">
        <f>IF('対象者一覧表'!$G$34="","",'対象者一覧表'!$G$34)</f>
      </c>
      <c r="L34" s="811"/>
      <c r="M34" s="812">
        <f t="shared" si="7"/>
      </c>
      <c r="N34" s="1138"/>
      <c r="O34" s="1138">
        <f t="shared" si="10"/>
      </c>
      <c r="P34" s="814">
        <f>IF('対象者一覧表'!$G$35="","",'対象者一覧表'!$G$35)</f>
      </c>
      <c r="Q34" s="811"/>
      <c r="R34" s="821">
        <f t="shared" si="8"/>
      </c>
      <c r="S34" s="823"/>
      <c r="T34" s="1138">
        <f t="shared" si="11"/>
      </c>
    </row>
    <row r="35" spans="1:20" ht="26.25" customHeight="1">
      <c r="A35" s="16"/>
      <c r="B35" s="831"/>
      <c r="C35" s="832" t="s">
        <v>31</v>
      </c>
      <c r="D35" s="832">
        <v>3</v>
      </c>
      <c r="E35" s="832" t="s">
        <v>387</v>
      </c>
      <c r="F35" s="819">
        <f>IF('対象者一覧表'!$G$33="","",'対象者一覧表'!$G$33)</f>
      </c>
      <c r="G35" s="811"/>
      <c r="H35" s="812">
        <f t="shared" si="6"/>
      </c>
      <c r="I35" s="813"/>
      <c r="J35" s="1138">
        <f t="shared" si="9"/>
      </c>
      <c r="K35" s="1142">
        <f>IF('対象者一覧表'!$G$34="","",'対象者一覧表'!$G$34)</f>
      </c>
      <c r="L35" s="811"/>
      <c r="M35" s="812">
        <f t="shared" si="7"/>
      </c>
      <c r="N35" s="1138"/>
      <c r="O35" s="1138">
        <f t="shared" si="10"/>
      </c>
      <c r="P35" s="1142">
        <f>IF('対象者一覧表'!$G$35="","",'対象者一覧表'!$G$35)</f>
      </c>
      <c r="Q35" s="811"/>
      <c r="R35" s="821">
        <f t="shared" si="8"/>
      </c>
      <c r="S35" s="823"/>
      <c r="T35" s="1138">
        <f t="shared" si="11"/>
      </c>
    </row>
    <row r="36" spans="1:20" ht="26.25" customHeight="1">
      <c r="A36" s="16"/>
      <c r="B36" s="831"/>
      <c r="C36" s="832" t="s">
        <v>31</v>
      </c>
      <c r="D36" s="832">
        <v>4</v>
      </c>
      <c r="E36" s="832" t="s">
        <v>387</v>
      </c>
      <c r="F36" s="819">
        <f>IF('対象者一覧表'!$G$33="","",'対象者一覧表'!$G$33)</f>
      </c>
      <c r="G36" s="809"/>
      <c r="H36" s="812">
        <f t="shared" si="6"/>
      </c>
      <c r="I36" s="813"/>
      <c r="J36" s="1138">
        <f t="shared" si="9"/>
      </c>
      <c r="K36" s="814">
        <f>IF('対象者一覧表'!$G$34="","",'対象者一覧表'!$G$34)</f>
      </c>
      <c r="L36" s="809"/>
      <c r="M36" s="812">
        <f t="shared" si="7"/>
      </c>
      <c r="N36" s="1138"/>
      <c r="O36" s="1138">
        <f t="shared" si="10"/>
      </c>
      <c r="P36" s="814">
        <f>IF('対象者一覧表'!$G$35="","",'対象者一覧表'!$G$35)</f>
      </c>
      <c r="Q36" s="809"/>
      <c r="R36" s="821">
        <f t="shared" si="8"/>
      </c>
      <c r="S36" s="823"/>
      <c r="T36" s="1138">
        <f t="shared" si="11"/>
      </c>
    </row>
    <row r="37" spans="1:20" ht="26.25" customHeight="1" thickBot="1">
      <c r="A37" s="16"/>
      <c r="B37" s="835"/>
      <c r="C37" s="836" t="s">
        <v>31</v>
      </c>
      <c r="D37" s="836">
        <v>5</v>
      </c>
      <c r="E37" s="836" t="s">
        <v>22</v>
      </c>
      <c r="F37" s="876">
        <f>IF('対象者一覧表'!$G$33="","",'対象者一覧表'!$G$33)</f>
      </c>
      <c r="G37" s="873"/>
      <c r="H37" s="880">
        <f t="shared" si="6"/>
      </c>
      <c r="I37" s="881"/>
      <c r="J37" s="1139">
        <f t="shared" si="9"/>
      </c>
      <c r="K37" s="1143">
        <f>IF('対象者一覧表'!$G$34="","",'対象者一覧表'!$G$34)</f>
      </c>
      <c r="L37" s="873"/>
      <c r="M37" s="880">
        <f t="shared" si="7"/>
      </c>
      <c r="N37" s="1139"/>
      <c r="O37" s="1139">
        <f t="shared" si="10"/>
      </c>
      <c r="P37" s="1143">
        <f>IF('対象者一覧表'!$G$35="","",'対象者一覧表'!$G$35)</f>
      </c>
      <c r="Q37" s="873"/>
      <c r="R37" s="874">
        <f t="shared" si="8"/>
      </c>
      <c r="S37" s="875"/>
      <c r="T37" s="1139">
        <f t="shared" si="11"/>
      </c>
    </row>
    <row r="38" spans="1:20" ht="26.25" customHeight="1" thickBot="1">
      <c r="A38" s="16"/>
      <c r="B38" s="840"/>
      <c r="C38" s="841"/>
      <c r="D38" s="841"/>
      <c r="E38" s="842" t="s">
        <v>1</v>
      </c>
      <c r="F38" s="815"/>
      <c r="G38" s="816">
        <f>SUM(G27:G37)</f>
        <v>0</v>
      </c>
      <c r="H38" s="1135">
        <f>SUM(H27:H37)</f>
        <v>0</v>
      </c>
      <c r="I38" s="1144">
        <f>SUM(I27:I37)</f>
        <v>0</v>
      </c>
      <c r="J38" s="1136">
        <f>SUM(J27:J37)</f>
        <v>0</v>
      </c>
      <c r="K38" s="1040"/>
      <c r="L38" s="816">
        <f>SUM(L27:L37)</f>
        <v>0</v>
      </c>
      <c r="M38" s="1135">
        <f>SUM(M27:M37)</f>
        <v>0</v>
      </c>
      <c r="N38" s="1136">
        <f>SUM(N27:N37)</f>
        <v>0</v>
      </c>
      <c r="O38" s="1136">
        <f>SUM(O27:O37)</f>
        <v>0</v>
      </c>
      <c r="P38" s="1040"/>
      <c r="Q38" s="816">
        <f>SUM(Q27:Q37)</f>
        <v>0</v>
      </c>
      <c r="R38" s="817">
        <f>SUM(R27:R37)</f>
        <v>0</v>
      </c>
      <c r="S38" s="817">
        <f>SUM(S27:S37)</f>
        <v>0</v>
      </c>
      <c r="T38" s="817">
        <f>SUM(T27:T37)</f>
        <v>0</v>
      </c>
    </row>
    <row r="39" spans="1:20" ht="14.25" thickBot="1">
      <c r="A39" s="16"/>
      <c r="B39" s="74"/>
      <c r="C39" s="74"/>
      <c r="D39" s="74"/>
      <c r="E39" s="74"/>
      <c r="F39" s="337"/>
      <c r="G39" s="337"/>
      <c r="H39" s="337"/>
      <c r="I39" s="337"/>
      <c r="J39" s="337"/>
      <c r="K39" s="337"/>
      <c r="L39" s="337"/>
      <c r="M39" s="337"/>
      <c r="N39" s="337"/>
      <c r="O39" s="337"/>
      <c r="P39" s="337"/>
      <c r="Q39" s="337"/>
      <c r="R39" s="337"/>
      <c r="S39" s="337"/>
      <c r="T39" s="337"/>
    </row>
    <row r="40" spans="1:20" ht="25.5" customHeight="1" thickBot="1">
      <c r="A40" s="16"/>
      <c r="B40" s="1324" t="s">
        <v>398</v>
      </c>
      <c r="C40" s="1325"/>
      <c r="D40" s="1325"/>
      <c r="E40" s="1325"/>
      <c r="F40" s="824"/>
      <c r="G40" s="825">
        <f>SUM(J21,O21,T21,J38,O38,T38)</f>
        <v>0</v>
      </c>
      <c r="H40" s="826" t="s">
        <v>12</v>
      </c>
      <c r="I40" s="720"/>
      <c r="J40" s="720"/>
      <c r="K40" s="337"/>
      <c r="L40" s="337"/>
      <c r="M40" s="337"/>
      <c r="N40" s="337"/>
      <c r="O40" s="337"/>
      <c r="P40" s="337"/>
      <c r="Q40" s="337"/>
      <c r="R40" s="337"/>
      <c r="S40" s="337"/>
      <c r="T40" s="337"/>
    </row>
    <row r="41" spans="1:20" ht="25.5" customHeight="1" thickBot="1">
      <c r="A41" s="16"/>
      <c r="B41" s="1324" t="s">
        <v>399</v>
      </c>
      <c r="C41" s="1325"/>
      <c r="D41" s="1325"/>
      <c r="E41" s="1325"/>
      <c r="F41" s="824"/>
      <c r="G41" s="825">
        <f>G40+'様式第６の別紙２　直接人件費支出明細書(1)'!G40</f>
        <v>4408458</v>
      </c>
      <c r="H41" s="826" t="s">
        <v>12</v>
      </c>
      <c r="I41" s="720"/>
      <c r="J41" s="720"/>
      <c r="K41" s="337"/>
      <c r="L41" s="337"/>
      <c r="M41" s="337"/>
      <c r="N41" s="337"/>
      <c r="O41" s="337"/>
      <c r="P41" s="337"/>
      <c r="Q41" s="337"/>
      <c r="R41" s="337"/>
      <c r="S41" s="337"/>
      <c r="T41" s="337"/>
    </row>
    <row r="42" spans="1:20" ht="13.5">
      <c r="A42" s="16"/>
      <c r="B42" s="774"/>
      <c r="C42" s="774"/>
      <c r="D42" s="774"/>
      <c r="E42" s="774"/>
      <c r="F42" s="76"/>
      <c r="G42" s="76"/>
      <c r="H42" s="77"/>
      <c r="I42" s="77"/>
      <c r="J42" s="77"/>
      <c r="K42" s="16"/>
      <c r="L42" s="16"/>
      <c r="M42" s="16"/>
      <c r="N42" s="16"/>
      <c r="O42" s="16"/>
      <c r="P42" s="16"/>
      <c r="Q42" s="16"/>
      <c r="R42" s="16"/>
      <c r="S42" s="16"/>
      <c r="T42" s="16"/>
    </row>
    <row r="43" ht="13.5">
      <c r="B43" s="602" t="s">
        <v>1030</v>
      </c>
    </row>
    <row r="44" spans="2:12" ht="13.5">
      <c r="B44" s="602" t="s">
        <v>370</v>
      </c>
      <c r="L44" s="685"/>
    </row>
    <row r="45" spans="2:12" ht="13.5">
      <c r="B45" s="602" t="s">
        <v>367</v>
      </c>
      <c r="C45" s="602" t="s">
        <v>368</v>
      </c>
      <c r="L45" s="685"/>
    </row>
    <row r="46" spans="2:20" ht="13.5">
      <c r="B46" s="602" t="s">
        <v>977</v>
      </c>
      <c r="C46" s="11"/>
      <c r="D46" s="11"/>
      <c r="E46" s="11"/>
      <c r="F46" s="11"/>
      <c r="G46" s="11"/>
      <c r="H46" s="11"/>
      <c r="I46" s="11"/>
      <c r="J46" s="11"/>
      <c r="K46" s="719"/>
      <c r="L46" s="11"/>
      <c r="M46" s="11"/>
      <c r="N46" s="11"/>
      <c r="O46" s="11"/>
      <c r="P46" s="11"/>
      <c r="Q46" s="11"/>
      <c r="R46" s="11"/>
      <c r="S46" s="11"/>
      <c r="T46" s="11"/>
    </row>
    <row r="47" spans="2:12" ht="13.5">
      <c r="B47" s="602" t="s">
        <v>369</v>
      </c>
      <c r="L47" s="685"/>
    </row>
  </sheetData>
  <sheetProtection sheet="1"/>
  <mergeCells count="26">
    <mergeCell ref="K6:O6"/>
    <mergeCell ref="T7:T9"/>
    <mergeCell ref="T24:T26"/>
    <mergeCell ref="P6:T6"/>
    <mergeCell ref="F23:J23"/>
    <mergeCell ref="K23:O23"/>
    <mergeCell ref="N7:N9"/>
    <mergeCell ref="S7:S9"/>
    <mergeCell ref="J7:J9"/>
    <mergeCell ref="O7:O9"/>
    <mergeCell ref="B41:E41"/>
    <mergeCell ref="A1:E1"/>
    <mergeCell ref="C2:F2"/>
    <mergeCell ref="B6:E6"/>
    <mergeCell ref="B24:B26"/>
    <mergeCell ref="I24:I26"/>
    <mergeCell ref="B40:E40"/>
    <mergeCell ref="B7:B9"/>
    <mergeCell ref="I7:I9"/>
    <mergeCell ref="F6:J6"/>
    <mergeCell ref="B23:E23"/>
    <mergeCell ref="P23:T23"/>
    <mergeCell ref="O24:O26"/>
    <mergeCell ref="N24:N26"/>
    <mergeCell ref="S24:S26"/>
    <mergeCell ref="J24:J26"/>
  </mergeCells>
  <dataValidations count="1">
    <dataValidation allowBlank="1" showInputMessage="1" showErrorMessage="1" imeMode="halfAlpha" sqref="U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7"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50"/>
  <sheetViews>
    <sheetView showGridLines="0" view="pageBreakPreview" zoomScale="54" zoomScaleNormal="85" zoomScaleSheetLayoutView="54" zoomScalePageLayoutView="66" workbookViewId="0" topLeftCell="A1">
      <selection activeCell="A1" sqref="A1"/>
    </sheetView>
  </sheetViews>
  <sheetFormatPr defaultColWidth="9.140625" defaultRowHeight="15"/>
  <cols>
    <col min="1" max="1" width="4.421875" style="111" customWidth="1"/>
    <col min="2" max="2" width="9.421875" style="111" customWidth="1"/>
    <col min="3" max="3" width="25.57421875" style="111" customWidth="1"/>
    <col min="4" max="4" width="19.28125" style="111" customWidth="1"/>
    <col min="5" max="5" width="21.28125" style="111" customWidth="1"/>
    <col min="6" max="6" width="27.57421875" style="111" bestFit="1" customWidth="1"/>
    <col min="7" max="7" width="9.00390625" style="111" customWidth="1"/>
    <col min="8" max="8" width="21.7109375" style="111" customWidth="1"/>
    <col min="9" max="9" width="22.57421875" style="111" bestFit="1" customWidth="1"/>
    <col min="10" max="10" width="17.28125" style="111" customWidth="1"/>
    <col min="11" max="11" width="19.57421875" style="111" customWidth="1"/>
    <col min="12" max="12" width="18.421875" style="111" customWidth="1"/>
    <col min="13" max="13" width="11.57421875" style="111" customWidth="1"/>
    <col min="14" max="15" width="4.00390625" style="111" customWidth="1"/>
    <col min="16" max="16" width="10.421875" style="111" customWidth="1"/>
    <col min="17" max="17" width="25.00390625" style="690" customWidth="1"/>
    <col min="18" max="18" width="19.57421875" style="603" customWidth="1"/>
    <col min="19" max="19" width="19.28125" style="111" customWidth="1"/>
    <col min="20" max="20" width="25.00390625" style="111" customWidth="1"/>
    <col min="21" max="21" width="27.28125" style="111" customWidth="1"/>
    <col min="22" max="22" width="29.7109375" style="111" customWidth="1"/>
    <col min="23" max="23" width="19.00390625" style="111" customWidth="1"/>
    <col min="24" max="24" width="12.421875" style="111" customWidth="1"/>
    <col min="25" max="25" width="22.28125" style="111" customWidth="1"/>
    <col min="26" max="26" width="16.140625" style="111" bestFit="1" customWidth="1"/>
    <col min="27" max="27" width="16.7109375" style="111" customWidth="1"/>
    <col min="28" max="28" width="6.8515625" style="111" customWidth="1"/>
    <col min="29" max="29" width="12.8515625" style="111" customWidth="1"/>
    <col min="30" max="30" width="8.421875" style="111" customWidth="1"/>
    <col min="31" max="31" width="18.421875" style="111" customWidth="1"/>
    <col min="32" max="32" width="8.7109375" style="111" customWidth="1"/>
    <col min="33" max="33" width="16.8515625" style="111" customWidth="1"/>
    <col min="34" max="34" width="9.140625" style="111" bestFit="1" customWidth="1"/>
    <col min="35" max="16384" width="9.00390625" style="111" customWidth="1"/>
  </cols>
  <sheetData>
    <row r="1" spans="2:34" ht="39.75" customHeight="1">
      <c r="B1" s="684" t="s">
        <v>341</v>
      </c>
      <c r="C1" s="683"/>
      <c r="D1" s="683"/>
      <c r="E1" s="683"/>
      <c r="F1" s="683"/>
      <c r="G1" s="683"/>
      <c r="H1" s="683"/>
      <c r="I1" s="683"/>
      <c r="J1" s="683"/>
      <c r="K1" s="683"/>
      <c r="L1" s="683"/>
      <c r="M1" s="683"/>
      <c r="N1" s="683"/>
      <c r="P1" s="617"/>
      <c r="Q1" s="961" t="s">
        <v>236</v>
      </c>
      <c r="R1" s="606" t="s">
        <v>291</v>
      </c>
      <c r="S1" s="607" t="s">
        <v>321</v>
      </c>
      <c r="T1" s="605" t="s">
        <v>315</v>
      </c>
      <c r="U1" s="608" t="s">
        <v>307</v>
      </c>
      <c r="V1" s="607" t="s">
        <v>321</v>
      </c>
      <c r="W1" s="609" t="s">
        <v>334</v>
      </c>
      <c r="X1" s="609" t="s">
        <v>316</v>
      </c>
      <c r="Y1" s="606" t="s">
        <v>310</v>
      </c>
      <c r="Z1" s="607" t="s">
        <v>320</v>
      </c>
      <c r="AA1" s="610" t="s">
        <v>67</v>
      </c>
      <c r="AB1" s="611" t="s">
        <v>236</v>
      </c>
      <c r="AC1" s="611" t="s">
        <v>64</v>
      </c>
      <c r="AD1" s="611" t="s">
        <v>236</v>
      </c>
      <c r="AE1" s="611" t="s">
        <v>326</v>
      </c>
      <c r="AF1" s="611" t="s">
        <v>236</v>
      </c>
      <c r="AG1" s="611" t="s">
        <v>327</v>
      </c>
      <c r="AH1" s="611" t="s">
        <v>236</v>
      </c>
    </row>
    <row r="2" spans="2:34" ht="25.5">
      <c r="B2" s="981" t="s">
        <v>340</v>
      </c>
      <c r="C2" s="982"/>
      <c r="D2" s="983"/>
      <c r="E2" s="983"/>
      <c r="F2" s="984"/>
      <c r="G2" s="984" t="s">
        <v>430</v>
      </c>
      <c r="H2" s="984"/>
      <c r="I2" s="984"/>
      <c r="J2" s="984"/>
      <c r="K2" s="984"/>
      <c r="L2" s="905" t="s">
        <v>285</v>
      </c>
      <c r="M2" s="683"/>
      <c r="P2" s="617" t="s">
        <v>323</v>
      </c>
      <c r="Q2" s="962" t="str">
        <f>IF(R2-S2&gt;=0,"○","×")</f>
        <v>○</v>
      </c>
      <c r="R2" s="613">
        <v>15000000</v>
      </c>
      <c r="S2" s="614">
        <f>J28</f>
        <v>10000000</v>
      </c>
      <c r="T2" s="612" t="str">
        <f>IF($H$18&gt;=500000,"○","×")</f>
        <v>○</v>
      </c>
      <c r="U2" s="956" t="s">
        <v>317</v>
      </c>
      <c r="V2" s="614">
        <f>$H$18</f>
        <v>11000000</v>
      </c>
      <c r="W2" s="615">
        <f>$H$28-$H$18</f>
        <v>6308458</v>
      </c>
      <c r="X2" s="616" t="str">
        <f>IF($J$28-$J$18&lt;=5000000,"○","×")</f>
        <v>○</v>
      </c>
      <c r="Y2" s="957" t="s">
        <v>311</v>
      </c>
      <c r="Z2" s="614">
        <f>$J$28-$J$18</f>
        <v>2666667</v>
      </c>
      <c r="AA2" s="618">
        <f>$H$21</f>
        <v>500000</v>
      </c>
      <c r="AB2" s="619" t="str">
        <f>IF($H$28/2-$H$21&gt;=0,"○","×")</f>
        <v>○</v>
      </c>
      <c r="AC2" s="620">
        <f>$H$22</f>
        <v>600000</v>
      </c>
      <c r="AD2" s="619" t="str">
        <f>IF($H$28/2-$H$22&gt;=0,"○","×")</f>
        <v>○</v>
      </c>
      <c r="AE2" s="620">
        <f>AA2+AC2</f>
        <v>1100000</v>
      </c>
      <c r="AF2" s="619" t="str">
        <f>IF($H$28/2-($H$21+$H$22)&gt;=0,"○","×")</f>
        <v>○</v>
      </c>
      <c r="AG2" s="620">
        <f>$H$23</f>
        <v>0</v>
      </c>
      <c r="AH2" s="619" t="str">
        <f>IF($H$28/3-$H$23&gt;=0,"○","×")</f>
        <v>○</v>
      </c>
    </row>
    <row r="3" spans="2:34" ht="24">
      <c r="B3" s="1255" t="s">
        <v>236</v>
      </c>
      <c r="C3" s="933"/>
      <c r="D3" s="990"/>
      <c r="E3" s="804"/>
      <c r="G3" s="1004" t="s">
        <v>236</v>
      </c>
      <c r="H3" s="1252" t="s">
        <v>330</v>
      </c>
      <c r="I3" s="1253"/>
      <c r="J3" s="1253"/>
      <c r="K3" s="1254"/>
      <c r="L3" s="905" t="s">
        <v>295</v>
      </c>
      <c r="P3" s="617" t="s">
        <v>305</v>
      </c>
      <c r="Q3" s="962" t="str">
        <f>IF(R3-S3&gt;=0,"○","×")</f>
        <v>○</v>
      </c>
      <c r="R3" s="613">
        <v>10000000</v>
      </c>
      <c r="S3" s="614">
        <f>J28</f>
        <v>10000000</v>
      </c>
      <c r="T3" s="612" t="str">
        <f>IF($H$18&gt;=500000,"○","×")</f>
        <v>○</v>
      </c>
      <c r="U3" s="956" t="s">
        <v>317</v>
      </c>
      <c r="V3" s="614">
        <f>$H$18</f>
        <v>11000000</v>
      </c>
      <c r="W3" s="615">
        <f>$H$28-$H$18</f>
        <v>6308458</v>
      </c>
      <c r="X3" s="616" t="str">
        <f>IF($J$28-$J$18&lt;=5000000,"○","×")</f>
        <v>○</v>
      </c>
      <c r="Y3" s="958" t="s">
        <v>311</v>
      </c>
      <c r="Z3" s="614">
        <f>$J$28-$J$18</f>
        <v>2666667</v>
      </c>
      <c r="AA3" s="618">
        <f>$H$21</f>
        <v>500000</v>
      </c>
      <c r="AB3" s="619" t="str">
        <f>IF($H$28/2-$H$21&gt;=0,"○","×")</f>
        <v>○</v>
      </c>
      <c r="AC3" s="620">
        <f>$H$22</f>
        <v>600000</v>
      </c>
      <c r="AD3" s="619" t="str">
        <f>IF($H$28/2-$H$22&gt;=0,"○","×")</f>
        <v>○</v>
      </c>
      <c r="AE3" s="620">
        <f>AA3+AC3</f>
        <v>1100000</v>
      </c>
      <c r="AF3" s="619" t="str">
        <f>IF($H$28/2-($H$21+$H$22)&gt;=0,"○","×")</f>
        <v>○</v>
      </c>
      <c r="AG3" s="620">
        <f>$H$23</f>
        <v>0</v>
      </c>
      <c r="AH3" s="619" t="str">
        <f>IF($H$28/3-$H$23&gt;=0,"○","×")</f>
        <v>○</v>
      </c>
    </row>
    <row r="4" spans="2:34" ht="35.25" thickBot="1">
      <c r="B4" s="1256"/>
      <c r="C4" s="590" t="s">
        <v>293</v>
      </c>
      <c r="D4" s="968" t="str">
        <f>IF(OR('使い方'!$E$14="○",'使い方'!$E$15="○"),"成長分野型",IF(OR('使い方'!$E$18="○",'使い方'!$E$19="○"),"一般型","小規模事業者型"))</f>
        <v>一般型</v>
      </c>
      <c r="E4" s="909"/>
      <c r="F4" s="603"/>
      <c r="G4" s="949"/>
      <c r="H4" s="590" t="s">
        <v>329</v>
      </c>
      <c r="I4" s="122"/>
      <c r="J4" s="122"/>
      <c r="K4" s="703"/>
      <c r="L4" s="959"/>
      <c r="M4" s="959"/>
      <c r="N4" s="959"/>
      <c r="O4" s="959"/>
      <c r="P4" s="617" t="s">
        <v>306</v>
      </c>
      <c r="Q4" s="963" t="str">
        <f>IF(R4-S4&gt;=0,"○","×")</f>
        <v>×</v>
      </c>
      <c r="R4" s="622">
        <v>7000000</v>
      </c>
      <c r="S4" s="623">
        <f>J28</f>
        <v>10000000</v>
      </c>
      <c r="T4" s="621" t="str">
        <f>IF($H$18&lt;500000,"○","×")</f>
        <v>×</v>
      </c>
      <c r="U4" s="956" t="s">
        <v>318</v>
      </c>
      <c r="V4" s="623">
        <f>$H$18</f>
        <v>11000000</v>
      </c>
      <c r="W4" s="624">
        <f>E7</f>
        <v>0</v>
      </c>
      <c r="X4" s="625" t="s">
        <v>314</v>
      </c>
      <c r="Y4" s="626" t="s">
        <v>314</v>
      </c>
      <c r="Z4" s="627" t="s">
        <v>322</v>
      </c>
      <c r="AA4" s="618">
        <f>$H$21</f>
        <v>500000</v>
      </c>
      <c r="AB4" s="619" t="str">
        <f>IF($H$28/2-$H$21&gt;=0,"○","×")</f>
        <v>○</v>
      </c>
      <c r="AC4" s="620">
        <f>$H$22</f>
        <v>600000</v>
      </c>
      <c r="AD4" s="619" t="str">
        <f>IF($H$28/2-$H$22&gt;=0,"○","×")</f>
        <v>○</v>
      </c>
      <c r="AE4" s="620">
        <f>AA4+AC4</f>
        <v>1100000</v>
      </c>
      <c r="AF4" s="619" t="str">
        <f>IF($H$28/2-($H$21+$H$22)&gt;=0,"○","×")</f>
        <v>○</v>
      </c>
      <c r="AG4" s="620">
        <f>$H$23</f>
        <v>0</v>
      </c>
      <c r="AH4" s="619" t="str">
        <f>IF($H$28/3-$H$23&gt;=0,"○","×")</f>
        <v>○</v>
      </c>
    </row>
    <row r="5" spans="2:19" ht="23.25">
      <c r="B5" s="991"/>
      <c r="C5" s="934"/>
      <c r="D5" s="928"/>
      <c r="E5" s="992"/>
      <c r="F5" s="708"/>
      <c r="G5" s="960" t="str">
        <f>VLOOKUP($D$4,$P$2:$AH$4,13,0)</f>
        <v>○</v>
      </c>
      <c r="H5" s="590"/>
      <c r="I5" s="931">
        <f>$AA$2</f>
        <v>500000</v>
      </c>
      <c r="J5" s="693"/>
      <c r="K5" s="706"/>
      <c r="L5" s="695"/>
      <c r="M5" s="122"/>
      <c r="P5" s="690"/>
      <c r="Q5" s="111"/>
      <c r="R5" s="111"/>
      <c r="S5" s="628" t="s">
        <v>312</v>
      </c>
    </row>
    <row r="6" spans="2:34" ht="23.25">
      <c r="B6" s="930" t="str">
        <f>VLOOKUP($D$4,$P$2:$AH$4,2,0)</f>
        <v>○</v>
      </c>
      <c r="C6" s="967" t="s">
        <v>291</v>
      </c>
      <c r="D6" s="693"/>
      <c r="E6" s="953">
        <f>ABS(IF(OR('使い方'!$E$14="○",'使い方'!$E$15="○"),"15,000,000",IF(OR('使い方'!$E$18="○",'使い方'!$E$19="○"),"10,000,000","7,000,000")))</f>
        <v>10000000</v>
      </c>
      <c r="F6" s="954"/>
      <c r="G6" s="951"/>
      <c r="H6" s="933" t="s">
        <v>332</v>
      </c>
      <c r="I6" s="928"/>
      <c r="J6" s="935"/>
      <c r="K6" s="929"/>
      <c r="P6" s="690">
        <v>1</v>
      </c>
      <c r="Q6" s="111">
        <v>2</v>
      </c>
      <c r="R6" s="690">
        <v>3</v>
      </c>
      <c r="S6" s="111">
        <v>4</v>
      </c>
      <c r="T6" s="690">
        <v>5</v>
      </c>
      <c r="U6" s="111">
        <v>6</v>
      </c>
      <c r="V6" s="690">
        <v>7</v>
      </c>
      <c r="W6" s="111">
        <v>8</v>
      </c>
      <c r="X6" s="690">
        <v>9</v>
      </c>
      <c r="Y6" s="111">
        <v>10</v>
      </c>
      <c r="Z6" s="690">
        <v>11</v>
      </c>
      <c r="AA6" s="111">
        <v>12</v>
      </c>
      <c r="AB6" s="690">
        <v>13</v>
      </c>
      <c r="AC6" s="111">
        <v>14</v>
      </c>
      <c r="AD6" s="690">
        <v>15</v>
      </c>
      <c r="AE6" s="111">
        <v>16</v>
      </c>
      <c r="AF6" s="690">
        <v>17</v>
      </c>
      <c r="AG6" s="111">
        <v>18</v>
      </c>
      <c r="AH6" s="690">
        <v>19</v>
      </c>
    </row>
    <row r="7" spans="2:18" ht="23.25">
      <c r="B7" s="991"/>
      <c r="C7" s="932" t="s">
        <v>308</v>
      </c>
      <c r="D7" s="122"/>
      <c r="E7" s="993"/>
      <c r="F7" s="955"/>
      <c r="G7" s="960" t="str">
        <f>VLOOKUP($D$4,$P$2:$AH$4,15,0)</f>
        <v>○</v>
      </c>
      <c r="H7" s="693"/>
      <c r="I7" s="931">
        <f>$AC$3</f>
        <v>600000</v>
      </c>
      <c r="J7" s="693"/>
      <c r="K7" s="706"/>
      <c r="P7" s="690"/>
      <c r="Q7" s="111"/>
      <c r="R7" s="111"/>
    </row>
    <row r="8" spans="2:18" ht="36.75" customHeight="1">
      <c r="B8" s="930" t="str">
        <f>VLOOKUP($D$4,$P$2:$AH$4,5,0)</f>
        <v>○</v>
      </c>
      <c r="C8" s="1235" t="str">
        <f>VLOOKUP($D$4,$P$2:$AH$4,6,0)</f>
        <v>機械装置費で補助対象経費にして単価５０万円以上の設備投資が必要</v>
      </c>
      <c r="D8" s="1236"/>
      <c r="E8" s="952">
        <f>VLOOKUP($D$4,$P$2:$AH$4,7,0)</f>
        <v>11000000</v>
      </c>
      <c r="F8" s="708"/>
      <c r="G8" s="949"/>
      <c r="H8" s="933" t="s">
        <v>328</v>
      </c>
      <c r="I8" s="933"/>
      <c r="J8" s="928"/>
      <c r="K8" s="929"/>
      <c r="P8" s="690"/>
      <c r="Q8" s="111"/>
      <c r="R8" s="111"/>
    </row>
    <row r="9" spans="2:18" ht="36.75" customHeight="1">
      <c r="B9" s="994"/>
      <c r="C9" s="934" t="s">
        <v>309</v>
      </c>
      <c r="D9" s="928"/>
      <c r="E9" s="995"/>
      <c r="F9" s="680"/>
      <c r="G9" s="960" t="str">
        <f>VLOOKUP($D$4,$P$2:$AH$4,17,0)</f>
        <v>○</v>
      </c>
      <c r="H9" s="693"/>
      <c r="I9" s="931">
        <f>$AE$2</f>
        <v>1100000</v>
      </c>
      <c r="J9" s="693"/>
      <c r="K9" s="706"/>
      <c r="P9" s="690"/>
      <c r="Q9" s="111"/>
      <c r="R9" s="111"/>
    </row>
    <row r="10" spans="2:18" ht="52.5" customHeight="1">
      <c r="B10" s="964" t="str">
        <f>VLOOKUP($D$4,$P$2:$AH$4,9,0)</f>
        <v>○</v>
      </c>
      <c r="C10" s="1235" t="str">
        <f>VLOOKUP($D$4,$P$2:$AH$4,10,0)</f>
        <v>機械装置費以外の経費の補助金交付申請額は５００万円以下</v>
      </c>
      <c r="D10" s="1236"/>
      <c r="E10" s="950">
        <f>VLOOKUP($D$4,$P$2:$AH$4,11,0)</f>
        <v>2666667</v>
      </c>
      <c r="G10" s="949"/>
      <c r="H10" s="590" t="s">
        <v>331</v>
      </c>
      <c r="I10" s="122"/>
      <c r="J10" s="122"/>
      <c r="K10" s="703"/>
      <c r="P10" s="690"/>
      <c r="Q10" s="111"/>
      <c r="R10" s="111"/>
    </row>
    <row r="11" spans="2:18" ht="38.25" customHeight="1">
      <c r="B11" s="679"/>
      <c r="D11" s="603"/>
      <c r="G11" s="960" t="str">
        <f>VLOOKUP($D$4,$P$2:$AH$4,19,0)</f>
        <v>○</v>
      </c>
      <c r="H11" s="693"/>
      <c r="I11" s="931">
        <f>$AG$2</f>
        <v>0</v>
      </c>
      <c r="J11" s="693"/>
      <c r="K11" s="706"/>
      <c r="N11" s="632" t="s">
        <v>0</v>
      </c>
      <c r="P11" s="690"/>
      <c r="Q11" s="111"/>
      <c r="R11" s="111"/>
    </row>
    <row r="12" spans="2:18" ht="21" hidden="1">
      <c r="B12" s="679"/>
      <c r="D12" s="603"/>
      <c r="G12" s="681"/>
      <c r="H12" s="630"/>
      <c r="I12" s="630"/>
      <c r="J12" s="630"/>
      <c r="K12" s="630"/>
      <c r="L12" s="630"/>
      <c r="P12" s="690"/>
      <c r="Q12" s="111"/>
      <c r="R12" s="111"/>
    </row>
    <row r="13" spans="2:18" ht="45" customHeight="1" thickBot="1">
      <c r="B13" s="682"/>
      <c r="C13" s="908" t="s">
        <v>270</v>
      </c>
      <c r="D13" s="908"/>
      <c r="H13" s="631" t="s">
        <v>268</v>
      </c>
      <c r="I13" s="1244" t="str">
        <f>'使い方'!E6</f>
        <v>Ｂ金属株式会社</v>
      </c>
      <c r="J13" s="1244"/>
      <c r="K13" s="111" t="s">
        <v>448</v>
      </c>
      <c r="L13" s="111" t="s">
        <v>343</v>
      </c>
      <c r="P13" s="690"/>
      <c r="Q13" s="111"/>
      <c r="R13" s="111"/>
    </row>
    <row r="14" spans="2:22" ht="38.25" customHeight="1" hidden="1" thickBot="1">
      <c r="B14" s="679"/>
      <c r="C14" s="1266"/>
      <c r="D14" s="1266"/>
      <c r="E14" s="1266"/>
      <c r="F14" s="947"/>
      <c r="G14" s="948"/>
      <c r="H14" s="1249"/>
      <c r="I14" s="1249"/>
      <c r="J14" s="1249"/>
      <c r="K14" s="910"/>
      <c r="L14" s="122"/>
      <c r="M14" s="910"/>
      <c r="N14" s="122"/>
      <c r="P14" s="987"/>
      <c r="Q14" s="988"/>
      <c r="R14" s="596"/>
      <c r="S14" s="987"/>
      <c r="T14" s="596"/>
      <c r="U14" s="596"/>
      <c r="V14" s="596"/>
    </row>
    <row r="15" spans="2:22" ht="36">
      <c r="B15" s="679"/>
      <c r="C15" s="912" t="s">
        <v>28</v>
      </c>
      <c r="D15" s="1237" t="s">
        <v>336</v>
      </c>
      <c r="E15" s="1238"/>
      <c r="F15" s="913" t="s">
        <v>338</v>
      </c>
      <c r="G15" s="1247" t="s">
        <v>267</v>
      </c>
      <c r="H15" s="1248"/>
      <c r="I15" s="1237" t="s">
        <v>41</v>
      </c>
      <c r="J15" s="1250"/>
      <c r="K15" s="972" t="s">
        <v>344</v>
      </c>
      <c r="L15" s="805"/>
      <c r="M15" s="805"/>
      <c r="N15" s="973"/>
      <c r="P15" s="802" t="s">
        <v>236</v>
      </c>
      <c r="Q15" s="985" t="s">
        <v>28</v>
      </c>
      <c r="R15" s="969" t="s">
        <v>346</v>
      </c>
      <c r="S15" s="941" t="s">
        <v>235</v>
      </c>
      <c r="T15" s="940" t="s">
        <v>40</v>
      </c>
      <c r="U15" s="940" t="s">
        <v>41</v>
      </c>
      <c r="V15" s="939" t="s">
        <v>439</v>
      </c>
    </row>
    <row r="16" spans="3:22" ht="42" customHeight="1">
      <c r="C16" s="914"/>
      <c r="D16" s="1245" t="s">
        <v>275</v>
      </c>
      <c r="E16" s="1246"/>
      <c r="F16" s="711" t="s">
        <v>339</v>
      </c>
      <c r="G16" s="1245" t="s">
        <v>276</v>
      </c>
      <c r="H16" s="1246"/>
      <c r="I16" s="1245" t="s">
        <v>282</v>
      </c>
      <c r="J16" s="1257"/>
      <c r="K16" s="633"/>
      <c r="L16" s="1264" t="s">
        <v>345</v>
      </c>
      <c r="M16" s="1264"/>
      <c r="N16" s="1265"/>
      <c r="P16" s="803"/>
      <c r="Q16" s="986"/>
      <c r="R16" s="970" t="s">
        <v>440</v>
      </c>
      <c r="S16" s="941"/>
      <c r="T16" s="970" t="s">
        <v>440</v>
      </c>
      <c r="U16" s="970" t="s">
        <v>440</v>
      </c>
      <c r="V16" s="939"/>
    </row>
    <row r="17" spans="2:22" ht="27" customHeight="1">
      <c r="B17" s="696">
        <f>IF(AND(OR('使い方'!$E$15=$L$2,'使い方'!$E$19=$L$2),E17&gt;0),"×","")</f>
      </c>
      <c r="C17" s="915" t="s">
        <v>408</v>
      </c>
      <c r="D17" s="662"/>
      <c r="E17" s="663">
        <f>'原材料費'!K30</f>
        <v>540000</v>
      </c>
      <c r="F17" s="663">
        <f>'原材料費'!L30</f>
        <v>500000</v>
      </c>
      <c r="G17" s="664"/>
      <c r="H17" s="663">
        <f>'原材料費'!M30</f>
        <v>500000</v>
      </c>
      <c r="I17" s="664"/>
      <c r="J17" s="704">
        <f>$U$17</f>
        <v>211356</v>
      </c>
      <c r="K17" s="697" t="s">
        <v>361</v>
      </c>
      <c r="L17" s="636"/>
      <c r="M17" s="636"/>
      <c r="N17" s="916"/>
      <c r="P17" s="717" t="str">
        <f aca="true" t="shared" si="0" ref="P17:P27">IF(B17="×","×",IF(V17&lt;=0,"○","×"))</f>
        <v>○</v>
      </c>
      <c r="Q17" s="971" t="s">
        <v>43</v>
      </c>
      <c r="R17" s="943">
        <f>ROUNDDOWN((IF(H17="","",ROUNDDOWN(H17*2/3,0))),0)</f>
        <v>333333</v>
      </c>
      <c r="S17" s="998">
        <f>ROUNDDOWN((RANK(T17,$T$17:$T$27)),0)</f>
        <v>4</v>
      </c>
      <c r="T17" s="943">
        <f>ROUNDDOWN(IF($T$18-$R$30&gt;=0,0,R17*$R$33/$R$29),0)</f>
        <v>211356</v>
      </c>
      <c r="U17" s="997">
        <f>IF($T$30-T17=0,T17+$T$33,T17)</f>
        <v>211356</v>
      </c>
      <c r="V17" s="713">
        <f>U17-R17</f>
        <v>-121977</v>
      </c>
    </row>
    <row r="18" spans="2:22" ht="27" customHeight="1">
      <c r="B18" s="696">
        <f>IF(B8="×","×","")</f>
      </c>
      <c r="C18" s="917" t="s">
        <v>45</v>
      </c>
      <c r="D18" s="707"/>
      <c r="E18" s="665">
        <f>'機械装置費'!K30</f>
        <v>11880000</v>
      </c>
      <c r="F18" s="714">
        <f>'機械装置費'!L30</f>
        <v>11000000</v>
      </c>
      <c r="G18" s="666"/>
      <c r="H18" s="665">
        <f>'機械装置費'!M30</f>
        <v>11000000</v>
      </c>
      <c r="I18" s="666"/>
      <c r="J18" s="705">
        <f>ABS($U$18)</f>
        <v>7333333</v>
      </c>
      <c r="K18" s="698" t="s">
        <v>351</v>
      </c>
      <c r="L18" s="699"/>
      <c r="M18" s="700"/>
      <c r="N18" s="918"/>
      <c r="P18" s="597" t="str">
        <f t="shared" si="0"/>
        <v>○</v>
      </c>
      <c r="Q18" s="942" t="s">
        <v>45</v>
      </c>
      <c r="R18" s="943">
        <f>ABS(IF(H18="","",ROUNDDOWN(H18*2/3,0)))</f>
        <v>7333333</v>
      </c>
      <c r="S18" s="998">
        <f aca="true" t="shared" si="1" ref="S18:S27">ROUNDDOWN((RANK(T18,$T$17:$T$27)),0)</f>
        <v>1</v>
      </c>
      <c r="T18" s="944">
        <f>ABS(ROUNDDOWN(IF(AND($D$4=$P$4,R18-333332&gt;0),ABS(0),IF($R$18-$R$30&lt;0,R18,$R$30)),0))</f>
        <v>7333333</v>
      </c>
      <c r="U18" s="944">
        <f>IF(T18=0,0,IF(R18-R30&gt;0,R30,R18))</f>
        <v>7333333</v>
      </c>
      <c r="V18" s="713">
        <f>U18-R18</f>
        <v>0</v>
      </c>
    </row>
    <row r="19" spans="2:24" ht="27" customHeight="1">
      <c r="B19" s="696">
        <f>IF(AND(OR('使い方'!$E$15=$L$2,'使い方'!$E$19=$L$2),E19&gt;0),"×","")</f>
      </c>
      <c r="C19" s="917" t="s">
        <v>409</v>
      </c>
      <c r="D19" s="667"/>
      <c r="E19" s="665">
        <f>'様式第６の別紙２　直接人件費支出明細書(2)'!G41</f>
        <v>4408458</v>
      </c>
      <c r="F19" s="714">
        <f>E19</f>
        <v>4408458</v>
      </c>
      <c r="G19" s="666"/>
      <c r="H19" s="665">
        <f>F19</f>
        <v>4408458</v>
      </c>
      <c r="I19" s="666"/>
      <c r="J19" s="714">
        <f>$U$19</f>
        <v>1863515</v>
      </c>
      <c r="K19" s="701"/>
      <c r="L19" s="699"/>
      <c r="M19" s="700"/>
      <c r="N19" s="918"/>
      <c r="P19" s="597" t="str">
        <f t="shared" si="0"/>
        <v>○</v>
      </c>
      <c r="Q19" s="942" t="s">
        <v>73</v>
      </c>
      <c r="R19" s="943">
        <f aca="true" t="shared" si="2" ref="R19:R27">ROUNDDOWN((IF(H19="","",ROUNDDOWN(H19*2/3,0))),0)</f>
        <v>2938972</v>
      </c>
      <c r="S19" s="998">
        <f t="shared" si="1"/>
        <v>2</v>
      </c>
      <c r="T19" s="943">
        <f aca="true" t="shared" si="3" ref="T19:T27">ROUNDDOWN(IF($T$18-$R$30&gt;=0,0,R19*$R$33/$R$29),0)</f>
        <v>1863512</v>
      </c>
      <c r="U19" s="997">
        <f>IF($T$30-T19=0,T19+$T$33,T19)</f>
        <v>1863515</v>
      </c>
      <c r="V19" s="713">
        <f aca="true" t="shared" si="4" ref="V19:V27">U19-R19</f>
        <v>-1075457</v>
      </c>
      <c r="X19" s="122"/>
    </row>
    <row r="20" spans="3:24" ht="27" customHeight="1">
      <c r="C20" s="917" t="s">
        <v>63</v>
      </c>
      <c r="D20" s="667"/>
      <c r="E20" s="665">
        <f>'技術導入費'!K30</f>
        <v>324000</v>
      </c>
      <c r="F20" s="714">
        <f>'技術導入費'!L30</f>
        <v>300000</v>
      </c>
      <c r="G20" s="666"/>
      <c r="H20" s="665">
        <f>'技術導入費'!M30</f>
        <v>300000</v>
      </c>
      <c r="I20" s="666"/>
      <c r="J20" s="705">
        <f>$U$20</f>
        <v>126813</v>
      </c>
      <c r="K20" s="770"/>
      <c r="L20" s="122"/>
      <c r="M20" s="122"/>
      <c r="N20" s="911"/>
      <c r="O20" s="122"/>
      <c r="P20" s="597" t="str">
        <f t="shared" si="0"/>
        <v>○</v>
      </c>
      <c r="Q20" s="942" t="s">
        <v>63</v>
      </c>
      <c r="R20" s="943">
        <f t="shared" si="2"/>
        <v>200000</v>
      </c>
      <c r="S20" s="998">
        <f t="shared" si="1"/>
        <v>6</v>
      </c>
      <c r="T20" s="943">
        <f t="shared" si="3"/>
        <v>126813</v>
      </c>
      <c r="U20" s="997">
        <f aca="true" t="shared" si="5" ref="U20:U27">IF($T$30-T20=0,T20+$T$33,T20)</f>
        <v>126813</v>
      </c>
      <c r="V20" s="713">
        <f t="shared" si="4"/>
        <v>-73187</v>
      </c>
      <c r="X20" s="122"/>
    </row>
    <row r="21" spans="2:28" ht="27" customHeight="1">
      <c r="B21" s="696">
        <f>IF(AND(OR('使い方'!$E$15=$L$2,'使い方'!$E$19=$L$2),E21&gt;0),"×","")</f>
      </c>
      <c r="C21" s="917" t="s">
        <v>410</v>
      </c>
      <c r="D21" s="667"/>
      <c r="E21" s="665">
        <f>'外注加工費'!K30</f>
        <v>540000</v>
      </c>
      <c r="F21" s="714">
        <f>'外注加工費'!L30</f>
        <v>500000</v>
      </c>
      <c r="G21" s="712">
        <f>IF(OR(G5="×",G9=""),"×","")</f>
      </c>
      <c r="H21" s="665">
        <f>'外注加工費'!M30</f>
        <v>500000</v>
      </c>
      <c r="I21" s="666"/>
      <c r="J21" s="714">
        <f>$U$21</f>
        <v>211356</v>
      </c>
      <c r="K21" s="698"/>
      <c r="L21" s="637"/>
      <c r="M21" s="637"/>
      <c r="N21" s="918"/>
      <c r="P21" s="597" t="str">
        <f t="shared" si="0"/>
        <v>○</v>
      </c>
      <c r="Q21" s="942" t="s">
        <v>67</v>
      </c>
      <c r="R21" s="943">
        <f t="shared" si="2"/>
        <v>333333</v>
      </c>
      <c r="S21" s="998">
        <f t="shared" si="1"/>
        <v>4</v>
      </c>
      <c r="T21" s="943">
        <f t="shared" si="3"/>
        <v>211356</v>
      </c>
      <c r="U21" s="997">
        <f t="shared" si="5"/>
        <v>211356</v>
      </c>
      <c r="V21" s="713">
        <f t="shared" si="4"/>
        <v>-121977</v>
      </c>
      <c r="W21" s="632"/>
      <c r="X21" s="122"/>
      <c r="Y21" s="122"/>
      <c r="AA21" s="122"/>
      <c r="AB21" s="122"/>
    </row>
    <row r="22" spans="2:28" ht="27" customHeight="1">
      <c r="B22" s="696">
        <f>IF(AND(OR('使い方'!$E$15=$L$2,'使い方'!$E$19=$L$2),E22&gt;0),"×","")</f>
      </c>
      <c r="C22" s="917" t="s">
        <v>411</v>
      </c>
      <c r="D22" s="667"/>
      <c r="E22" s="665">
        <f>'委託費'!K30</f>
        <v>648000</v>
      </c>
      <c r="F22" s="714">
        <f>'委託費'!L30</f>
        <v>600000</v>
      </c>
      <c r="G22" s="712">
        <f>IF(OR(G7="×",G9="×"),"×","")</f>
      </c>
      <c r="H22" s="665">
        <f>'委託費'!M30</f>
        <v>600000</v>
      </c>
      <c r="I22" s="666"/>
      <c r="J22" s="714">
        <f>$U$22</f>
        <v>253627</v>
      </c>
      <c r="K22" s="698"/>
      <c r="L22" s="637"/>
      <c r="M22" s="637"/>
      <c r="N22" s="919"/>
      <c r="P22" s="597" t="str">
        <f t="shared" si="0"/>
        <v>○</v>
      </c>
      <c r="Q22" s="942" t="s">
        <v>64</v>
      </c>
      <c r="R22" s="943">
        <f t="shared" si="2"/>
        <v>400000</v>
      </c>
      <c r="S22" s="998">
        <f t="shared" si="1"/>
        <v>3</v>
      </c>
      <c r="T22" s="943">
        <f t="shared" si="3"/>
        <v>253627</v>
      </c>
      <c r="U22" s="997">
        <f t="shared" si="5"/>
        <v>253627</v>
      </c>
      <c r="V22" s="713">
        <f t="shared" si="4"/>
        <v>-146373</v>
      </c>
      <c r="W22" s="709"/>
      <c r="Z22" s="122"/>
      <c r="AA22" s="122"/>
      <c r="AB22" s="122"/>
    </row>
    <row r="23" spans="2:28" ht="27" customHeight="1">
      <c r="B23" s="696">
        <f>IF(AND(OR('使い方'!$E$15=$L$2,'使い方'!$E$19=$L$2),E23&gt;0),"×","")</f>
      </c>
      <c r="C23" s="917" t="s">
        <v>412</v>
      </c>
      <c r="D23" s="667"/>
      <c r="E23" s="665">
        <f>'知的財産等関連経費'!K30</f>
        <v>0</v>
      </c>
      <c r="F23" s="714">
        <f>'知的財産等関連経費'!L30</f>
        <v>0</v>
      </c>
      <c r="G23" s="712">
        <f>IF(G11="×","×","")</f>
      </c>
      <c r="H23" s="665">
        <f>'知的財産等関連経費'!M30</f>
        <v>0</v>
      </c>
      <c r="I23" s="666"/>
      <c r="J23" s="714">
        <f>$U$23</f>
        <v>0</v>
      </c>
      <c r="K23" s="698"/>
      <c r="L23" s="637"/>
      <c r="M23" s="637"/>
      <c r="N23" s="919"/>
      <c r="P23" s="597" t="str">
        <f t="shared" si="0"/>
        <v>○</v>
      </c>
      <c r="Q23" s="942" t="s">
        <v>74</v>
      </c>
      <c r="R23" s="943">
        <f t="shared" si="2"/>
        <v>0</v>
      </c>
      <c r="S23" s="998">
        <f t="shared" si="1"/>
        <v>7</v>
      </c>
      <c r="T23" s="943">
        <f t="shared" si="3"/>
        <v>0</v>
      </c>
      <c r="U23" s="997">
        <f t="shared" si="5"/>
        <v>0</v>
      </c>
      <c r="V23" s="713">
        <f t="shared" si="4"/>
        <v>0</v>
      </c>
      <c r="W23" s="709"/>
      <c r="Z23" s="629"/>
      <c r="AA23" s="122"/>
      <c r="AB23" s="122"/>
    </row>
    <row r="24" spans="3:28" ht="27" customHeight="1">
      <c r="C24" s="917" t="s">
        <v>68</v>
      </c>
      <c r="D24" s="667"/>
      <c r="E24" s="665">
        <f>'運搬費'!K30</f>
        <v>0</v>
      </c>
      <c r="F24" s="714">
        <f>'運搬費'!L30</f>
        <v>0</v>
      </c>
      <c r="G24" s="666"/>
      <c r="H24" s="665">
        <f>'運搬費'!M30</f>
        <v>0</v>
      </c>
      <c r="I24" s="666"/>
      <c r="J24" s="705">
        <f>$U$24</f>
        <v>0</v>
      </c>
      <c r="K24" s="698"/>
      <c r="L24" s="637"/>
      <c r="M24" s="637"/>
      <c r="N24" s="920"/>
      <c r="P24" s="597" t="str">
        <f t="shared" si="0"/>
        <v>○</v>
      </c>
      <c r="Q24" s="942" t="s">
        <v>68</v>
      </c>
      <c r="R24" s="943">
        <f t="shared" si="2"/>
        <v>0</v>
      </c>
      <c r="S24" s="998">
        <f t="shared" si="1"/>
        <v>7</v>
      </c>
      <c r="T24" s="943">
        <f t="shared" si="3"/>
        <v>0</v>
      </c>
      <c r="U24" s="997">
        <f t="shared" si="5"/>
        <v>0</v>
      </c>
      <c r="V24" s="713">
        <f t="shared" si="4"/>
        <v>0</v>
      </c>
      <c r="W24" s="708"/>
      <c r="Z24" s="122"/>
      <c r="AA24" s="122"/>
      <c r="AB24" s="122"/>
    </row>
    <row r="25" spans="3:28" ht="27" customHeight="1">
      <c r="C25" s="917" t="s">
        <v>66</v>
      </c>
      <c r="D25" s="667"/>
      <c r="E25" s="665">
        <f>'専門家謝金'!K30</f>
        <v>0</v>
      </c>
      <c r="F25" s="714">
        <f>'専門家謝金'!L30</f>
        <v>0</v>
      </c>
      <c r="G25" s="666"/>
      <c r="H25" s="665">
        <f>'専門家謝金'!M30</f>
        <v>0</v>
      </c>
      <c r="I25" s="666"/>
      <c r="J25" s="705">
        <f>$U$25</f>
        <v>0</v>
      </c>
      <c r="K25" s="698"/>
      <c r="L25" s="637"/>
      <c r="M25" s="637"/>
      <c r="N25" s="920"/>
      <c r="P25" s="597" t="str">
        <f t="shared" si="0"/>
        <v>○</v>
      </c>
      <c r="Q25" s="942" t="s">
        <v>66</v>
      </c>
      <c r="R25" s="943">
        <f t="shared" si="2"/>
        <v>0</v>
      </c>
      <c r="S25" s="998">
        <f t="shared" si="1"/>
        <v>7</v>
      </c>
      <c r="T25" s="943">
        <f t="shared" si="3"/>
        <v>0</v>
      </c>
      <c r="U25" s="997">
        <f t="shared" si="5"/>
        <v>0</v>
      </c>
      <c r="V25" s="713">
        <f t="shared" si="4"/>
        <v>0</v>
      </c>
      <c r="W25" s="596"/>
      <c r="Z25" s="635"/>
      <c r="AA25" s="122"/>
      <c r="AB25" s="122"/>
    </row>
    <row r="26" spans="3:28" ht="27" customHeight="1">
      <c r="C26" s="917" t="s">
        <v>65</v>
      </c>
      <c r="D26" s="667"/>
      <c r="E26" s="665">
        <f>'専門家旅費'!K30</f>
        <v>0</v>
      </c>
      <c r="F26" s="714">
        <f>'専門家旅費'!L30</f>
        <v>0</v>
      </c>
      <c r="G26" s="666"/>
      <c r="H26" s="665">
        <f>'専門家旅費'!M30</f>
        <v>0</v>
      </c>
      <c r="I26" s="666"/>
      <c r="J26" s="705">
        <f>$U$26</f>
        <v>0</v>
      </c>
      <c r="K26" s="698"/>
      <c r="L26" s="637"/>
      <c r="M26" s="637"/>
      <c r="N26" s="920"/>
      <c r="P26" s="597" t="str">
        <f t="shared" si="0"/>
        <v>○</v>
      </c>
      <c r="Q26" s="942" t="s">
        <v>65</v>
      </c>
      <c r="R26" s="943">
        <f t="shared" si="2"/>
        <v>0</v>
      </c>
      <c r="S26" s="998">
        <f t="shared" si="1"/>
        <v>7</v>
      </c>
      <c r="T26" s="943">
        <f t="shared" si="3"/>
        <v>0</v>
      </c>
      <c r="U26" s="997">
        <f t="shared" si="5"/>
        <v>0</v>
      </c>
      <c r="V26" s="713">
        <f t="shared" si="4"/>
        <v>0</v>
      </c>
      <c r="W26" s="596"/>
      <c r="Z26" s="635"/>
      <c r="AA26" s="635"/>
      <c r="AB26" s="635"/>
    </row>
    <row r="27" spans="2:28" ht="27" customHeight="1">
      <c r="B27" s="696">
        <f>IF(AND(OR('使い方'!$E$15=$L$2,'使い方'!$E$19=$L$2),E27&gt;0),"×","")</f>
      </c>
      <c r="C27" s="921" t="s">
        <v>413</v>
      </c>
      <c r="D27" s="668"/>
      <c r="E27" s="669">
        <f>'雑役務費'!K30</f>
        <v>0</v>
      </c>
      <c r="F27" s="714">
        <f>'雑役務費'!L30</f>
        <v>0</v>
      </c>
      <c r="G27" s="670"/>
      <c r="H27" s="669">
        <f>'雑役務費'!M30</f>
        <v>0</v>
      </c>
      <c r="I27" s="670"/>
      <c r="J27" s="715">
        <f>$U$27</f>
        <v>0</v>
      </c>
      <c r="K27" s="633"/>
      <c r="L27" s="634"/>
      <c r="M27" s="634"/>
      <c r="N27" s="922"/>
      <c r="P27" s="597" t="str">
        <f t="shared" si="0"/>
        <v>○</v>
      </c>
      <c r="Q27" s="942" t="s">
        <v>69</v>
      </c>
      <c r="R27" s="943">
        <f t="shared" si="2"/>
        <v>0</v>
      </c>
      <c r="S27" s="998">
        <f t="shared" si="1"/>
        <v>7</v>
      </c>
      <c r="T27" s="943">
        <f t="shared" si="3"/>
        <v>0</v>
      </c>
      <c r="U27" s="997">
        <f t="shared" si="5"/>
        <v>0</v>
      </c>
      <c r="V27" s="713">
        <f t="shared" si="4"/>
        <v>0</v>
      </c>
      <c r="W27" s="596"/>
      <c r="Z27" s="638"/>
      <c r="AA27" s="635"/>
      <c r="AB27" s="635"/>
    </row>
    <row r="28" spans="2:28" ht="42" customHeight="1" thickBot="1">
      <c r="B28" s="968">
        <f>IF(B5="×","×","")</f>
      </c>
      <c r="C28" s="923" t="s">
        <v>1</v>
      </c>
      <c r="D28" s="924" t="s">
        <v>288</v>
      </c>
      <c r="E28" s="925">
        <f>SUM(E17:E27)</f>
        <v>18340458</v>
      </c>
      <c r="F28" s="926">
        <f>SUM(F17:F27)</f>
        <v>17308458</v>
      </c>
      <c r="G28" s="924" t="s">
        <v>289</v>
      </c>
      <c r="H28" s="925">
        <f>SUM(H17:H27)</f>
        <v>17308458</v>
      </c>
      <c r="I28" s="924" t="s">
        <v>290</v>
      </c>
      <c r="J28" s="927">
        <f>SUM(J17:J27)</f>
        <v>10000000</v>
      </c>
      <c r="K28" s="974"/>
      <c r="L28" s="975"/>
      <c r="M28" s="975"/>
      <c r="N28" s="976"/>
      <c r="P28" s="597">
        <f>+B28</f>
      </c>
      <c r="Q28" s="617" t="s">
        <v>61</v>
      </c>
      <c r="R28" s="943">
        <f>SUM(R17:R27)</f>
        <v>11538971</v>
      </c>
      <c r="S28" s="999"/>
      <c r="T28" s="718">
        <f>SUM(T17:T27)</f>
        <v>9999997</v>
      </c>
      <c r="U28" s="943">
        <f>SUM(U17:U27)</f>
        <v>10000000</v>
      </c>
      <c r="V28" s="945"/>
      <c r="W28" s="596"/>
      <c r="Z28" s="639"/>
      <c r="AA28" s="635"/>
      <c r="AB28" s="635"/>
    </row>
    <row r="29" spans="3:28" ht="51.75">
      <c r="C29" s="111" t="s">
        <v>350</v>
      </c>
      <c r="E29" s="642"/>
      <c r="F29" s="642"/>
      <c r="G29" s="642"/>
      <c r="H29" s="642"/>
      <c r="I29" s="642"/>
      <c r="J29" s="642"/>
      <c r="Q29" s="692" t="s">
        <v>357</v>
      </c>
      <c r="R29" s="943">
        <f>R28-R18</f>
        <v>4205638</v>
      </c>
      <c r="S29" s="692" t="s">
        <v>352</v>
      </c>
      <c r="T29" s="943">
        <f>VLOOKUP(2,S17:T27,2,0)</f>
        <v>1863512</v>
      </c>
      <c r="U29" s="111" t="s">
        <v>313</v>
      </c>
      <c r="W29" s="596"/>
      <c r="Z29" s="639"/>
      <c r="AA29" s="122"/>
      <c r="AB29" s="122"/>
    </row>
    <row r="30" spans="3:28" ht="51.75" customHeight="1">
      <c r="C30" s="111" t="s">
        <v>278</v>
      </c>
      <c r="Q30" s="692" t="s">
        <v>333</v>
      </c>
      <c r="R30" s="943">
        <f>ABS(IF(R28-E6&gt;0,E6,R28))</f>
        <v>10000000</v>
      </c>
      <c r="S30" s="692" t="s">
        <v>353</v>
      </c>
      <c r="T30" s="943">
        <f>ABS(SUMIF(T17:T27,T29))</f>
        <v>1863512</v>
      </c>
      <c r="U30" s="111" t="s">
        <v>362</v>
      </c>
      <c r="V30" s="641"/>
      <c r="W30" s="596"/>
      <c r="Z30" s="122"/>
      <c r="AA30" s="122"/>
      <c r="AB30" s="122"/>
    </row>
    <row r="31" spans="3:28" ht="51.75">
      <c r="C31" s="111" t="s">
        <v>363</v>
      </c>
      <c r="Q31" s="692" t="s">
        <v>287</v>
      </c>
      <c r="R31" s="943">
        <f>IF(R30-R18&lt;0,0,R30-R18)</f>
        <v>2666667</v>
      </c>
      <c r="S31" s="692" t="s">
        <v>356</v>
      </c>
      <c r="T31" s="694">
        <f>MIN(R32-(T28-T18),R30-T28)</f>
        <v>3</v>
      </c>
      <c r="V31" s="642"/>
      <c r="W31" s="596"/>
      <c r="X31" s="122"/>
      <c r="AA31" s="122"/>
      <c r="AB31" s="122"/>
    </row>
    <row r="32" spans="3:24" ht="34.5">
      <c r="C32" s="908"/>
      <c r="D32" s="908"/>
      <c r="E32" s="102"/>
      <c r="F32" s="102"/>
      <c r="G32" s="102"/>
      <c r="H32" s="102"/>
      <c r="I32" s="102"/>
      <c r="J32" s="102"/>
      <c r="K32" s="102"/>
      <c r="Q32" s="692" t="s">
        <v>358</v>
      </c>
      <c r="R32" s="943">
        <f>IF(OR(D4="成長分野型",D4="一般型"),5000000,R30)</f>
        <v>5000000</v>
      </c>
      <c r="S32" s="692" t="s">
        <v>354</v>
      </c>
      <c r="T32" s="716">
        <f>IF(ISERROR(T29/T30),0,T29/T30)</f>
        <v>1</v>
      </c>
      <c r="U32" s="102"/>
      <c r="V32" s="641"/>
      <c r="W32" s="596"/>
      <c r="X32" s="905"/>
    </row>
    <row r="33" spans="3:24" ht="34.5" customHeight="1">
      <c r="C33" s="1241" t="s">
        <v>46</v>
      </c>
      <c r="D33" s="1241"/>
      <c r="E33" s="1241"/>
      <c r="F33" s="1241"/>
      <c r="G33" s="644"/>
      <c r="I33" s="1251" t="s">
        <v>324</v>
      </c>
      <c r="J33" s="1251"/>
      <c r="K33" s="1251"/>
      <c r="L33" s="1251"/>
      <c r="M33" s="1251"/>
      <c r="Q33" s="617" t="s">
        <v>355</v>
      </c>
      <c r="R33" s="943">
        <f>IF(T18=0,R32,ABS(MIN(R30,R31,R32)))</f>
        <v>2666667</v>
      </c>
      <c r="S33" s="946" t="s">
        <v>237</v>
      </c>
      <c r="T33" s="694">
        <f>IF(ISERROR($T$31*$T$32),"",$T$31*$T$32)</f>
        <v>3</v>
      </c>
      <c r="U33" s="102"/>
      <c r="W33" s="596"/>
      <c r="X33" s="632"/>
    </row>
    <row r="34" spans="1:22" ht="32.25" customHeight="1">
      <c r="A34" s="122"/>
      <c r="C34" s="645" t="s">
        <v>47</v>
      </c>
      <c r="D34" s="1239" t="s">
        <v>48</v>
      </c>
      <c r="E34" s="1240"/>
      <c r="F34" s="1239" t="s">
        <v>49</v>
      </c>
      <c r="G34" s="1240"/>
      <c r="H34" s="646"/>
      <c r="I34" s="906" t="s">
        <v>47</v>
      </c>
      <c r="J34" s="1239" t="s">
        <v>48</v>
      </c>
      <c r="K34" s="1240"/>
      <c r="L34" s="1239" t="s">
        <v>49</v>
      </c>
      <c r="M34" s="1240"/>
      <c r="P34" s="690"/>
      <c r="Q34" s="603"/>
      <c r="R34" s="111"/>
      <c r="T34" s="643"/>
      <c r="V34" s="641"/>
    </row>
    <row r="35" spans="3:22" ht="21">
      <c r="C35" s="906" t="s">
        <v>274</v>
      </c>
      <c r="D35" s="647"/>
      <c r="E35" s="671">
        <f>E39-E36-E37-E38</f>
        <v>8340458</v>
      </c>
      <c r="F35" s="648"/>
      <c r="G35" s="649"/>
      <c r="H35" s="122"/>
      <c r="I35" s="906" t="s">
        <v>50</v>
      </c>
      <c r="J35" s="647"/>
      <c r="K35" s="676">
        <v>3000000</v>
      </c>
      <c r="L35" s="1242"/>
      <c r="M35" s="1243"/>
      <c r="P35" s="690"/>
      <c r="Q35" s="710"/>
      <c r="R35" s="111"/>
      <c r="V35" s="641"/>
    </row>
    <row r="36" spans="3:22" ht="21" customHeight="1">
      <c r="C36" s="650" t="s">
        <v>271</v>
      </c>
      <c r="D36" s="651" t="s">
        <v>290</v>
      </c>
      <c r="E36" s="672">
        <f>J28</f>
        <v>10000000</v>
      </c>
      <c r="F36" s="652"/>
      <c r="G36" s="653"/>
      <c r="H36" s="122"/>
      <c r="I36" s="906" t="s">
        <v>292</v>
      </c>
      <c r="J36" s="906"/>
      <c r="K36" s="677">
        <f>K38-K35-K37</f>
        <v>7000000</v>
      </c>
      <c r="L36" s="1262" t="str">
        <f>F37</f>
        <v>△○信用金庫　○○支店</v>
      </c>
      <c r="M36" s="1263"/>
      <c r="P36" s="690"/>
      <c r="Q36" s="603"/>
      <c r="R36" s="111"/>
      <c r="V36" s="641"/>
    </row>
    <row r="37" spans="3:22" ht="21">
      <c r="C37" s="906" t="s">
        <v>273</v>
      </c>
      <c r="D37" s="654"/>
      <c r="E37" s="673">
        <v>0</v>
      </c>
      <c r="F37" s="1260" t="str">
        <f>'使い方'!E24</f>
        <v>△○信用金庫　○○支店</v>
      </c>
      <c r="G37" s="1261"/>
      <c r="H37" s="122"/>
      <c r="I37" s="906" t="s">
        <v>51</v>
      </c>
      <c r="J37" s="647"/>
      <c r="K37" s="676"/>
      <c r="L37" s="1242"/>
      <c r="M37" s="1243"/>
      <c r="P37" s="690"/>
      <c r="Q37" s="603"/>
      <c r="R37" s="111"/>
      <c r="V37" s="641"/>
    </row>
    <row r="38" spans="3:25" ht="26.25" customHeight="1">
      <c r="C38" s="906" t="s">
        <v>272</v>
      </c>
      <c r="D38" s="906"/>
      <c r="E38" s="674">
        <v>0</v>
      </c>
      <c r="F38" s="655"/>
      <c r="G38" s="656"/>
      <c r="H38" s="657"/>
      <c r="I38" s="658" t="s">
        <v>281</v>
      </c>
      <c r="J38" s="659" t="s">
        <v>277</v>
      </c>
      <c r="K38" s="678">
        <f>E36</f>
        <v>10000000</v>
      </c>
      <c r="L38" s="1258"/>
      <c r="M38" s="1259"/>
      <c r="P38" s="690"/>
      <c r="Q38" s="603"/>
      <c r="R38" s="111"/>
      <c r="V38" s="641"/>
      <c r="W38" s="641"/>
      <c r="Y38" s="122"/>
    </row>
    <row r="39" spans="3:22" ht="26.25" customHeight="1">
      <c r="C39" s="906" t="s">
        <v>279</v>
      </c>
      <c r="D39" s="640" t="s">
        <v>288</v>
      </c>
      <c r="E39" s="675">
        <f>E28</f>
        <v>18340458</v>
      </c>
      <c r="F39" s="648"/>
      <c r="G39" s="656"/>
      <c r="H39" s="657"/>
      <c r="J39" s="604"/>
      <c r="K39" s="604"/>
      <c r="L39" s="604"/>
      <c r="P39" s="690"/>
      <c r="Q39" s="603"/>
      <c r="R39" s="111"/>
      <c r="V39" s="641"/>
    </row>
    <row r="40" spans="3:18" ht="26.25" customHeight="1">
      <c r="C40" s="591" t="s">
        <v>269</v>
      </c>
      <c r="D40" s="601"/>
      <c r="E40" s="591"/>
      <c r="F40" s="591"/>
      <c r="G40" s="591"/>
      <c r="H40" s="591"/>
      <c r="I40" s="591"/>
      <c r="J40" s="604" t="s">
        <v>347</v>
      </c>
      <c r="P40" s="690"/>
      <c r="Q40" s="603"/>
      <c r="R40" s="111"/>
    </row>
    <row r="41" spans="3:18" ht="26.25" customHeight="1">
      <c r="C41" s="591"/>
      <c r="D41" s="601"/>
      <c r="E41" s="601"/>
      <c r="F41" s="601"/>
      <c r="G41" s="601"/>
      <c r="H41" s="601"/>
      <c r="I41" s="601"/>
      <c r="J41" s="111" t="s">
        <v>348</v>
      </c>
      <c r="K41" s="996" t="str">
        <f>'使い方'!F26</f>
        <v>総務部長　経済洋子</v>
      </c>
      <c r="P41" s="690"/>
      <c r="Q41" s="603"/>
      <c r="R41" s="111"/>
    </row>
    <row r="42" spans="10:18" ht="26.25" customHeight="1">
      <c r="J42" s="111" t="s">
        <v>349</v>
      </c>
      <c r="K42" s="996" t="str">
        <f>'使い方'!F27</f>
        <v>TEL　052-561-8261</v>
      </c>
      <c r="L42" s="661"/>
      <c r="P42" s="690"/>
      <c r="Q42" s="603"/>
      <c r="R42" s="111"/>
    </row>
    <row r="43" spans="10:13" ht="17.25">
      <c r="J43" s="591"/>
      <c r="K43" s="591"/>
      <c r="L43" s="591"/>
      <c r="M43" s="591"/>
    </row>
    <row r="44" spans="10:13" ht="30.75" customHeight="1">
      <c r="J44" s="591"/>
      <c r="K44" s="591"/>
      <c r="L44" s="591"/>
      <c r="M44" s="591"/>
    </row>
    <row r="45" ht="33.75" customHeight="1">
      <c r="W45" s="122"/>
    </row>
    <row r="46" ht="33.75" customHeight="1"/>
    <row r="47" ht="33.75" customHeight="1">
      <c r="X47" s="660"/>
    </row>
    <row r="48" ht="33.75" customHeight="1"/>
    <row r="49" ht="33.75" customHeight="1"/>
    <row r="50" ht="33.75" customHeight="1">
      <c r="X50" s="591"/>
    </row>
  </sheetData>
  <sheetProtection sheet="1"/>
  <mergeCells count="25">
    <mergeCell ref="H3:K3"/>
    <mergeCell ref="B3:B4"/>
    <mergeCell ref="I16:J16"/>
    <mergeCell ref="L38:M38"/>
    <mergeCell ref="F37:G37"/>
    <mergeCell ref="L36:M36"/>
    <mergeCell ref="L37:M37"/>
    <mergeCell ref="L16:N16"/>
    <mergeCell ref="L34:M34"/>
    <mergeCell ref="C14:E14"/>
    <mergeCell ref="J34:K34"/>
    <mergeCell ref="L35:M35"/>
    <mergeCell ref="I13:J13"/>
    <mergeCell ref="D16:E16"/>
    <mergeCell ref="G15:H15"/>
    <mergeCell ref="H14:J14"/>
    <mergeCell ref="G16:H16"/>
    <mergeCell ref="I15:J15"/>
    <mergeCell ref="I33:M33"/>
    <mergeCell ref="C8:D8"/>
    <mergeCell ref="C10:D10"/>
    <mergeCell ref="D15:E15"/>
    <mergeCell ref="D34:E34"/>
    <mergeCell ref="F34:G34"/>
    <mergeCell ref="C33:F33"/>
  </mergeCells>
  <conditionalFormatting sqref="C8 Y4 Z23 AA28:AB28 E5 Z3 R2:S4 AA3:AA4 Z2:AA2 AC2:AC4 AE2:AE4 AG2:AG4 I5 I7 V2:W4 E7:F7 I9 B9 C10 E9:F9 H12 I11 Q35 T31:T33 E8 E10">
    <cfRule type="expression" priority="156" dxfId="0" stopIfTrue="1">
      <formula>#REF!</formula>
    </cfRule>
  </conditionalFormatting>
  <conditionalFormatting sqref="H28">
    <cfRule type="expression" priority="97" dxfId="0" stopIfTrue="1">
      <formula>($H$21+$H$22)&gt;$H$28/2</formula>
    </cfRule>
  </conditionalFormatting>
  <conditionalFormatting sqref="H20">
    <cfRule type="expression" priority="95" dxfId="18" stopIfTrue="1">
      <formula>$H$20&gt;$H$28/2</formula>
    </cfRule>
  </conditionalFormatting>
  <conditionalFormatting sqref="H17 J17 E17:F17">
    <cfRule type="expression" priority="32" dxfId="0" stopIfTrue="1">
      <formula>$B$17="×"</formula>
    </cfRule>
  </conditionalFormatting>
  <conditionalFormatting sqref="E19 H19 J19">
    <cfRule type="expression" priority="31" dxfId="0" stopIfTrue="1">
      <formula>$B$19="×"</formula>
    </cfRule>
  </conditionalFormatting>
  <conditionalFormatting sqref="E21 J21">
    <cfRule type="expression" priority="30" dxfId="0" stopIfTrue="1">
      <formula>$B$21="×"</formula>
    </cfRule>
  </conditionalFormatting>
  <conditionalFormatting sqref="E22 J22">
    <cfRule type="expression" priority="29" dxfId="0" stopIfTrue="1">
      <formula>$B$22="×"</formula>
    </cfRule>
  </conditionalFormatting>
  <conditionalFormatting sqref="E23 J23">
    <cfRule type="expression" priority="28" dxfId="0" stopIfTrue="1">
      <formula>$B$23="×"</formula>
    </cfRule>
  </conditionalFormatting>
  <conditionalFormatting sqref="E27 H27 J27">
    <cfRule type="expression" priority="27" dxfId="0" stopIfTrue="1">
      <formula>$B$27="×"</formula>
    </cfRule>
  </conditionalFormatting>
  <conditionalFormatting sqref="H18">
    <cfRule type="expression" priority="23" dxfId="0" stopIfTrue="1">
      <formula>$B$18="×"</formula>
    </cfRule>
    <cfRule type="expression" priority="24" dxfId="0" stopIfTrue="1">
      <formula>"$A$30=×"</formula>
    </cfRule>
  </conditionalFormatting>
  <conditionalFormatting sqref="B10">
    <cfRule type="expression" priority="2" dxfId="0" stopIfTrue="1">
      <formula>#REF!</formula>
    </cfRule>
  </conditionalFormatting>
  <conditionalFormatting sqref="E6">
    <cfRule type="expression" priority="1" dxfId="0" stopIfTrue="1">
      <formula>#REF!</formula>
    </cfRule>
  </conditionalFormatting>
  <conditionalFormatting sqref="H21">
    <cfRule type="expression" priority="168" dxfId="0" stopIfTrue="1">
      <formula>$G$21="×"</formula>
    </cfRule>
    <cfRule type="expression" priority="169" dxfId="0" stopIfTrue="1">
      <formula>$B$21="×"</formula>
    </cfRule>
  </conditionalFormatting>
  <conditionalFormatting sqref="H22">
    <cfRule type="expression" priority="170" dxfId="0" stopIfTrue="1">
      <formula>$G$22="×"</formula>
    </cfRule>
    <cfRule type="expression" priority="171" dxfId="0" stopIfTrue="1">
      <formula>$B$22="×"</formula>
    </cfRule>
  </conditionalFormatting>
  <conditionalFormatting sqref="H23">
    <cfRule type="expression" priority="172" dxfId="0" stopIfTrue="1">
      <formula>$G$23="×"</formula>
    </cfRule>
    <cfRule type="expression" priority="173" dxfId="0" stopIfTrue="1">
      <formula>$B$22="×"</formula>
    </cfRule>
  </conditionalFormatting>
  <conditionalFormatting sqref="E18">
    <cfRule type="expression" priority="176" dxfId="0" stopIfTrue="1">
      <formula>$B$18="×"</formula>
    </cfRule>
    <cfRule type="expression" priority="177" dxfId="0" stopIfTrue="1">
      <formula>$T$4=×</formula>
    </cfRule>
  </conditionalFormatting>
  <dataValidations count="2">
    <dataValidation allowBlank="1" showInputMessage="1" showErrorMessage="1" imeMode="halfAlpha" sqref="F37 L36 G17:G20 H17:J27 E17:F27 G24:G27"/>
    <dataValidation allowBlank="1" showInputMessage="1" showErrorMessage="1" imeMode="hiragana" sqref="I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legacy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zoomScale="75" zoomScaleNormal="75" zoomScaleSheetLayoutView="79" zoomScalePageLayoutView="5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H3" s="38"/>
      <c r="I3" s="38"/>
      <c r="J3" s="528"/>
      <c r="K3" s="40" t="s">
        <v>472</v>
      </c>
      <c r="M3" s="544"/>
      <c r="N3" s="544"/>
      <c r="O3" s="544"/>
      <c r="P3" s="40"/>
      <c r="Q3" s="38"/>
      <c r="R3" s="1023" t="s">
        <v>82</v>
      </c>
      <c r="S3" s="1353" t="str">
        <f>IF('対象者一覧表'!E7="","",'対象者一覧表'!E7)</f>
        <v>開発設計</v>
      </c>
      <c r="T3" s="1353"/>
      <c r="U3" s="1145">
        <f>IF('対象者一覧表'!F7="","",'対象者一覧表'!F7)</f>
      </c>
      <c r="V3" s="38"/>
      <c r="W3" s="38"/>
      <c r="X3" s="38"/>
      <c r="Y3" s="38"/>
      <c r="Z3" s="38"/>
      <c r="AA3" s="38"/>
      <c r="AB3" s="38"/>
      <c r="AC3" s="38"/>
      <c r="AD3" s="38"/>
      <c r="AE3" s="38"/>
    </row>
    <row r="4" spans="1:34" ht="15" customHeight="1">
      <c r="A4" s="37"/>
      <c r="H4" s="38"/>
      <c r="I4" s="38"/>
      <c r="J4" s="19"/>
      <c r="K4" s="38"/>
      <c r="L4" s="38"/>
      <c r="M4" s="331"/>
      <c r="N4" s="331"/>
      <c r="O4" s="331"/>
      <c r="P4" s="38"/>
      <c r="Q4" s="38"/>
      <c r="R4" s="1023" t="s">
        <v>83</v>
      </c>
      <c r="S4" s="1353" t="str">
        <f>IF('対象者一覧表'!D7="","",'対象者一覧表'!D7)</f>
        <v>甲　太郎</v>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G5" s="39"/>
      <c r="P5" s="303" t="s">
        <v>394</v>
      </c>
      <c r="R5" s="1024" t="s">
        <v>85</v>
      </c>
      <c r="S5" s="1356">
        <f>IF('対象者一覧表'!H7="","",'対象者一覧表'!H7)</f>
        <v>28146</v>
      </c>
      <c r="T5" s="1356"/>
      <c r="U5" s="526">
        <f>IF(S5="","",DATEDIF(S5,D7,"Y"))</f>
        <v>36</v>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459</v>
      </c>
      <c r="F7" s="550" t="s">
        <v>461</v>
      </c>
      <c r="G7" s="550" t="s">
        <v>88</v>
      </c>
      <c r="H7" s="550" t="s">
        <v>463</v>
      </c>
      <c r="I7" s="550" t="s">
        <v>465</v>
      </c>
      <c r="J7" s="550" t="s">
        <v>466</v>
      </c>
      <c r="K7" s="550" t="s">
        <v>467</v>
      </c>
      <c r="L7" s="550" t="s">
        <v>468</v>
      </c>
      <c r="M7" s="550" t="s">
        <v>470</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v>300000</v>
      </c>
      <c r="E8" s="551">
        <v>300000</v>
      </c>
      <c r="F8" s="551">
        <v>300000</v>
      </c>
      <c r="G8" s="551">
        <v>500000</v>
      </c>
      <c r="H8" s="551">
        <v>300000</v>
      </c>
      <c r="I8" s="551">
        <v>300000</v>
      </c>
      <c r="J8" s="551">
        <v>300000</v>
      </c>
      <c r="K8" s="551">
        <v>300000</v>
      </c>
      <c r="L8" s="551">
        <v>300000</v>
      </c>
      <c r="M8" s="551">
        <v>300000</v>
      </c>
      <c r="N8" s="776">
        <v>500000</v>
      </c>
      <c r="O8" s="551">
        <v>300000</v>
      </c>
      <c r="P8" s="551">
        <v>300000</v>
      </c>
      <c r="Q8" s="551">
        <v>300000</v>
      </c>
      <c r="R8" s="551"/>
      <c r="S8" s="551"/>
      <c r="T8" s="551"/>
      <c r="U8" s="551"/>
      <c r="V8" s="551"/>
      <c r="W8" s="551"/>
      <c r="X8" s="1114"/>
      <c r="Y8" s="852">
        <f>SUM(D8:X8)</f>
        <v>4600000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v>23260</v>
      </c>
      <c r="E11" s="358"/>
      <c r="F11" s="358"/>
      <c r="G11" s="358"/>
      <c r="H11" s="358">
        <v>23260</v>
      </c>
      <c r="I11" s="358"/>
      <c r="J11" s="358"/>
      <c r="K11" s="358">
        <v>23260</v>
      </c>
      <c r="L11" s="358"/>
      <c r="M11" s="358"/>
      <c r="N11" s="777"/>
      <c r="O11" s="358">
        <v>23260</v>
      </c>
      <c r="P11" s="358"/>
      <c r="Q11" s="358"/>
      <c r="R11" s="358"/>
      <c r="S11" s="358"/>
      <c r="T11" s="358"/>
      <c r="U11" s="358"/>
      <c r="V11" s="358"/>
      <c r="W11" s="358"/>
      <c r="X11" s="1115"/>
      <c r="Y11" s="545">
        <f t="shared" si="0"/>
        <v>93040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v>10000</v>
      </c>
      <c r="E14" s="358">
        <v>10000</v>
      </c>
      <c r="F14" s="358">
        <v>10000</v>
      </c>
      <c r="G14" s="358"/>
      <c r="H14" s="358">
        <v>10000</v>
      </c>
      <c r="I14" s="358">
        <v>10000</v>
      </c>
      <c r="J14" s="358">
        <v>10000</v>
      </c>
      <c r="K14" s="358">
        <v>10000</v>
      </c>
      <c r="L14" s="358">
        <v>10000</v>
      </c>
      <c r="M14" s="358">
        <v>10000</v>
      </c>
      <c r="N14" s="777"/>
      <c r="O14" s="358">
        <v>10000</v>
      </c>
      <c r="P14" s="358">
        <v>10000</v>
      </c>
      <c r="Q14" s="358">
        <v>10000</v>
      </c>
      <c r="R14" s="358"/>
      <c r="S14" s="358"/>
      <c r="T14" s="358"/>
      <c r="U14" s="358"/>
      <c r="V14" s="358"/>
      <c r="W14" s="358"/>
      <c r="X14" s="1115"/>
      <c r="Y14" s="545">
        <f t="shared" si="0"/>
        <v>120000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I20">SUM(D8:D19)</f>
        <v>333260</v>
      </c>
      <c r="E20" s="529">
        <f t="shared" si="1"/>
        <v>310000</v>
      </c>
      <c r="F20" s="529">
        <f t="shared" si="1"/>
        <v>310000</v>
      </c>
      <c r="G20" s="529">
        <f t="shared" si="1"/>
        <v>500000</v>
      </c>
      <c r="H20" s="529">
        <f t="shared" si="1"/>
        <v>333260</v>
      </c>
      <c r="I20" s="529">
        <f t="shared" si="1"/>
        <v>310000</v>
      </c>
      <c r="J20" s="529">
        <f aca="true" t="shared" si="2" ref="J20:T20">SUM(J8:J19)</f>
        <v>310000</v>
      </c>
      <c r="K20" s="529">
        <f t="shared" si="2"/>
        <v>333260</v>
      </c>
      <c r="L20" s="529">
        <f t="shared" si="2"/>
        <v>310000</v>
      </c>
      <c r="M20" s="529">
        <f t="shared" si="2"/>
        <v>310000</v>
      </c>
      <c r="N20" s="779">
        <f t="shared" si="2"/>
        <v>500000</v>
      </c>
      <c r="O20" s="529">
        <f t="shared" si="2"/>
        <v>333260</v>
      </c>
      <c r="P20" s="529">
        <f t="shared" si="2"/>
        <v>310000</v>
      </c>
      <c r="Q20" s="529">
        <f t="shared" si="2"/>
        <v>310000</v>
      </c>
      <c r="R20" s="529">
        <f t="shared" si="2"/>
        <v>0</v>
      </c>
      <c r="S20" s="529">
        <f t="shared" si="2"/>
        <v>0</v>
      </c>
      <c r="T20" s="529">
        <f t="shared" si="2"/>
        <v>0</v>
      </c>
      <c r="U20" s="529">
        <f>SUM(U8:U19)</f>
        <v>0</v>
      </c>
      <c r="V20" s="529">
        <f>SUM(V8:V19)</f>
        <v>0</v>
      </c>
      <c r="W20" s="529">
        <f>SUM(W8:W19)</f>
        <v>0</v>
      </c>
      <c r="X20" s="848">
        <f>SUM(X8:X19)</f>
        <v>0</v>
      </c>
      <c r="Y20" s="546">
        <f t="shared" si="0"/>
        <v>4813040</v>
      </c>
      <c r="Z20" s="19"/>
    </row>
    <row r="21" spans="1:25" ht="17.25" customHeight="1">
      <c r="A21" s="563" t="s">
        <v>232</v>
      </c>
      <c r="B21" s="1386" t="s">
        <v>218</v>
      </c>
      <c r="C21" s="1387"/>
      <c r="D21" s="849">
        <v>410000</v>
      </c>
      <c r="E21" s="794">
        <v>410000</v>
      </c>
      <c r="F21" s="794">
        <v>410000</v>
      </c>
      <c r="G21" s="582"/>
      <c r="H21" s="794">
        <v>410000</v>
      </c>
      <c r="I21" s="794">
        <v>410000</v>
      </c>
      <c r="J21" s="794">
        <v>410000</v>
      </c>
      <c r="K21" s="794">
        <v>410000</v>
      </c>
      <c r="L21" s="794">
        <v>410000</v>
      </c>
      <c r="M21" s="794">
        <v>410000</v>
      </c>
      <c r="N21" s="780"/>
      <c r="O21" s="556">
        <v>410000</v>
      </c>
      <c r="P21" s="794">
        <v>410000</v>
      </c>
      <c r="Q21" s="794">
        <v>410000</v>
      </c>
      <c r="R21" s="1128"/>
      <c r="S21" s="794"/>
      <c r="T21" s="556"/>
      <c r="U21" s="556"/>
      <c r="V21" s="1126"/>
      <c r="W21" s="556"/>
      <c r="X21" s="1117"/>
      <c r="Y21" s="531"/>
    </row>
    <row r="22" spans="1:25" ht="17.25" customHeight="1" thickBot="1">
      <c r="A22" s="564" t="s">
        <v>233</v>
      </c>
      <c r="B22" s="1368" t="s">
        <v>218</v>
      </c>
      <c r="C22" s="1369"/>
      <c r="D22" s="850">
        <v>410000</v>
      </c>
      <c r="E22" s="795">
        <v>410000</v>
      </c>
      <c r="F22" s="795">
        <v>410000</v>
      </c>
      <c r="G22" s="583"/>
      <c r="H22" s="795">
        <v>410000</v>
      </c>
      <c r="I22" s="795">
        <v>410000</v>
      </c>
      <c r="J22" s="795">
        <v>410000</v>
      </c>
      <c r="K22" s="795">
        <v>410000</v>
      </c>
      <c r="L22" s="795">
        <v>410000</v>
      </c>
      <c r="M22" s="795">
        <v>410000</v>
      </c>
      <c r="N22" s="781"/>
      <c r="O22" s="557">
        <v>410000</v>
      </c>
      <c r="P22" s="795">
        <v>410000</v>
      </c>
      <c r="Q22" s="795">
        <v>410000</v>
      </c>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459</v>
      </c>
      <c r="F25" s="550" t="s">
        <v>461</v>
      </c>
      <c r="G25" s="550" t="s">
        <v>88</v>
      </c>
      <c r="H25" s="550" t="s">
        <v>463</v>
      </c>
      <c r="I25" s="550" t="s">
        <v>465</v>
      </c>
      <c r="J25" s="550" t="s">
        <v>466</v>
      </c>
      <c r="K25" s="550" t="s">
        <v>467</v>
      </c>
      <c r="L25" s="550" t="s">
        <v>468</v>
      </c>
      <c r="M25" s="550" t="s">
        <v>470</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v>20439</v>
      </c>
      <c r="E26" s="796">
        <f>IF(E21=0,"",ROUND(LOOKUP(E21,'2409'!$D$15:$E$61,'2409'!$C$15:$C$61)*$C$26/1000,0))</f>
        <v>20439</v>
      </c>
      <c r="F26" s="796">
        <f>IF(F21=0,"",ROUND(LOOKUP(F21,'2409'!$D$15:$E$61,'2409'!$C$15:$C$61)*$C$26/1000,0))</f>
        <v>20439</v>
      </c>
      <c r="G26" s="553">
        <f>IF(G20=0,"",ROUND((ROUNDDOWN(G20,-3)*$C$26/1000),0))</f>
        <v>24925</v>
      </c>
      <c r="H26" s="796">
        <f>IF(H21=0,"",ROUND(LOOKUP(H21,'2409'!$D$15:$E$61,'2409'!$C$15:$C$61)*$C$26/1000,0))</f>
        <v>20439</v>
      </c>
      <c r="I26" s="796">
        <f>IF(I21=0,"",ROUND(LOOKUP(I21,'2409'!$D$15:$E$61,'2409'!$C$15:$C$61)*$C$26/1000,0))</f>
        <v>20439</v>
      </c>
      <c r="J26" s="796">
        <f>IF(J21=0,"",ROUND(LOOKUP(J21,'2409'!$D$15:$E$61,'2409'!$C$15:$C$61)*$C$26/1000,0))</f>
        <v>20439</v>
      </c>
      <c r="K26" s="796">
        <f>IF(K21=0,"",ROUND(LOOKUP(K21,'2409'!$D$15:$E$61,'2409'!$C$15:$C$61)*$C$26/1000,0))</f>
        <v>20439</v>
      </c>
      <c r="L26" s="796">
        <f>IF(L21=0,"",ROUND(LOOKUP(L21,'2409'!$D$15:$E$61,'2409'!$C$15:$C$61)*$C$26/1000,0))</f>
        <v>20439</v>
      </c>
      <c r="M26" s="796">
        <f>IF(M21=0,"",ROUND(LOOKUP(M21,'2409'!$D$15:$E$61,'2409'!$C$15:$C$61)*$C$26/1000,0))</f>
        <v>20439</v>
      </c>
      <c r="N26" s="783">
        <f>IF(N20=0,"",ROUND((ROUNDDOWN(N20,-3)*$C$26/1000),0))</f>
        <v>24925</v>
      </c>
      <c r="O26" s="553">
        <f>IF(O21=0,"",ROUND(LOOKUP(O21,'2409'!$D$15:$E$61,'2409'!$C$15:$C$61)*$C$26/1000,0))</f>
        <v>20439</v>
      </c>
      <c r="P26" s="796">
        <f>IF(P21=0,"",ROUND(LOOKUP(P21,'2409'!$D$15:$E$61,'2409'!$C$15:$C$61)*$C$26/1000,0))</f>
        <v>20439</v>
      </c>
      <c r="Q26" s="796">
        <f>IF(Q21=0,"",ROUND(LOOKUP(Q21,'2409'!$D$15:$E$61,'2409'!$C$15:$C$61)*$C$26/1000,0))</f>
        <v>20439</v>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295118</v>
      </c>
    </row>
    <row r="27" spans="1:25" ht="17.25" customHeight="1" thickBot="1">
      <c r="A27" s="1189" t="s">
        <v>100</v>
      </c>
      <c r="B27" s="41" t="s">
        <v>101</v>
      </c>
      <c r="C27" s="536">
        <v>0</v>
      </c>
      <c r="D27" s="797">
        <f>IF(D21=0,"",ROUND(LOOKUP(D21,'2409'!$D$15:$E$61,'2409'!$C$15:$C$61)*$C$27/1000,0))</f>
        <v>0</v>
      </c>
      <c r="E27" s="797">
        <f>IF(E21=0,"",ROUND(LOOKUP(E21,'2409'!$D$15:$E$61,'2409'!$C$15:$C$61)*$C$27/1000,0))</f>
        <v>0</v>
      </c>
      <c r="F27" s="797">
        <f>IF(F21=0,"",ROUND(LOOKUP(F21,'2409'!$D$15:$E$61,'2409'!$C$15:$C$61)*$C$27/1000,0))</f>
        <v>0</v>
      </c>
      <c r="G27" s="332">
        <f>IF(G20=0,"",ROUND((ROUNDDOWN(G20,-3)*$C$27/1000),0))</f>
        <v>0</v>
      </c>
      <c r="H27" s="797">
        <f>IF(H21=0,"",ROUND(LOOKUP(H21,'2409'!$D$15:$E$61,'2409'!$C$15:$C$61)*$C$27/1000,0))</f>
        <v>0</v>
      </c>
      <c r="I27" s="797">
        <f>IF(I21=0,"",ROUND(LOOKUP(I21,'2409'!$D$15:$E$61,'2409'!$C$15:$C$61)*$C$27/1000,0))</f>
        <v>0</v>
      </c>
      <c r="J27" s="797">
        <f>IF(J21=0,"",ROUND(LOOKUP(J21,'2409'!$D$15:$E$61,'2409'!$C$15:$C$61)*$C$27/1000,0))</f>
        <v>0</v>
      </c>
      <c r="K27" s="797">
        <f>IF(K21=0,"",ROUND(LOOKUP(K21,'2409'!$D$15:$E$61,'2409'!$C$15:$C$61)*$C$27/1000,0))</f>
        <v>0</v>
      </c>
      <c r="L27" s="797">
        <f>IF(L21=0,"",ROUND(LOOKUP(L21,'2409'!$D$15:$E$61,'2409'!$C$15:$C$61)*$C$27/1000,0))</f>
        <v>0</v>
      </c>
      <c r="M27" s="797">
        <f>IF(M21=0,"",ROUND(LOOKUP(M21,'2409'!$D$15:$E$61,'2409'!$C$15:$C$61)*$C$27/1000,0))</f>
        <v>0</v>
      </c>
      <c r="N27" s="784">
        <f>IF(N20=0,"",ROUND((ROUNDDOWN(N20,-3)*$C$27/1000),0))</f>
        <v>0</v>
      </c>
      <c r="O27" s="332">
        <f>IF(O21=0,"",ROUND(LOOKUP(O21,'2409'!$D$15:$E$61,'2409'!$C$15:$C$61)*$C$27/1000,0))</f>
        <v>0</v>
      </c>
      <c r="P27" s="797">
        <f>IF(P21=0,"",ROUND(LOOKUP(P21,'2409'!$D$15:$E$61,'2409'!$C$15:$C$61)*$C$27/1000,0))</f>
        <v>0</v>
      </c>
      <c r="Q27" s="797">
        <f>IF(Q21=0,"",ROUND(LOOKUP(Q21,'2409'!$D$15:$E$61,'2409'!$C$15:$C$61)*$C$27/1000,0))</f>
        <v>0</v>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3" ref="Y27:Y40">SUM(D27:X27)</f>
        <v>0</v>
      </c>
    </row>
    <row r="28" spans="1:25" ht="17.25" customHeight="1" thickBot="1">
      <c r="A28" s="1190" t="s">
        <v>966</v>
      </c>
      <c r="B28" s="41" t="s">
        <v>101</v>
      </c>
      <c r="C28" s="536">
        <v>0</v>
      </c>
      <c r="D28" s="798"/>
      <c r="E28" s="571"/>
      <c r="F28" s="571"/>
      <c r="G28" s="332">
        <f>IF(G20=0,"",ROUND((ROUNDDOWN(G20,-3)*$C$28/1000),0))</f>
        <v>0</v>
      </c>
      <c r="H28" s="571"/>
      <c r="I28" s="571"/>
      <c r="J28" s="571"/>
      <c r="K28" s="571"/>
      <c r="L28" s="571"/>
      <c r="M28" s="571"/>
      <c r="N28" s="784">
        <f>IF(N20=0,"",ROUND((ROUNDDOWN(N20,-3)*$C$28/1000),0))</f>
        <v>0</v>
      </c>
      <c r="O28" s="571"/>
      <c r="P28" s="571"/>
      <c r="Q28" s="571"/>
      <c r="R28" s="332">
        <f>IF(R20=0,"",ROUND((ROUNDDOWN(R20,-3)*$C$28/1000),0))</f>
      </c>
      <c r="S28" s="798"/>
      <c r="T28" s="571"/>
      <c r="U28" s="571"/>
      <c r="V28" s="332">
        <f>IF(V20=0,"",ROUND((ROUNDDOWN(V20,-3)*$C$28/1000),0))</f>
      </c>
      <c r="W28" s="571"/>
      <c r="X28" s="1121"/>
      <c r="Y28" s="549">
        <f t="shared" si="3"/>
        <v>0</v>
      </c>
    </row>
    <row r="29" spans="1:25" ht="17.25" customHeight="1" thickBot="1">
      <c r="A29" s="1190" t="s">
        <v>967</v>
      </c>
      <c r="B29" s="41" t="s">
        <v>101</v>
      </c>
      <c r="C29" s="536">
        <v>0</v>
      </c>
      <c r="D29" s="797">
        <f>IF(D22=0,"",ROUND(LOOKUP(D22,'2409'!$D$19:$E$48,'2409'!$C$19:$C$48)*$C$29/1000,0))</f>
        <v>0</v>
      </c>
      <c r="E29" s="332">
        <f>IF(E22=0,"",ROUND(LOOKUP(E22,'2409'!$D$19:$E$48,'2409'!$C$19:$C$48)*$C$29/1000,0))</f>
        <v>0</v>
      </c>
      <c r="F29" s="332">
        <f>IF(F22=0,"",ROUND(LOOKUP(F22,'2409'!$D$19:$E$48,'2409'!$C$19:$C$48)*$C$29/1000,0))</f>
        <v>0</v>
      </c>
      <c r="G29" s="571"/>
      <c r="H29" s="332">
        <f>IF(H22=0,"",ROUND(LOOKUP(H22,'2409'!$D$19:$E$48,'2409'!$C$19:$C$48)*$C$29/1000,0))</f>
        <v>0</v>
      </c>
      <c r="I29" s="332">
        <f>IF(I22=0,"",ROUND(LOOKUP(I22,'2409'!$D$19:$E$48,'2409'!$C$19:$C$48)*$C$29/1000,0))</f>
        <v>0</v>
      </c>
      <c r="J29" s="332">
        <f>IF(J22=0,"",ROUND(LOOKUP(J22,'2409'!$D$19:$E$48,'2409'!$C$19:$C$48)*$C$29/1000,0))</f>
        <v>0</v>
      </c>
      <c r="K29" s="332">
        <f>IF(K22=0,"",ROUND(LOOKUP(K22,'2409'!$D$19:$E$48,'2409'!$C$19:$C$48)*$C$29/1000,0))</f>
        <v>0</v>
      </c>
      <c r="L29" s="332">
        <f>IF(L22=0,"",ROUND(LOOKUP(L22,'2409'!$D$19:$E$48,'2409'!$C$19:$C$48)*$C$29/1000,0))</f>
        <v>0</v>
      </c>
      <c r="M29" s="332">
        <f>IF(M22=0,"",ROUND(LOOKUP(M22,'2409'!$D$19:$E$48,'2409'!$C$19:$C$48)*$C$29/1000,0))</f>
        <v>0</v>
      </c>
      <c r="N29" s="785"/>
      <c r="O29" s="332">
        <f>IF(O22=0,"",ROUND(LOOKUP(O22,'2409'!$D$19:$E$48,'2409'!$C$19:$C$48)*$C$29/1000,0))</f>
        <v>0</v>
      </c>
      <c r="P29" s="332">
        <f>IF(P22=0,"",ROUND(LOOKUP(P22,'2409'!$D$19:$E$48,'2409'!$C$19:$C$48)*$C$29/1000,0))</f>
        <v>0</v>
      </c>
      <c r="Q29" s="332">
        <f>IF(Q22=0,"",ROUND(LOOKUP(Q22,'2409'!$D$19:$E$48,'2409'!$C$19:$C$48)*$C$29/1000,0))</f>
        <v>0</v>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3"/>
        <v>0</v>
      </c>
    </row>
    <row r="30" spans="1:25" ht="17.25" customHeight="1" thickBot="1">
      <c r="A30" s="1190" t="s">
        <v>247</v>
      </c>
      <c r="B30" s="41" t="s">
        <v>101</v>
      </c>
      <c r="C30" s="537">
        <v>83.83</v>
      </c>
      <c r="D30" s="332">
        <f>IF(D22=0,"",ROUND(LOOKUP(D22,'2409'!$D$19:$E$48,'2409'!$C$19:$C$48)*$C$30/1000,0))</f>
        <v>34370</v>
      </c>
      <c r="E30" s="332">
        <f>IF(E22=0,"",ROUND(LOOKUP(E22,'2409'!$D$19:$E$48,'2409'!$C$19:$C$48)*$C$30/1000,0))</f>
        <v>34370</v>
      </c>
      <c r="F30" s="332">
        <f>IF(F22=0,"",ROUND(LOOKUP(F22,'2409'!$D$19:$E$48,'2409'!$C$19:$C$48)*$C$30/1000,0))</f>
        <v>34370</v>
      </c>
      <c r="G30" s="332">
        <f>IF(G20=0,"",ROUND((ROUNDDOWN(G20,-3)*$C$30/1000),0))</f>
        <v>41915</v>
      </c>
      <c r="H30" s="332">
        <f>IF(H22=0,"",ROUND(LOOKUP(H22,'2409'!$D$19:$E$48,'2409'!$C$19:$C$48)*$C$30/1000,0))</f>
        <v>34370</v>
      </c>
      <c r="I30" s="332">
        <f>IF(I22=0,"",ROUND(LOOKUP(I22,'2409'!$D$19:$E$48,'2409'!$C$19:$C$48)*$C$30/1000,0))</f>
        <v>34370</v>
      </c>
      <c r="J30" s="571"/>
      <c r="K30" s="571"/>
      <c r="L30" s="571"/>
      <c r="M30" s="571"/>
      <c r="N30" s="785"/>
      <c r="O30" s="571"/>
      <c r="P30" s="571"/>
      <c r="Q30" s="571"/>
      <c r="R30" s="571"/>
      <c r="S30" s="798"/>
      <c r="T30" s="571"/>
      <c r="U30" s="571"/>
      <c r="V30" s="571"/>
      <c r="W30" s="571"/>
      <c r="X30" s="1121"/>
      <c r="Y30" s="549">
        <f t="shared" si="3"/>
        <v>213765</v>
      </c>
    </row>
    <row r="31" spans="1:25" ht="17.25" customHeight="1" thickBot="1">
      <c r="A31" s="1190" t="s">
        <v>966</v>
      </c>
      <c r="B31" s="41" t="s">
        <v>101</v>
      </c>
      <c r="C31" s="536">
        <v>0</v>
      </c>
      <c r="D31" s="798"/>
      <c r="E31" s="571"/>
      <c r="F31" s="571"/>
      <c r="G31" s="332">
        <f>IF(G20=0,"",ROUND((ROUNDDOWN(G20,-3)*$C$31/1000),0))</f>
        <v>0</v>
      </c>
      <c r="H31" s="571"/>
      <c r="I31" s="571"/>
      <c r="J31" s="571"/>
      <c r="K31" s="571"/>
      <c r="L31" s="571"/>
      <c r="M31" s="571"/>
      <c r="N31" s="784">
        <f>IF(N20=0,"",ROUND((ROUNDDOWN(N20,-3)*$C$31/1000),0))</f>
        <v>0</v>
      </c>
      <c r="O31" s="571"/>
      <c r="P31" s="571"/>
      <c r="Q31" s="571"/>
      <c r="R31" s="332">
        <f>IF(R20=0,"",ROUND((ROUNDDOWN(R20,-3)*$C$31/1000),0))</f>
      </c>
      <c r="S31" s="798"/>
      <c r="T31" s="571"/>
      <c r="U31" s="571"/>
      <c r="V31" s="332">
        <f>IF(V20=0,"",ROUND((ROUNDDOWN(V20,-3)*$C$31/1000),0))</f>
      </c>
      <c r="W31" s="571"/>
      <c r="X31" s="1121"/>
      <c r="Y31" s="549">
        <f t="shared" si="3"/>
        <v>0</v>
      </c>
    </row>
    <row r="32" spans="1:25" ht="17.25" customHeight="1" thickBot="1">
      <c r="A32" s="1190" t="s">
        <v>967</v>
      </c>
      <c r="B32" s="41" t="s">
        <v>101</v>
      </c>
      <c r="C32" s="536">
        <v>0</v>
      </c>
      <c r="D32" s="797">
        <f>IF(D22=0,"",ROUND(LOOKUP(D22,'2409'!$D$19:$E$48,'2409'!$C$19:$C$48)*$C$32/1000,0))</f>
        <v>0</v>
      </c>
      <c r="E32" s="332">
        <f>IF(E22=0,"",ROUND(LOOKUP(E22,'2409'!$D$19:$E$48,'2409'!$C$19:$C$48)*$C$32/1000,0))</f>
        <v>0</v>
      </c>
      <c r="F32" s="332">
        <f>IF(F22=0,"",ROUND(LOOKUP(F22,'2409'!$D$19:$E$48,'2409'!$C$19:$C$48)*$C$32/1000,0))</f>
        <v>0</v>
      </c>
      <c r="G32" s="571"/>
      <c r="H32" s="332">
        <f>IF(H22=0,"",ROUND(LOOKUP(H22,'2409'!$D$19:$E$48,'2409'!$C$19:$C$48)*$C$32/1000,0))</f>
        <v>0</v>
      </c>
      <c r="I32" s="332">
        <f>IF(I22=0,"",ROUND(LOOKUP(I22,'2409'!$D$19:$E$48,'2409'!$C$19:$C$48)*$C$32/1000,0))</f>
        <v>0</v>
      </c>
      <c r="J32" s="332">
        <f>IF(J22=0,"",ROUND(LOOKUP(J22,'2409'!$D$19:$E$48,'2409'!$C$19:$C$48)*$C$32/1000,0))</f>
        <v>0</v>
      </c>
      <c r="K32" s="332">
        <f>IF(K22=0,"",ROUND(LOOKUP(K22,'2409'!$D$19:$E$48,'2409'!$C$19:$C$48)*$C$32/1000,0))</f>
        <v>0</v>
      </c>
      <c r="L32" s="332">
        <f>IF(L22=0,"",ROUND(LOOKUP(L22,'2409'!$D$19:$E$48,'2409'!$C$19:$C$48)*$C$32/1000,0))</f>
        <v>0</v>
      </c>
      <c r="M32" s="332">
        <f>IF(M22=0,"",ROUND(LOOKUP(M22,'2409'!$D$19:$E$48,'2409'!$C$19:$C$48)*$C$32/1000,0))</f>
        <v>0</v>
      </c>
      <c r="N32" s="785"/>
      <c r="O32" s="332">
        <f>IF(O22=0,"",ROUND(LOOKUP(O22,'2409'!$D$19:$E$48,'2409'!$C$19:$C$48)*$C$32/1000,0))</f>
        <v>0</v>
      </c>
      <c r="P32" s="332">
        <f>IF(P22=0,"",ROUND(LOOKUP(P22,'2409'!$D$19:$E$48,'2409'!$C$19:$C$48)*$C$32/1000,0))</f>
        <v>0</v>
      </c>
      <c r="Q32" s="332">
        <f>IF(Q22=0,"",ROUND(LOOKUP(Q22,'2409'!$D$19:$E$48,'2409'!$C$19:$C$48)*$C$32/1000,0))</f>
        <v>0</v>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3"/>
        <v>0</v>
      </c>
    </row>
    <row r="33" spans="1:25" ht="17.25" customHeight="1" thickBot="1">
      <c r="A33" s="1190" t="s">
        <v>978</v>
      </c>
      <c r="B33" s="41" t="s">
        <v>101</v>
      </c>
      <c r="C33" s="537">
        <v>85.6</v>
      </c>
      <c r="D33" s="798"/>
      <c r="E33" s="571"/>
      <c r="F33" s="571"/>
      <c r="G33" s="571"/>
      <c r="H33" s="571"/>
      <c r="I33" s="571"/>
      <c r="J33" s="332">
        <f>IF(J22=0,"",ROUND(LOOKUP(J22,'2409'!$D$19:$E$48,'2409'!$C$19:$C$48)*$C$33/1000,0))</f>
        <v>35096</v>
      </c>
      <c r="K33" s="332">
        <f>IF(K22=0,"",ROUND(LOOKUP(K22,'2409'!$D$19:$E$48,'2409'!$C$19:$C$48)*$C$33/1000,0))</f>
        <v>35096</v>
      </c>
      <c r="L33" s="332">
        <f>IF(L22=0,"",ROUND(LOOKUP(L22,'2409'!$D$19:$E$48,'2409'!$C$19:$C$48)*$C$33/1000,0))</f>
        <v>35096</v>
      </c>
      <c r="M33" s="332">
        <f>IF(M22=0,"",ROUND(LOOKUP(M22,'2409'!$D$19:$E$48,'2409'!$C$19:$C$48)*$C$33/1000,0))</f>
        <v>35096</v>
      </c>
      <c r="N33" s="784">
        <f>IF(N20=0,"",ROUND((ROUNDDOWN(N20,-3)*$C$33/1000),0))</f>
        <v>42800</v>
      </c>
      <c r="O33" s="332">
        <f>IF(O22=0,"",ROUND(LOOKUP(O22,'2409'!$D$19:$E$48,'2409'!$C$19:$C$48)*$C$33/1000,0))</f>
        <v>35096</v>
      </c>
      <c r="P33" s="332">
        <f>IF(P22=0,"",ROUND(LOOKUP(P22,'2409'!$D$19:$E$48,'2409'!$C$19:$C$48)*$C$33/1000,0))</f>
        <v>35096</v>
      </c>
      <c r="Q33" s="332">
        <f>IF(Q22=0,"",ROUND(LOOKUP(Q22,'2409'!$D$19:$E$48,'2409'!$C$19:$C$48)*$C$33/1000,0))</f>
        <v>35096</v>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3"/>
        <v>288472</v>
      </c>
    </row>
    <row r="34" spans="1:25" ht="17.25" customHeight="1" thickBot="1">
      <c r="A34" s="1191" t="s">
        <v>231</v>
      </c>
      <c r="B34" s="41" t="s">
        <v>101</v>
      </c>
      <c r="C34" s="540">
        <v>0</v>
      </c>
      <c r="D34" s="797">
        <f>IF(D21=0,"",ROUND(LOOKUP(D21,'2409'!$D$15:$E$61,'2409'!$C$15:$C$61)*$C$34/1000,0))</f>
        <v>0</v>
      </c>
      <c r="E34" s="797">
        <f>IF(E21=0,"",ROUND(LOOKUP(E21,'2409'!$D$15:$E$61,'2409'!$C$15:$C$61)*$C$34/1000,0))</f>
        <v>0</v>
      </c>
      <c r="F34" s="797">
        <f>IF(F21=0,"",ROUND(LOOKUP(F21,'2409'!$D$15:$E$61,'2409'!$C$15:$C$61)*$C$34/1000,0))</f>
        <v>0</v>
      </c>
      <c r="G34" s="332">
        <f>IF(G20=0,"",ROUND((ROUNDDOWN(G20,-3)*$C$34/1000),0))</f>
        <v>0</v>
      </c>
      <c r="H34" s="797">
        <f>IF(H21=0,"",ROUND(LOOKUP(H21,'2409'!$D$15:$E$61,'2409'!$C$15:$C$61)*$C$34/1000,0))</f>
        <v>0</v>
      </c>
      <c r="I34" s="797">
        <f>IF(I21=0,"",ROUND(LOOKUP(I21,'2409'!$D$15:$E$61,'2409'!$C$15:$C$61)*$C$34/1000,0))</f>
        <v>0</v>
      </c>
      <c r="J34" s="797">
        <f>IF(J21=0,"",ROUND(LOOKUP(J21,'2409'!$D$15:$E$61,'2409'!$C$15:$C$61)*$C$34/1000,0))</f>
        <v>0</v>
      </c>
      <c r="K34" s="797">
        <f>IF(K21=0,"",ROUND(LOOKUP(K21,'2409'!$D$15:$E$61,'2409'!$C$15:$C$61)*$C$34/1000,0))</f>
        <v>0</v>
      </c>
      <c r="L34" s="797">
        <f>IF(L21=0,"",ROUND(LOOKUP(L21,'2409'!$D$15:$E$61,'2409'!$C$15:$C$61)*$C$34/1000,0))</f>
        <v>0</v>
      </c>
      <c r="M34" s="797">
        <f>IF(M21=0,"",ROUND(LOOKUP(M21,'2409'!$D$15:$E$61,'2409'!$C$15:$C$61)*$C$34/1000,0))</f>
        <v>0</v>
      </c>
      <c r="N34" s="784">
        <f>IF(N20=0,"",ROUND((ROUNDDOWN(N20,-3)*$C$34/1000),0))</f>
        <v>0</v>
      </c>
      <c r="O34" s="332">
        <f>IF(O21=0,"",ROUND(LOOKUP(O21,'2409'!$D$15:$E$61,'2409'!$C$15:$C$61)*$C$34/1000,0))</f>
        <v>0</v>
      </c>
      <c r="P34" s="797">
        <f>IF(P21=0,"",ROUND(LOOKUP(P21,'2409'!$D$15:$E$61,'2409'!$C$15:$C$61)*$C$34/1000,0))</f>
        <v>0</v>
      </c>
      <c r="Q34" s="571"/>
      <c r="R34" s="332"/>
      <c r="S34" s="798"/>
      <c r="T34" s="571"/>
      <c r="U34" s="571"/>
      <c r="V34" s="332"/>
      <c r="W34" s="571"/>
      <c r="X34" s="1121"/>
      <c r="Y34" s="549">
        <f t="shared" si="3"/>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v>0</v>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3"/>
        <v>0</v>
      </c>
    </row>
    <row r="36" spans="1:25" ht="17.25" customHeight="1" thickBot="1">
      <c r="A36" s="1191" t="s">
        <v>102</v>
      </c>
      <c r="B36" s="41" t="s">
        <v>101</v>
      </c>
      <c r="C36" s="536">
        <v>8.5</v>
      </c>
      <c r="D36" s="797">
        <f aca="true" t="shared" si="4" ref="D36:I36">IF(D20=0,"",ROUND(D20*$C$36/1000,0))</f>
        <v>2833</v>
      </c>
      <c r="E36" s="332">
        <f t="shared" si="4"/>
        <v>2635</v>
      </c>
      <c r="F36" s="332">
        <f t="shared" si="4"/>
        <v>2635</v>
      </c>
      <c r="G36" s="332">
        <f t="shared" si="4"/>
        <v>4250</v>
      </c>
      <c r="H36" s="332">
        <f t="shared" si="4"/>
        <v>2833</v>
      </c>
      <c r="I36" s="332">
        <f t="shared" si="4"/>
        <v>2635</v>
      </c>
      <c r="J36" s="332">
        <f aca="true" t="shared" si="5" ref="J36:T36">IF(J20=0,"",ROUND(J20*$C$36/1000,0))</f>
        <v>2635</v>
      </c>
      <c r="K36" s="332">
        <f t="shared" si="5"/>
        <v>2833</v>
      </c>
      <c r="L36" s="332">
        <f t="shared" si="5"/>
        <v>2635</v>
      </c>
      <c r="M36" s="332">
        <f t="shared" si="5"/>
        <v>2635</v>
      </c>
      <c r="N36" s="784">
        <f t="shared" si="5"/>
        <v>4250</v>
      </c>
      <c r="O36" s="332">
        <f t="shared" si="5"/>
        <v>2833</v>
      </c>
      <c r="P36" s="332">
        <f t="shared" si="5"/>
        <v>2635</v>
      </c>
      <c r="Q36" s="332">
        <f>IF(Q20=0,"",ROUND(Q20*$C$36/1000,0))</f>
        <v>2635</v>
      </c>
      <c r="R36" s="332">
        <f>IF(R20=0,"",ROUND(R20*$C$36/1000,0))</f>
      </c>
      <c r="S36" s="797">
        <f>IF(S20=0,"",ROUND(S20*$C$36/1000,0))</f>
      </c>
      <c r="T36" s="332">
        <f t="shared" si="5"/>
      </c>
      <c r="U36" s="332">
        <f>IF(U20=0,"",ROUND(U20*$C$36/1000,0))</f>
      </c>
      <c r="V36" s="332">
        <f>IF(V20=0,"",ROUND(V20*$C$36/1000,0))</f>
      </c>
      <c r="W36" s="332">
        <f>IF(W20=0,"",ROUND(W20*$C$36/1000,0))</f>
      </c>
      <c r="X36" s="1120">
        <f>IF(X20=0,"",ROUND(X20*$C$36/1000,0))</f>
      </c>
      <c r="Y36" s="549">
        <f t="shared" si="3"/>
        <v>40912</v>
      </c>
    </row>
    <row r="37" spans="1:25" ht="17.25" customHeight="1" thickBot="1">
      <c r="A37" s="1191" t="s">
        <v>103</v>
      </c>
      <c r="B37" s="41" t="s">
        <v>101</v>
      </c>
      <c r="C37" s="540">
        <v>3</v>
      </c>
      <c r="D37" s="797">
        <f aca="true" t="shared" si="6" ref="D37:K37">IF(D20=0,"",ROUNDDOWN(D20*$C$37/1000,0))</f>
        <v>999</v>
      </c>
      <c r="E37" s="332">
        <f t="shared" si="6"/>
        <v>930</v>
      </c>
      <c r="F37" s="332">
        <f t="shared" si="6"/>
        <v>930</v>
      </c>
      <c r="G37" s="332">
        <f t="shared" si="6"/>
        <v>1500</v>
      </c>
      <c r="H37" s="332">
        <f t="shared" si="6"/>
        <v>999</v>
      </c>
      <c r="I37" s="332">
        <f t="shared" si="6"/>
        <v>930</v>
      </c>
      <c r="J37" s="332">
        <f t="shared" si="6"/>
        <v>930</v>
      </c>
      <c r="K37" s="332">
        <f t="shared" si="6"/>
        <v>999</v>
      </c>
      <c r="L37" s="332">
        <f aca="true" t="shared" si="7" ref="L37:T37">IF(L20=0,"",ROUNDDOWN(L20*$C$37/1000,0))</f>
        <v>930</v>
      </c>
      <c r="M37" s="332">
        <f t="shared" si="7"/>
        <v>930</v>
      </c>
      <c r="N37" s="784">
        <f t="shared" si="7"/>
        <v>1500</v>
      </c>
      <c r="O37" s="332">
        <f t="shared" si="7"/>
        <v>999</v>
      </c>
      <c r="P37" s="332">
        <f t="shared" si="7"/>
        <v>930</v>
      </c>
      <c r="Q37" s="332">
        <f>IF(Q20=0,"",ROUNDDOWN(Q20*$C$37/1000,0))</f>
        <v>930</v>
      </c>
      <c r="R37" s="332">
        <f>IF(R20=0,"",ROUNDDOWN(R20*$C$37/1000,0))</f>
      </c>
      <c r="S37" s="797">
        <f>IF(S20=0,"",ROUNDDOWN(S20*$C$37/1000,0))</f>
      </c>
      <c r="T37" s="332">
        <f t="shared" si="7"/>
      </c>
      <c r="U37" s="332">
        <f>IF(U20=0,"",ROUNDDOWN(U20*$C$37/1000,0))</f>
      </c>
      <c r="V37" s="332">
        <f>IF(V20=0,"",ROUNDDOWN(V20*$C$37/1000,0))</f>
      </c>
      <c r="W37" s="332">
        <f>IF(W20=0,"",ROUNDDOWN(W20*$C$37/1000,0))</f>
      </c>
      <c r="X37" s="1120">
        <f>IF(X20=0,"",ROUNDDOWN(X20*$C$37/1000,0))</f>
      </c>
      <c r="Y37" s="549">
        <f t="shared" si="3"/>
        <v>14436</v>
      </c>
    </row>
    <row r="38" spans="1:25" ht="17.25" customHeight="1" thickBot="1">
      <c r="A38" s="1191" t="s">
        <v>103</v>
      </c>
      <c r="B38" s="41" t="s">
        <v>101</v>
      </c>
      <c r="C38" s="540">
        <v>0</v>
      </c>
      <c r="D38" s="797">
        <f aca="true" t="shared" si="8" ref="D38:N38">IF(D20=0,"",ROUNDDOWN(D20*$C$38/1000,0))</f>
        <v>0</v>
      </c>
      <c r="E38" s="332">
        <f t="shared" si="8"/>
        <v>0</v>
      </c>
      <c r="F38" s="332">
        <f t="shared" si="8"/>
        <v>0</v>
      </c>
      <c r="G38" s="332">
        <f t="shared" si="8"/>
        <v>0</v>
      </c>
      <c r="H38" s="332">
        <f t="shared" si="8"/>
        <v>0</v>
      </c>
      <c r="I38" s="332">
        <f t="shared" si="8"/>
        <v>0</v>
      </c>
      <c r="J38" s="332">
        <f t="shared" si="8"/>
        <v>0</v>
      </c>
      <c r="K38" s="332">
        <f t="shared" si="8"/>
        <v>0</v>
      </c>
      <c r="L38" s="332">
        <f t="shared" si="8"/>
        <v>0</v>
      </c>
      <c r="M38" s="332">
        <f t="shared" si="8"/>
        <v>0</v>
      </c>
      <c r="N38" s="784">
        <f t="shared" si="8"/>
        <v>0</v>
      </c>
      <c r="O38" s="332">
        <f aca="true" t="shared" si="9" ref="O38:T38">IF(O20=0,"",ROUNDDOWN(O20*$C$38/1000,0))</f>
        <v>0</v>
      </c>
      <c r="P38" s="332">
        <f t="shared" si="9"/>
        <v>0</v>
      </c>
      <c r="Q38" s="332">
        <f t="shared" si="9"/>
        <v>0</v>
      </c>
      <c r="R38" s="332">
        <f t="shared" si="9"/>
      </c>
      <c r="S38" s="797">
        <f t="shared" si="9"/>
      </c>
      <c r="T38" s="332">
        <f t="shared" si="9"/>
      </c>
      <c r="U38" s="332">
        <f>IF(U20=0,"",ROUNDDOWN(U20*$C$38/1000,0))</f>
      </c>
      <c r="V38" s="332">
        <f>IF(V20=0,"",ROUNDDOWN(V20*$C$38/1000,0))</f>
      </c>
      <c r="W38" s="332">
        <f>IF(W20=0,"",ROUNDDOWN(W20*$C$38/1000,0))</f>
      </c>
      <c r="X38" s="1120">
        <f>IF(X20=0,"",ROUNDDOWN(X20*$C$38/1000,0))</f>
      </c>
      <c r="Y38" s="549">
        <f t="shared" si="3"/>
        <v>0</v>
      </c>
    </row>
    <row r="39" spans="1:25" ht="17.25" customHeight="1" thickBot="1">
      <c r="A39" s="1192" t="s">
        <v>215</v>
      </c>
      <c r="B39" s="853" t="s">
        <v>101</v>
      </c>
      <c r="C39" s="854">
        <v>1.5</v>
      </c>
      <c r="D39" s="855">
        <f>IF(D22=0,"",ROUND(LOOKUP(D22,'2409'!$D$19:$E$48,'2409'!$C$19:$C$48)*$C$39/1000,0))</f>
        <v>615</v>
      </c>
      <c r="E39" s="856">
        <f>IF(E22=0,"",ROUND(LOOKUP(E22,'2409'!$D$19:$E$48,'2409'!$C$19:$C$48)*$C$39/1000,0))</f>
        <v>615</v>
      </c>
      <c r="F39" s="856">
        <f>IF(F22=0,"",ROUND(LOOKUP(F22,'2409'!$D$19:$E$48,'2409'!$C$19:$C$48)*$C$39/1000,0))</f>
        <v>615</v>
      </c>
      <c r="G39" s="856">
        <f>IF(G20=0,"",ROUND((ROUNDDOWN(G20,-3)*$C$39/1000),0))</f>
        <v>750</v>
      </c>
      <c r="H39" s="856">
        <f>IF(H22=0,"",ROUND(LOOKUP(H22,'2409'!$D$19:$E$48,'2409'!$C$19:$C$48)*$C$39/1000,0))</f>
        <v>615</v>
      </c>
      <c r="I39" s="856">
        <f>IF(I22=0,"",ROUND(LOOKUP(I22,'2409'!$D$19:$E$48,'2409'!$C$19:$C$48)*$C$39/1000,0))</f>
        <v>615</v>
      </c>
      <c r="J39" s="856">
        <f>IF(J22=0,"",ROUND(LOOKUP(J22,'2409'!$D$19:$E$48,'2409'!$C$19:$C$48)*$C$39/1000,0))</f>
        <v>615</v>
      </c>
      <c r="K39" s="856">
        <f>IF(K22=0,"",ROUND(LOOKUP(K22,'2409'!$D$19:$E$48,'2409'!$C$19:$C$48)*$C$39/1000,0))</f>
        <v>615</v>
      </c>
      <c r="L39" s="856">
        <f>IF(L22=0,"",ROUND(LOOKUP(L22,'2409'!$D$19:$E$48,'2409'!$C$19:$C$48)*$C$39/1000,0))</f>
        <v>615</v>
      </c>
      <c r="M39" s="856">
        <f>IF(M22=0,"",ROUND(LOOKUP(M22,'2409'!$D$19:$E$48,'2409'!$C$19:$C$48)*$C$39/1000,0))</f>
        <v>615</v>
      </c>
      <c r="N39" s="857">
        <f>IF(N20=0,"",ROUND((ROUNDDOWN(N20,-3)*$C$39/1000),0))</f>
        <v>750</v>
      </c>
      <c r="O39" s="856">
        <f>IF(O22=0,"",ROUND(LOOKUP(O22,'2409'!$D$19:$E$48,'2409'!$C$19:$C$48)*$C$39/1000,0))</f>
        <v>615</v>
      </c>
      <c r="P39" s="856">
        <f>IF(P22=0,"",ROUND(LOOKUP(P22,'2409'!$D$19:$E$48,'2409'!$C$19:$C$48)*$C$39/1000,0))</f>
        <v>615</v>
      </c>
      <c r="Q39" s="856">
        <f>IF(Q22=0,"",ROUND(LOOKUP(Q22,'2409'!$D$19:$E$48,'2409'!$C$19:$C$48)*$C$39/1000,0))</f>
        <v>615</v>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3"/>
        <v>8880</v>
      </c>
    </row>
    <row r="40" spans="1:26" ht="17.25" customHeight="1" thickBot="1">
      <c r="A40" s="807" t="s">
        <v>104</v>
      </c>
      <c r="B40" s="807"/>
      <c r="C40" s="799"/>
      <c r="D40" s="859">
        <f aca="true" t="shared" si="10" ref="D40:J40">SUM(D26:D39)</f>
        <v>59256</v>
      </c>
      <c r="E40" s="860">
        <f t="shared" si="10"/>
        <v>58989</v>
      </c>
      <c r="F40" s="860">
        <f t="shared" si="10"/>
        <v>58989</v>
      </c>
      <c r="G40" s="860">
        <f>SUM(G26:G39)</f>
        <v>73340</v>
      </c>
      <c r="H40" s="860">
        <f t="shared" si="10"/>
        <v>59256</v>
      </c>
      <c r="I40" s="860">
        <f t="shared" si="10"/>
        <v>58989</v>
      </c>
      <c r="J40" s="860">
        <f t="shared" si="10"/>
        <v>59715</v>
      </c>
      <c r="K40" s="860">
        <f aca="true" t="shared" si="11" ref="K40:T40">SUM(K26:K39)</f>
        <v>59982</v>
      </c>
      <c r="L40" s="860">
        <f t="shared" si="11"/>
        <v>59715</v>
      </c>
      <c r="M40" s="860">
        <f t="shared" si="11"/>
        <v>59715</v>
      </c>
      <c r="N40" s="861">
        <f t="shared" si="11"/>
        <v>74225</v>
      </c>
      <c r="O40" s="860">
        <f t="shared" si="11"/>
        <v>59982</v>
      </c>
      <c r="P40" s="860">
        <f t="shared" si="11"/>
        <v>59715</v>
      </c>
      <c r="Q40" s="860">
        <f t="shared" si="11"/>
        <v>59715</v>
      </c>
      <c r="R40" s="860">
        <f t="shared" si="11"/>
        <v>0</v>
      </c>
      <c r="S40" s="859">
        <f t="shared" si="11"/>
        <v>0</v>
      </c>
      <c r="T40" s="860">
        <f t="shared" si="11"/>
        <v>0</v>
      </c>
      <c r="U40" s="860">
        <f>SUM(U26:U39)</f>
        <v>0</v>
      </c>
      <c r="V40" s="860">
        <f>SUM(V26:V39)</f>
        <v>0</v>
      </c>
      <c r="W40" s="860">
        <f>SUM(W26:W39)</f>
        <v>0</v>
      </c>
      <c r="X40" s="1125">
        <f>SUM(X26:X39)</f>
        <v>0</v>
      </c>
      <c r="Y40" s="862">
        <f t="shared" si="3"/>
        <v>861583</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4813040</v>
      </c>
      <c r="F45" s="1380"/>
      <c r="G45" s="1381"/>
      <c r="H45" s="54" t="s">
        <v>219</v>
      </c>
      <c r="I45" s="1379">
        <f>Y40</f>
        <v>861583</v>
      </c>
      <c r="J45" s="1380"/>
      <c r="K45" s="1381"/>
      <c r="L45" s="573" t="s">
        <v>265</v>
      </c>
      <c r="M45" s="54" t="s">
        <v>220</v>
      </c>
      <c r="N45" s="1376">
        <f>R43</f>
        <v>1904</v>
      </c>
      <c r="O45" s="1377"/>
      <c r="P45" s="1378"/>
      <c r="Q45" s="535" t="s">
        <v>221</v>
      </c>
      <c r="R45" s="1374">
        <f>(ROUNDDOWN((E45+I45)/N45,0))</f>
        <v>2980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2980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1020" t="s">
        <v>473</v>
      </c>
      <c r="R51" s="57"/>
      <c r="S51" s="57"/>
      <c r="T51" s="57"/>
      <c r="U51" s="57"/>
      <c r="V51" s="57"/>
      <c r="W51" s="57"/>
      <c r="X51" s="57"/>
      <c r="Y51" s="52"/>
    </row>
    <row r="52" ht="15" customHeight="1"/>
  </sheetData>
  <sheetProtection sheet="1"/>
  <mergeCells count="33">
    <mergeCell ref="B51:D51"/>
    <mergeCell ref="B25:C25"/>
    <mergeCell ref="B21:C21"/>
    <mergeCell ref="A23:B24"/>
    <mergeCell ref="E45:G45"/>
    <mergeCell ref="H42:J42"/>
    <mergeCell ref="R47:S48"/>
    <mergeCell ref="R45:S45"/>
    <mergeCell ref="N45:P45"/>
    <mergeCell ref="I45:K45"/>
    <mergeCell ref="E42:G42"/>
    <mergeCell ref="S3:T3"/>
    <mergeCell ref="R43:S43"/>
    <mergeCell ref="B10:C10"/>
    <mergeCell ref="B13:C13"/>
    <mergeCell ref="B18:C18"/>
    <mergeCell ref="B12:C12"/>
    <mergeCell ref="R42:S42"/>
    <mergeCell ref="B8:C8"/>
    <mergeCell ref="B14:C14"/>
    <mergeCell ref="B22:C22"/>
    <mergeCell ref="B16:C16"/>
    <mergeCell ref="B17:C17"/>
    <mergeCell ref="S2:U2"/>
    <mergeCell ref="S4:U4"/>
    <mergeCell ref="B20:C20"/>
    <mergeCell ref="S5:T5"/>
    <mergeCell ref="B15:C15"/>
    <mergeCell ref="A5:B6"/>
    <mergeCell ref="B11:C11"/>
    <mergeCell ref="B19:C19"/>
    <mergeCell ref="B7:C7"/>
    <mergeCell ref="B9:C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G26:G30 N26:N30 R26:R30 R36:R40 G32:G40 N32:N40 R32:R35" formula="1"/>
    <ignoredError sqref="O20 D20" formulaRange="1"/>
    <ignoredError sqref="F51" unlockedFormula="1"/>
  </ignoredErrors>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t="str">
        <f>IF('対象者一覧表'!E8="","",'対象者一覧表'!E8)</f>
        <v>開発設計</v>
      </c>
      <c r="T3" s="1353"/>
      <c r="U3" s="1145" t="str">
        <f>IF('対象者一覧表'!F8="","",'対象者一覧表'!F8)</f>
        <v>チーフ</v>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t="str">
        <f>IF('対象者一覧表'!D8="","",'対象者一覧表'!D8)</f>
        <v>乙　次郎</v>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IF('対象者一覧表'!H8="","",'対象者一覧表'!H8)</f>
        <v>26343</v>
      </c>
      <c r="T5" s="1356"/>
      <c r="U5" s="526">
        <f>IF(S5="","",DATEDIF(S5,D7,"Y"))</f>
        <v>41</v>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v>300000</v>
      </c>
      <c r="E8" s="551">
        <v>300000</v>
      </c>
      <c r="F8" s="551">
        <v>300000</v>
      </c>
      <c r="G8" s="551">
        <v>800500</v>
      </c>
      <c r="H8" s="551">
        <v>300000</v>
      </c>
      <c r="I8" s="551">
        <v>300000</v>
      </c>
      <c r="J8" s="551">
        <v>300000</v>
      </c>
      <c r="K8" s="551">
        <v>300000</v>
      </c>
      <c r="L8" s="551">
        <v>300000</v>
      </c>
      <c r="M8" s="551">
        <v>300000</v>
      </c>
      <c r="N8" s="776">
        <v>950500</v>
      </c>
      <c r="O8" s="551">
        <v>300000</v>
      </c>
      <c r="P8" s="551">
        <v>300000</v>
      </c>
      <c r="Q8" s="551">
        <v>300000</v>
      </c>
      <c r="R8" s="551"/>
      <c r="S8" s="551"/>
      <c r="T8" s="551"/>
      <c r="U8" s="551"/>
      <c r="V8" s="551"/>
      <c r="W8" s="551"/>
      <c r="X8" s="1114"/>
      <c r="Y8" s="852">
        <f>SUM(D8:X8)</f>
        <v>5351000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v>23260</v>
      </c>
      <c r="E11" s="358"/>
      <c r="F11" s="358"/>
      <c r="G11" s="358"/>
      <c r="H11" s="358">
        <v>23260</v>
      </c>
      <c r="I11" s="358"/>
      <c r="J11" s="358"/>
      <c r="K11" s="358">
        <v>23260</v>
      </c>
      <c r="L11" s="358"/>
      <c r="M11" s="358"/>
      <c r="N11" s="777"/>
      <c r="O11" s="358">
        <v>23260</v>
      </c>
      <c r="P11" s="358"/>
      <c r="Q11" s="358"/>
      <c r="R11" s="358"/>
      <c r="S11" s="358"/>
      <c r="T11" s="358"/>
      <c r="U11" s="358"/>
      <c r="V11" s="358"/>
      <c r="W11" s="358"/>
      <c r="X11" s="1115"/>
      <c r="Y11" s="545">
        <f t="shared" si="0"/>
        <v>93040</v>
      </c>
    </row>
    <row r="12" spans="1:25" ht="17.25" customHeight="1">
      <c r="A12" s="560" t="s">
        <v>92</v>
      </c>
      <c r="B12" s="1357" t="s">
        <v>1011</v>
      </c>
      <c r="C12" s="1358"/>
      <c r="D12" s="792">
        <v>20000</v>
      </c>
      <c r="E12" s="358">
        <v>20000</v>
      </c>
      <c r="F12" s="358">
        <v>20000</v>
      </c>
      <c r="G12" s="358"/>
      <c r="H12" s="358">
        <v>20000</v>
      </c>
      <c r="I12" s="358">
        <v>20000</v>
      </c>
      <c r="J12" s="358">
        <v>20000</v>
      </c>
      <c r="K12" s="358">
        <v>20000</v>
      </c>
      <c r="L12" s="358">
        <v>20000</v>
      </c>
      <c r="M12" s="358">
        <v>20000</v>
      </c>
      <c r="N12" s="777"/>
      <c r="O12" s="358">
        <v>20000</v>
      </c>
      <c r="P12" s="358">
        <v>20000</v>
      </c>
      <c r="Q12" s="358">
        <v>20000</v>
      </c>
      <c r="R12" s="358"/>
      <c r="S12" s="358"/>
      <c r="T12" s="358"/>
      <c r="U12" s="358"/>
      <c r="V12" s="358"/>
      <c r="W12" s="358"/>
      <c r="X12" s="1115"/>
      <c r="Y12" s="545">
        <f t="shared" si="0"/>
        <v>240000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v>10000</v>
      </c>
      <c r="E14" s="358">
        <v>10000</v>
      </c>
      <c r="F14" s="358">
        <v>10000</v>
      </c>
      <c r="G14" s="358"/>
      <c r="H14" s="358">
        <v>10000</v>
      </c>
      <c r="I14" s="358">
        <v>10000</v>
      </c>
      <c r="J14" s="358">
        <v>10000</v>
      </c>
      <c r="K14" s="358">
        <v>10000</v>
      </c>
      <c r="L14" s="358">
        <v>10000</v>
      </c>
      <c r="M14" s="358">
        <v>10000</v>
      </c>
      <c r="N14" s="777"/>
      <c r="O14" s="358">
        <v>10000</v>
      </c>
      <c r="P14" s="358">
        <v>10000</v>
      </c>
      <c r="Q14" s="358">
        <v>10000</v>
      </c>
      <c r="R14" s="358"/>
      <c r="S14" s="358"/>
      <c r="T14" s="358"/>
      <c r="U14" s="358"/>
      <c r="V14" s="358"/>
      <c r="W14" s="358"/>
      <c r="X14" s="1115"/>
      <c r="Y14" s="545">
        <f t="shared" si="0"/>
        <v>120000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353260</v>
      </c>
      <c r="E20" s="529">
        <f t="shared" si="1"/>
        <v>330000</v>
      </c>
      <c r="F20" s="529">
        <f t="shared" si="1"/>
        <v>330000</v>
      </c>
      <c r="G20" s="529">
        <f t="shared" si="1"/>
        <v>800500</v>
      </c>
      <c r="H20" s="529">
        <f t="shared" si="1"/>
        <v>353260</v>
      </c>
      <c r="I20" s="529">
        <f t="shared" si="1"/>
        <v>330000</v>
      </c>
      <c r="J20" s="529">
        <f t="shared" si="1"/>
        <v>330000</v>
      </c>
      <c r="K20" s="529">
        <f t="shared" si="1"/>
        <v>353260</v>
      </c>
      <c r="L20" s="529">
        <f t="shared" si="1"/>
        <v>330000</v>
      </c>
      <c r="M20" s="529">
        <f t="shared" si="1"/>
        <v>330000</v>
      </c>
      <c r="N20" s="779">
        <f t="shared" si="1"/>
        <v>950500</v>
      </c>
      <c r="O20" s="529">
        <f t="shared" si="1"/>
        <v>353260</v>
      </c>
      <c r="P20" s="529">
        <f t="shared" si="1"/>
        <v>330000</v>
      </c>
      <c r="Q20" s="529">
        <f t="shared" si="1"/>
        <v>330000</v>
      </c>
      <c r="R20" s="529">
        <f t="shared" si="1"/>
        <v>0</v>
      </c>
      <c r="S20" s="529">
        <f t="shared" si="1"/>
        <v>0</v>
      </c>
      <c r="T20" s="529">
        <f t="shared" si="1"/>
        <v>0</v>
      </c>
      <c r="U20" s="529">
        <f>SUM(U8:U19)</f>
        <v>0</v>
      </c>
      <c r="V20" s="529">
        <f>SUM(V8:V19)</f>
        <v>0</v>
      </c>
      <c r="W20" s="529">
        <f>SUM(W8:W19)</f>
        <v>0</v>
      </c>
      <c r="X20" s="848">
        <f>SUM(X8:X19)</f>
        <v>0</v>
      </c>
      <c r="Y20" s="546">
        <f t="shared" si="0"/>
        <v>5804040</v>
      </c>
      <c r="Z20" s="19"/>
    </row>
    <row r="21" spans="1:25" ht="17.25" customHeight="1">
      <c r="A21" s="563" t="s">
        <v>232</v>
      </c>
      <c r="B21" s="1386" t="s">
        <v>218</v>
      </c>
      <c r="C21" s="1387"/>
      <c r="D21" s="883">
        <v>280000</v>
      </c>
      <c r="E21" s="556">
        <v>280000</v>
      </c>
      <c r="F21" s="794">
        <v>280000</v>
      </c>
      <c r="G21" s="582"/>
      <c r="H21" s="794">
        <v>280000</v>
      </c>
      <c r="I21" s="794">
        <v>280000</v>
      </c>
      <c r="J21" s="794">
        <v>380000</v>
      </c>
      <c r="K21" s="794">
        <v>380000</v>
      </c>
      <c r="L21" s="794">
        <v>380000</v>
      </c>
      <c r="M21" s="794">
        <v>380000</v>
      </c>
      <c r="N21" s="780"/>
      <c r="O21" s="556">
        <v>380000</v>
      </c>
      <c r="P21" s="794">
        <v>380000</v>
      </c>
      <c r="Q21" s="794">
        <v>380000</v>
      </c>
      <c r="R21" s="1128"/>
      <c r="S21" s="794"/>
      <c r="T21" s="556"/>
      <c r="U21" s="556"/>
      <c r="V21" s="1126"/>
      <c r="W21" s="556"/>
      <c r="X21" s="1117"/>
      <c r="Y21" s="531"/>
    </row>
    <row r="22" spans="1:25" ht="17.25" customHeight="1" thickBot="1">
      <c r="A22" s="564" t="s">
        <v>233</v>
      </c>
      <c r="B22" s="1368" t="s">
        <v>218</v>
      </c>
      <c r="C22" s="1369"/>
      <c r="D22" s="884">
        <v>280000</v>
      </c>
      <c r="E22" s="557">
        <v>280000</v>
      </c>
      <c r="F22" s="795">
        <v>280000</v>
      </c>
      <c r="G22" s="583"/>
      <c r="H22" s="795">
        <v>280000</v>
      </c>
      <c r="I22" s="795">
        <v>280000</v>
      </c>
      <c r="J22" s="795">
        <v>380000</v>
      </c>
      <c r="K22" s="795">
        <v>380000</v>
      </c>
      <c r="L22" s="795">
        <v>380000</v>
      </c>
      <c r="M22" s="795">
        <v>380000</v>
      </c>
      <c r="N22" s="781"/>
      <c r="O22" s="557">
        <v>380000</v>
      </c>
      <c r="P22" s="795">
        <v>380000</v>
      </c>
      <c r="Q22" s="795">
        <v>380000</v>
      </c>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v>13958</v>
      </c>
      <c r="E26" s="796">
        <f>IF(E21=0,"",ROUND(LOOKUP(E21,'2409'!$D$15:$E$61,'2409'!$C$15:$C$61)*$C$26/1000,0))</f>
        <v>13958</v>
      </c>
      <c r="F26" s="796">
        <f>IF(F21=0,"",ROUND(LOOKUP(F21,'2409'!$D$15:$E$61,'2409'!$C$15:$C$61)*$C$26/1000,0))</f>
        <v>13958</v>
      </c>
      <c r="G26" s="553">
        <f>IF(G20=0,"",ROUND((ROUNDDOWN(G20,-3)*$C$26/1000),0))</f>
        <v>39880</v>
      </c>
      <c r="H26" s="796">
        <f>IF(H21=0,"",ROUND(LOOKUP(H21,'2409'!$D$15:$E$61,'2409'!$C$15:$C$61)*$C$26/1000,0))</f>
        <v>13958</v>
      </c>
      <c r="I26" s="796">
        <f>IF(I21=0,"",ROUND(LOOKUP(I21,'2409'!$D$15:$E$61,'2409'!$C$15:$C$61)*$C$26/1000,0))</f>
        <v>13958</v>
      </c>
      <c r="J26" s="796">
        <f>IF(J21=0,"",ROUND(LOOKUP(J21,'2409'!$D$15:$E$61,'2409'!$C$15:$C$61)*$C$26/1000,0))</f>
        <v>18943</v>
      </c>
      <c r="K26" s="796">
        <f>IF(K21=0,"",ROUND(LOOKUP(K21,'2409'!$D$15:$E$61,'2409'!$C$15:$C$61)*$C$26/1000,0))</f>
        <v>18943</v>
      </c>
      <c r="L26" s="796">
        <f>IF(L21=0,"",ROUND(LOOKUP(L21,'2409'!$D$15:$E$61,'2409'!$C$15:$C$61)*$C$26/1000,0))</f>
        <v>18943</v>
      </c>
      <c r="M26" s="796">
        <f>IF(M21=0,"",ROUND(LOOKUP(M21,'2409'!$D$15:$E$61,'2409'!$C$15:$C$61)*$C$26/1000,0))</f>
        <v>18943</v>
      </c>
      <c r="N26" s="783">
        <f>IF(N20=0,"",ROUND((ROUNDDOWN(N20,-3)*$C$26/1000),0))</f>
        <v>47358</v>
      </c>
      <c r="O26" s="553">
        <f>IF(O21=0,"",ROUND(LOOKUP(O21,'2409'!$D$15:$E$61,'2409'!$C$15:$C$61)*$C$26/1000,0))</f>
        <v>18943</v>
      </c>
      <c r="P26" s="796">
        <f>IF(P21=0,"",ROUND(LOOKUP(P21,'2409'!$D$15:$E$61,'2409'!$C$15:$C$61)*$C$26/1000,0))</f>
        <v>18943</v>
      </c>
      <c r="Q26" s="796">
        <f>IF(Q21=0,"",ROUND(LOOKUP(Q21,'2409'!$D$15:$E$61,'2409'!$C$15:$C$61)*$C$26/1000,0))</f>
        <v>18943</v>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289629</v>
      </c>
    </row>
    <row r="27" spans="1:25" ht="17.25" customHeight="1" thickBot="1">
      <c r="A27" s="1189" t="s">
        <v>100</v>
      </c>
      <c r="B27" s="41" t="s">
        <v>101</v>
      </c>
      <c r="C27" s="536">
        <v>0</v>
      </c>
      <c r="D27" s="797">
        <f>IF(D21=0,"",ROUND(LOOKUP(D21,'2409'!$D$15:$E$61,'2409'!$C$15:$C$61)*$C$27/1000,0))</f>
        <v>0</v>
      </c>
      <c r="E27" s="797">
        <f>IF(E21=0,"",ROUND(LOOKUP(E21,'2409'!$D$15:$E$61,'2409'!$C$15:$C$61)*$C$27/1000,0))</f>
        <v>0</v>
      </c>
      <c r="F27" s="797">
        <f>IF(F21=0,"",ROUND(LOOKUP(F21,'2409'!$D$15:$E$61,'2409'!$C$15:$C$61)*$C$27/1000,0))</f>
        <v>0</v>
      </c>
      <c r="G27" s="332">
        <f>IF(G20=0,"",ROUND((ROUNDDOWN(G20,-3)*$C$27/1000),0))</f>
        <v>0</v>
      </c>
      <c r="H27" s="797">
        <f>IF(H21=0,"",ROUND(LOOKUP(H21,'2409'!$D$15:$E$61,'2409'!$C$15:$C$61)*$C$27/1000,0))</f>
        <v>0</v>
      </c>
      <c r="I27" s="797">
        <f>IF(I21=0,"",ROUND(LOOKUP(I21,'2409'!$D$15:$E$61,'2409'!$C$15:$C$61)*$C$27/1000,0))</f>
        <v>0</v>
      </c>
      <c r="J27" s="797">
        <f>IF(J21=0,"",ROUND(LOOKUP(J21,'2409'!$D$15:$E$61,'2409'!$C$15:$C$61)*$C$27/1000,0))</f>
        <v>0</v>
      </c>
      <c r="K27" s="797">
        <f>IF(K21=0,"",ROUND(LOOKUP(K21,'2409'!$D$15:$E$61,'2409'!$C$15:$C$61)*$C$27/1000,0))</f>
        <v>0</v>
      </c>
      <c r="L27" s="797">
        <f>IF(L21=0,"",ROUND(LOOKUP(L21,'2409'!$D$15:$E$61,'2409'!$C$15:$C$61)*$C$27/1000,0))</f>
        <v>0</v>
      </c>
      <c r="M27" s="797">
        <f>IF(M21=0,"",ROUND(LOOKUP(M21,'2409'!$D$15:$E$61,'2409'!$C$15:$C$61)*$C$27/1000,0))</f>
        <v>0</v>
      </c>
      <c r="N27" s="784">
        <f>IF(N20=0,"",ROUND((ROUNDDOWN(N20,-3)*$C$27/1000),0))</f>
        <v>0</v>
      </c>
      <c r="O27" s="332">
        <f>IF(O21=0,"",ROUND(LOOKUP(O21,'2409'!$D$15:$E$61,'2409'!$C$15:$C$61)*$C$27/1000,0))</f>
        <v>0</v>
      </c>
      <c r="P27" s="797">
        <f>IF(P21=0,"",ROUND(LOOKUP(P21,'2409'!$D$15:$E$61,'2409'!$C$15:$C$61)*$C$27/1000,0))</f>
        <v>0</v>
      </c>
      <c r="Q27" s="797">
        <f>IF(Q21=0,"",ROUND(LOOKUP(Q21,'2409'!$D$15:$E$61,'2409'!$C$15:$C$61)*$C$27/1000,0))</f>
        <v>0</v>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v>0</v>
      </c>
      <c r="H28" s="571"/>
      <c r="I28" s="571"/>
      <c r="J28" s="571"/>
      <c r="K28" s="571"/>
      <c r="L28" s="571"/>
      <c r="M28" s="571"/>
      <c r="N28" s="784">
        <f>IF(N20=0,"",ROUND((ROUNDDOWN(N20,-3)*$C$28/1000),0))</f>
        <v>0</v>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v>0</v>
      </c>
      <c r="E29" s="332">
        <f>IF(E22=0,"",ROUND(LOOKUP(E22,'2409'!$D$19:$E$48,'2409'!$C$19:$C$48)*$C$29/1000,0))</f>
        <v>0</v>
      </c>
      <c r="F29" s="332">
        <f>IF(F22=0,"",ROUND(LOOKUP(F22,'2409'!$D$19:$E$48,'2409'!$C$19:$C$48)*$C$29/1000,0))</f>
        <v>0</v>
      </c>
      <c r="G29" s="571"/>
      <c r="H29" s="332">
        <f>IF(H22=0,"",ROUND(LOOKUP(H22,'2409'!$D$19:$E$48,'2409'!$C$19:$C$48)*$C$29/1000,0))</f>
        <v>0</v>
      </c>
      <c r="I29" s="332">
        <f>IF(I22=0,"",ROUND(LOOKUP(I22,'2409'!$D$19:$E$48,'2409'!$C$19:$C$48)*$C$29/1000,0))</f>
        <v>0</v>
      </c>
      <c r="J29" s="332">
        <f>IF(J22=0,"",ROUND(LOOKUP(J22,'2409'!$D$19:$E$48,'2409'!$C$19:$C$48)*$C$29/1000,0))</f>
        <v>0</v>
      </c>
      <c r="K29" s="332">
        <f>IF(K22=0,"",ROUND(LOOKUP(K22,'2409'!$D$19:$E$48,'2409'!$C$19:$C$48)*$C$29/1000,0))</f>
        <v>0</v>
      </c>
      <c r="L29" s="332">
        <f>IF(L22=0,"",ROUND(LOOKUP(L22,'2409'!$D$19:$E$48,'2409'!$C$19:$C$48)*$C$29/1000,0))</f>
        <v>0</v>
      </c>
      <c r="M29" s="332">
        <f>IF(M22=0,"",ROUND(LOOKUP(M22,'2409'!$D$19:$E$48,'2409'!$C$19:$C$48)*$C$29/1000,0))</f>
        <v>0</v>
      </c>
      <c r="N29" s="785"/>
      <c r="O29" s="332">
        <f>IF(O22=0,"",ROUND(LOOKUP(O22,'2409'!$D$19:$E$48,'2409'!$C$19:$C$48)*$C$29/1000,0))</f>
        <v>0</v>
      </c>
      <c r="P29" s="332">
        <f>IF(P22=0,"",ROUND(LOOKUP(P22,'2409'!$D$19:$E$48,'2409'!$C$19:$C$48)*$C$29/1000,0))</f>
        <v>0</v>
      </c>
      <c r="Q29" s="332">
        <f>IF(Q22=0,"",ROUND(LOOKUP(Q22,'2409'!$D$19:$E$48,'2409'!$C$19:$C$48)*$C$29/1000,0))</f>
        <v>0</v>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v>23472</v>
      </c>
      <c r="E30" s="332">
        <f>IF(E22=0,"",ROUND(LOOKUP(E22,'2409'!$D$19:$E$48,'2409'!$C$19:$C$48)*$C$30/1000,0))</f>
        <v>23472</v>
      </c>
      <c r="F30" s="332">
        <f>IF(F22=0,"",ROUND(LOOKUP(F22,'2409'!$D$19:$E$48,'2409'!$C$19:$C$48)*$C$30/1000,0))</f>
        <v>23472</v>
      </c>
      <c r="G30" s="332">
        <f>IF(G20=0,"",ROUND((ROUNDDOWN(G20,-3)*$C$30/1000),0))</f>
        <v>67064</v>
      </c>
      <c r="H30" s="332">
        <f>IF(H22=0,"",ROUND(LOOKUP(H22,'2409'!$D$19:$E$48,'2409'!$C$19:$C$48)*$C$30/1000,0))</f>
        <v>23472</v>
      </c>
      <c r="I30" s="332">
        <f>IF(I22=0,"",ROUND(LOOKUP(I22,'2409'!$D$19:$E$48,'2409'!$C$19:$C$48)*$C$30/1000,0))</f>
        <v>23472</v>
      </c>
      <c r="J30" s="571"/>
      <c r="K30" s="571"/>
      <c r="L30" s="571"/>
      <c r="M30" s="571"/>
      <c r="N30" s="785"/>
      <c r="O30" s="571"/>
      <c r="P30" s="571"/>
      <c r="Q30" s="571"/>
      <c r="R30" s="571"/>
      <c r="S30" s="798"/>
      <c r="T30" s="571"/>
      <c r="U30" s="571"/>
      <c r="V30" s="571"/>
      <c r="W30" s="571"/>
      <c r="X30" s="1121"/>
      <c r="Y30" s="549">
        <f t="shared" si="2"/>
        <v>184424</v>
      </c>
    </row>
    <row r="31" spans="1:25" ht="17.25" customHeight="1" thickBot="1">
      <c r="A31" s="1190" t="s">
        <v>966</v>
      </c>
      <c r="B31" s="41" t="s">
        <v>101</v>
      </c>
      <c r="C31" s="536">
        <v>0</v>
      </c>
      <c r="D31" s="798"/>
      <c r="E31" s="571"/>
      <c r="F31" s="571"/>
      <c r="G31" s="332">
        <f>IF(G20=0,"",ROUND((ROUNDDOWN(G20,-3)*$C$31/1000),0))</f>
        <v>0</v>
      </c>
      <c r="H31" s="571"/>
      <c r="I31" s="571"/>
      <c r="J31" s="571"/>
      <c r="K31" s="571"/>
      <c r="L31" s="571"/>
      <c r="M31" s="571"/>
      <c r="N31" s="784">
        <f>IF(N20=0,"",ROUND((ROUNDDOWN(N20,-3)*$C$31/1000),0))</f>
        <v>0</v>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v>0</v>
      </c>
      <c r="E32" s="332">
        <f>IF(E22=0,"",ROUND(LOOKUP(E22,'2409'!$D$19:$E$48,'2409'!$C$19:$C$48)*$C$32/1000,0))</f>
        <v>0</v>
      </c>
      <c r="F32" s="332">
        <f>IF(F22=0,"",ROUND(LOOKUP(F22,'2409'!$D$19:$E$48,'2409'!$C$19:$C$48)*$C$32/1000,0))</f>
        <v>0</v>
      </c>
      <c r="G32" s="571"/>
      <c r="H32" s="332">
        <f>IF(H22=0,"",ROUND(LOOKUP(H22,'2409'!$D$19:$E$48,'2409'!$C$19:$C$48)*$C$32/1000,0))</f>
        <v>0</v>
      </c>
      <c r="I32" s="332">
        <f>IF(I22=0,"",ROUND(LOOKUP(I22,'2409'!$D$19:$E$48,'2409'!$C$19:$C$48)*$C$32/1000,0))</f>
        <v>0</v>
      </c>
      <c r="J32" s="332">
        <f>IF(J22=0,"",ROUND(LOOKUP(J22,'2409'!$D$19:$E$48,'2409'!$C$19:$C$48)*$C$32/1000,0))</f>
        <v>0</v>
      </c>
      <c r="K32" s="332">
        <f>IF(K22=0,"",ROUND(LOOKUP(K22,'2409'!$D$19:$E$48,'2409'!$C$19:$C$48)*$C$32/1000,0))</f>
        <v>0</v>
      </c>
      <c r="L32" s="332">
        <f>IF(L22=0,"",ROUND(LOOKUP(L22,'2409'!$D$19:$E$48,'2409'!$C$19:$C$48)*$C$32/1000,0))</f>
        <v>0</v>
      </c>
      <c r="M32" s="332">
        <f>IF(M22=0,"",ROUND(LOOKUP(M22,'2409'!$D$19:$E$48,'2409'!$C$19:$C$48)*$C$32/1000,0))</f>
        <v>0</v>
      </c>
      <c r="N32" s="785"/>
      <c r="O32" s="332">
        <f>IF(O22=0,"",ROUND(LOOKUP(O22,'2409'!$D$19:$E$48,'2409'!$C$19:$C$48)*$C$32/1000,0))</f>
        <v>0</v>
      </c>
      <c r="P32" s="332">
        <f>IF(P22=0,"",ROUND(LOOKUP(P22,'2409'!$D$19:$E$48,'2409'!$C$19:$C$48)*$C$32/1000,0))</f>
        <v>0</v>
      </c>
      <c r="Q32" s="332">
        <f>IF(Q22=0,"",ROUND(LOOKUP(Q22,'2409'!$D$19:$E$48,'2409'!$C$19:$C$48)*$C$32/1000,0))</f>
        <v>0</v>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v>32528</v>
      </c>
      <c r="K33" s="332">
        <f>IF(K22=0,"",ROUND(LOOKUP(K22,'2409'!$D$19:$E$48,'2409'!$C$19:$C$48)*$C$33/1000,0))</f>
        <v>32528</v>
      </c>
      <c r="L33" s="332">
        <f>IF(L22=0,"",ROUND(LOOKUP(L22,'2409'!$D$19:$E$48,'2409'!$C$19:$C$48)*$C$33/1000,0))</f>
        <v>32528</v>
      </c>
      <c r="M33" s="332">
        <f>IF(M22=0,"",ROUND(LOOKUP(M22,'2409'!$D$19:$E$48,'2409'!$C$19:$C$48)*$C$33/1000,0))</f>
        <v>32528</v>
      </c>
      <c r="N33" s="784">
        <f>IF(N20=0,"",ROUND((ROUNDDOWN(N20,-3)*$C$33/1000),0))</f>
        <v>81320</v>
      </c>
      <c r="O33" s="332">
        <f>IF(O22=0,"",ROUND(LOOKUP(O22,'2409'!$D$19:$E$48,'2409'!$C$19:$C$48)*$C$33/1000,0))</f>
        <v>32528</v>
      </c>
      <c r="P33" s="332">
        <f>IF(P22=0,"",ROUND(LOOKUP(P22,'2409'!$D$19:$E$48,'2409'!$C$19:$C$48)*$C$33/1000,0))</f>
        <v>32528</v>
      </c>
      <c r="Q33" s="332">
        <f>IF(Q22=0,"",ROUND(LOOKUP(Q22,'2409'!$D$19:$E$48,'2409'!$C$19:$C$48)*$C$33/1000,0))</f>
        <v>32528</v>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309016</v>
      </c>
    </row>
    <row r="34" spans="1:25" ht="17.25" customHeight="1" thickBot="1">
      <c r="A34" s="1191" t="s">
        <v>231</v>
      </c>
      <c r="B34" s="41" t="s">
        <v>101</v>
      </c>
      <c r="C34" s="540">
        <v>7.75</v>
      </c>
      <c r="D34" s="797">
        <f>IF(D21=0,"",ROUND(LOOKUP(D21,'2409'!$D$15:$E$61,'2409'!$C$15:$C$61)*$C$34/1000,0))</f>
        <v>2170</v>
      </c>
      <c r="E34" s="797">
        <f>IF(E21=0,"",ROUND(LOOKUP(E21,'2409'!$D$15:$E$61,'2409'!$C$15:$C$61)*$C$34/1000,0))</f>
        <v>2170</v>
      </c>
      <c r="F34" s="797">
        <f>IF(F21=0,"",ROUND(LOOKUP(F21,'2409'!$D$15:$E$61,'2409'!$C$15:$C$61)*$C$34/1000,0))</f>
        <v>2170</v>
      </c>
      <c r="G34" s="332">
        <f>IF(G20=0,"",ROUND((ROUNDDOWN(G20,-3)*$C$34/1000),0))</f>
        <v>6200</v>
      </c>
      <c r="H34" s="797">
        <f>IF(H21=0,"",ROUND(LOOKUP(H21,'2409'!$D$15:$E$61,'2409'!$C$15:$C$61)*$C$34/1000,0))</f>
        <v>2170</v>
      </c>
      <c r="I34" s="797">
        <f>IF(I21=0,"",ROUND(LOOKUP(I21,'2409'!$D$15:$E$61,'2409'!$C$15:$C$61)*$C$34/1000,0))</f>
        <v>2170</v>
      </c>
      <c r="J34" s="797">
        <f>IF(J21=0,"",ROUND(LOOKUP(J21,'2409'!$D$15:$E$61,'2409'!$C$15:$C$61)*$C$34/1000,0))</f>
        <v>2945</v>
      </c>
      <c r="K34" s="797">
        <f>IF(K21=0,"",ROUND(LOOKUP(K21,'2409'!$D$15:$E$61,'2409'!$C$15:$C$61)*$C$34/1000,0))</f>
        <v>2945</v>
      </c>
      <c r="L34" s="797">
        <f>IF(L21=0,"",ROUND(LOOKUP(L21,'2409'!$D$15:$E$61,'2409'!$C$15:$C$61)*$C$34/1000,0))</f>
        <v>2945</v>
      </c>
      <c r="M34" s="797">
        <f>IF(M21=0,"",ROUND(LOOKUP(M21,'2409'!$D$15:$E$61,'2409'!$C$15:$C$61)*$C$34/1000,0))</f>
        <v>2945</v>
      </c>
      <c r="N34" s="784">
        <f>IF(N20=0,"",ROUND((ROUNDDOWN(N20,-3)*$C$34/1000),0))</f>
        <v>7363</v>
      </c>
      <c r="O34" s="332">
        <f>IF(O21=0,"",ROUND(LOOKUP(O21,'2409'!$D$15:$E$61,'2409'!$C$15:$C$61)*$C$34/1000,0))</f>
        <v>2945</v>
      </c>
      <c r="P34" s="797">
        <f>IF(P21=0,"",ROUND(LOOKUP(P21,'2409'!$D$15:$E$61,'2409'!$C$15:$C$61)*$C$34/1000,0))</f>
        <v>2945</v>
      </c>
      <c r="Q34" s="571"/>
      <c r="R34" s="332"/>
      <c r="S34" s="798"/>
      <c r="T34" s="571"/>
      <c r="U34" s="571"/>
      <c r="V34" s="332"/>
      <c r="W34" s="571"/>
      <c r="X34" s="1121"/>
      <c r="Y34" s="549">
        <f t="shared" si="2"/>
        <v>42083</v>
      </c>
    </row>
    <row r="35" spans="1:25" ht="17.25" customHeight="1" thickBot="1">
      <c r="A35" s="1191" t="s">
        <v>365</v>
      </c>
      <c r="B35" s="41" t="s">
        <v>101</v>
      </c>
      <c r="C35" s="540">
        <v>8.6</v>
      </c>
      <c r="D35" s="798"/>
      <c r="E35" s="571"/>
      <c r="F35" s="571"/>
      <c r="G35" s="571"/>
      <c r="H35" s="571"/>
      <c r="I35" s="571"/>
      <c r="J35" s="571"/>
      <c r="K35" s="571"/>
      <c r="L35" s="571"/>
      <c r="M35" s="571"/>
      <c r="N35" s="785"/>
      <c r="O35" s="571"/>
      <c r="P35" s="571"/>
      <c r="Q35" s="332">
        <f>IF(Q21=0,"",ROUND(LOOKUP(Q21,'2409'!$D$15:$E$61,'2409'!$C$15:$C$61)*$C$35/1000,0))</f>
        <v>3268</v>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3268</v>
      </c>
    </row>
    <row r="36" spans="1:25" ht="17.25" customHeight="1" thickBot="1">
      <c r="A36" s="1191" t="s">
        <v>102</v>
      </c>
      <c r="B36" s="41" t="s">
        <v>101</v>
      </c>
      <c r="C36" s="536">
        <v>8.5</v>
      </c>
      <c r="D36" s="797">
        <f aca="true" t="shared" si="3" ref="D36:T36">IF(D20=0,"",ROUND(D20*$C$36/1000,0))</f>
        <v>3003</v>
      </c>
      <c r="E36" s="332">
        <f t="shared" si="3"/>
        <v>2805</v>
      </c>
      <c r="F36" s="332">
        <f t="shared" si="3"/>
        <v>2805</v>
      </c>
      <c r="G36" s="332">
        <f t="shared" si="3"/>
        <v>6804</v>
      </c>
      <c r="H36" s="332">
        <f t="shared" si="3"/>
        <v>3003</v>
      </c>
      <c r="I36" s="332">
        <f t="shared" si="3"/>
        <v>2805</v>
      </c>
      <c r="J36" s="332">
        <f t="shared" si="3"/>
        <v>2805</v>
      </c>
      <c r="K36" s="332">
        <f t="shared" si="3"/>
        <v>3003</v>
      </c>
      <c r="L36" s="332">
        <f t="shared" si="3"/>
        <v>2805</v>
      </c>
      <c r="M36" s="332">
        <f t="shared" si="3"/>
        <v>2805</v>
      </c>
      <c r="N36" s="784">
        <f t="shared" si="3"/>
        <v>8079</v>
      </c>
      <c r="O36" s="332">
        <f t="shared" si="3"/>
        <v>3003</v>
      </c>
      <c r="P36" s="332">
        <f t="shared" si="3"/>
        <v>2805</v>
      </c>
      <c r="Q36" s="332">
        <f t="shared" si="3"/>
        <v>2805</v>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49335</v>
      </c>
    </row>
    <row r="37" spans="1:25" ht="17.25" customHeight="1" thickBot="1">
      <c r="A37" s="1191" t="s">
        <v>103</v>
      </c>
      <c r="B37" s="41" t="s">
        <v>101</v>
      </c>
      <c r="C37" s="540">
        <v>3</v>
      </c>
      <c r="D37" s="797">
        <f aca="true" t="shared" si="4" ref="D37:T37">IF(D20=0,"",ROUNDDOWN(D20*$C$37/1000,0))</f>
        <v>1059</v>
      </c>
      <c r="E37" s="332">
        <f t="shared" si="4"/>
        <v>990</v>
      </c>
      <c r="F37" s="332">
        <f t="shared" si="4"/>
        <v>990</v>
      </c>
      <c r="G37" s="332">
        <f t="shared" si="4"/>
        <v>2401</v>
      </c>
      <c r="H37" s="332">
        <f t="shared" si="4"/>
        <v>1059</v>
      </c>
      <c r="I37" s="332">
        <f t="shared" si="4"/>
        <v>990</v>
      </c>
      <c r="J37" s="332">
        <f t="shared" si="4"/>
        <v>990</v>
      </c>
      <c r="K37" s="332">
        <f t="shared" si="4"/>
        <v>1059</v>
      </c>
      <c r="L37" s="332">
        <f t="shared" si="4"/>
        <v>990</v>
      </c>
      <c r="M37" s="332">
        <f t="shared" si="4"/>
        <v>990</v>
      </c>
      <c r="N37" s="784">
        <f t="shared" si="4"/>
        <v>2851</v>
      </c>
      <c r="O37" s="332">
        <f t="shared" si="4"/>
        <v>1059</v>
      </c>
      <c r="P37" s="332">
        <f t="shared" si="4"/>
        <v>990</v>
      </c>
      <c r="Q37" s="332">
        <f t="shared" si="4"/>
        <v>990</v>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17408</v>
      </c>
    </row>
    <row r="38" spans="1:25" ht="17.25" customHeight="1" thickBot="1">
      <c r="A38" s="1191" t="s">
        <v>103</v>
      </c>
      <c r="B38" s="41" t="s">
        <v>101</v>
      </c>
      <c r="C38" s="540">
        <v>0</v>
      </c>
      <c r="D38" s="797">
        <f aca="true" t="shared" si="5" ref="D38:N38">IF(D20=0,"",ROUNDDOWN(D20*$C$38/1000,0))</f>
        <v>0</v>
      </c>
      <c r="E38" s="332">
        <f t="shared" si="5"/>
        <v>0</v>
      </c>
      <c r="F38" s="332">
        <f t="shared" si="5"/>
        <v>0</v>
      </c>
      <c r="G38" s="332">
        <f t="shared" si="5"/>
        <v>0</v>
      </c>
      <c r="H38" s="332">
        <f t="shared" si="5"/>
        <v>0</v>
      </c>
      <c r="I38" s="332">
        <f t="shared" si="5"/>
        <v>0</v>
      </c>
      <c r="J38" s="332">
        <f t="shared" si="5"/>
        <v>0</v>
      </c>
      <c r="K38" s="332">
        <f t="shared" si="5"/>
        <v>0</v>
      </c>
      <c r="L38" s="332">
        <f t="shared" si="5"/>
        <v>0</v>
      </c>
      <c r="M38" s="332">
        <f t="shared" si="5"/>
        <v>0</v>
      </c>
      <c r="N38" s="784">
        <f t="shared" si="5"/>
        <v>0</v>
      </c>
      <c r="O38" s="332">
        <f aca="true" t="shared" si="6" ref="O38:T38">IF(O20=0,"",ROUNDDOWN(O20*$C$38/1000,0))</f>
        <v>0</v>
      </c>
      <c r="P38" s="332">
        <f t="shared" si="6"/>
        <v>0</v>
      </c>
      <c r="Q38" s="332">
        <f t="shared" si="6"/>
        <v>0</v>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v>420</v>
      </c>
      <c r="E39" s="856">
        <f>IF(E22=0,"",ROUND(LOOKUP(E22,'2409'!$D$19:$E$48,'2409'!$C$19:$C$48)*$C$39/1000,0))</f>
        <v>420</v>
      </c>
      <c r="F39" s="856">
        <f>IF(F22=0,"",ROUND(LOOKUP(F22,'2409'!$D$19:$E$48,'2409'!$C$19:$C$48)*$C$39/1000,0))</f>
        <v>420</v>
      </c>
      <c r="G39" s="856">
        <f>IF(G20=0,"",ROUND((ROUNDDOWN(G20,-3)*$C$39/1000),0))</f>
        <v>1200</v>
      </c>
      <c r="H39" s="856">
        <f>IF(H22=0,"",ROUND(LOOKUP(H22,'2409'!$D$19:$E$48,'2409'!$C$19:$C$48)*$C$39/1000,0))</f>
        <v>420</v>
      </c>
      <c r="I39" s="856">
        <f>IF(I22=0,"",ROUND(LOOKUP(I22,'2409'!$D$19:$E$48,'2409'!$C$19:$C$48)*$C$39/1000,0))</f>
        <v>420</v>
      </c>
      <c r="J39" s="856">
        <f>IF(J22=0,"",ROUND(LOOKUP(J22,'2409'!$D$19:$E$48,'2409'!$C$19:$C$48)*$C$39/1000,0))</f>
        <v>570</v>
      </c>
      <c r="K39" s="856">
        <f>IF(K22=0,"",ROUND(LOOKUP(K22,'2409'!$D$19:$E$48,'2409'!$C$19:$C$48)*$C$39/1000,0))</f>
        <v>570</v>
      </c>
      <c r="L39" s="856">
        <f>IF(L22=0,"",ROUND(LOOKUP(L22,'2409'!$D$19:$E$48,'2409'!$C$19:$C$48)*$C$39/1000,0))</f>
        <v>570</v>
      </c>
      <c r="M39" s="856">
        <f>IF(M22=0,"",ROUND(LOOKUP(M22,'2409'!$D$19:$E$48,'2409'!$C$19:$C$48)*$C$39/1000,0))</f>
        <v>570</v>
      </c>
      <c r="N39" s="857">
        <f>IF(N20=0,"",ROUND((ROUNDDOWN(N20,-3)*$C$39/1000),0))</f>
        <v>1425</v>
      </c>
      <c r="O39" s="856">
        <f>IF(O22=0,"",ROUND(LOOKUP(O22,'2409'!$D$19:$E$48,'2409'!$C$19:$C$48)*$C$39/1000,0))</f>
        <v>570</v>
      </c>
      <c r="P39" s="856">
        <f>IF(P22=0,"",ROUND(LOOKUP(P22,'2409'!$D$19:$E$48,'2409'!$C$19:$C$48)*$C$39/1000,0))</f>
        <v>570</v>
      </c>
      <c r="Q39" s="856">
        <f>IF(Q22=0,"",ROUND(LOOKUP(Q22,'2409'!$D$19:$E$48,'2409'!$C$19:$C$48)*$C$39/1000,0))</f>
        <v>570</v>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8715</v>
      </c>
    </row>
    <row r="40" spans="1:26" ht="17.25" customHeight="1" thickBot="1">
      <c r="A40" s="807" t="s">
        <v>104</v>
      </c>
      <c r="B40" s="807"/>
      <c r="C40" s="799"/>
      <c r="D40" s="869">
        <f aca="true" t="shared" si="7" ref="D40:T40">SUM(D26:D39)</f>
        <v>44082</v>
      </c>
      <c r="E40" s="860">
        <f t="shared" si="7"/>
        <v>43815</v>
      </c>
      <c r="F40" s="860">
        <f t="shared" si="7"/>
        <v>43815</v>
      </c>
      <c r="G40" s="860">
        <f>SUM(G26:G39)</f>
        <v>123549</v>
      </c>
      <c r="H40" s="860">
        <f t="shared" si="7"/>
        <v>44082</v>
      </c>
      <c r="I40" s="860">
        <f t="shared" si="7"/>
        <v>43815</v>
      </c>
      <c r="J40" s="860">
        <f t="shared" si="7"/>
        <v>58781</v>
      </c>
      <c r="K40" s="860">
        <f t="shared" si="7"/>
        <v>59048</v>
      </c>
      <c r="L40" s="860">
        <f t="shared" si="7"/>
        <v>58781</v>
      </c>
      <c r="M40" s="860">
        <f t="shared" si="7"/>
        <v>58781</v>
      </c>
      <c r="N40" s="861">
        <f t="shared" si="7"/>
        <v>148396</v>
      </c>
      <c r="O40" s="860">
        <f t="shared" si="7"/>
        <v>59048</v>
      </c>
      <c r="P40" s="860">
        <f t="shared" si="7"/>
        <v>58781</v>
      </c>
      <c r="Q40" s="860">
        <f t="shared" si="7"/>
        <v>59104</v>
      </c>
      <c r="R40" s="860">
        <f t="shared" si="7"/>
        <v>0</v>
      </c>
      <c r="S40" s="859">
        <f t="shared" si="7"/>
        <v>0</v>
      </c>
      <c r="T40" s="860">
        <f t="shared" si="7"/>
        <v>0</v>
      </c>
      <c r="U40" s="860">
        <f>SUM(U26:U39)</f>
        <v>0</v>
      </c>
      <c r="V40" s="860">
        <f>SUM(V26:V39)</f>
        <v>0</v>
      </c>
      <c r="W40" s="860">
        <f>SUM(W26:W39)</f>
        <v>0</v>
      </c>
      <c r="X40" s="1125">
        <f>SUM(X26:X39)</f>
        <v>0</v>
      </c>
      <c r="Y40" s="862">
        <f t="shared" si="2"/>
        <v>903878</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5804040</v>
      </c>
      <c r="F45" s="1380"/>
      <c r="G45" s="1381"/>
      <c r="H45" s="54" t="s">
        <v>219</v>
      </c>
      <c r="I45" s="1379">
        <f>Y40</f>
        <v>903878</v>
      </c>
      <c r="J45" s="1380"/>
      <c r="K45" s="1381"/>
      <c r="L45" s="573" t="s">
        <v>265</v>
      </c>
      <c r="M45" s="54" t="s">
        <v>220</v>
      </c>
      <c r="N45" s="1376">
        <f>R43</f>
        <v>1904</v>
      </c>
      <c r="O45" s="1377"/>
      <c r="P45" s="1378"/>
      <c r="Q45" s="535" t="s">
        <v>221</v>
      </c>
      <c r="R45" s="1374">
        <f>(ROUNDDOWN((E45+I45)/N45,0))</f>
        <v>3523</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3523</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D20 O20" formulaRange="1"/>
    <ignoredError sqref="G26:G30 N26:N30 R26:R30 G32:G40 N32:N41 R32:R39" formula="1"/>
    <ignoredError sqref="F51" unlockedFormula="1"/>
  </ignoredErrors>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84" zoomScaleNormal="75" zoomScaleSheetLayoutView="84"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IF('対象者一覧表'!E9="","",'対象者一覧表'!E9)</f>
      </c>
      <c r="T3" s="1353"/>
      <c r="U3" s="1145">
        <f>IF('対象者一覧表'!F9="","",'対象者一覧表'!F9)</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IF('対象者一覧表'!D9="","",'対象者一覧表'!D9)</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IF('対象者一覧表'!H9="","",'対象者一覧表'!H9)</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G26:G30 N26:N30 R26:R30 G32:G40 N32:N40 R32:R40" formula="1"/>
    <ignoredError sqref="F51" unlockedFormula="1"/>
    <ignoredError sqref="O20 D20" formulaRange="1"/>
  </ignoredErrors>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IF('対象者一覧表'!E10="","",'対象者一覧表'!E10)</f>
      </c>
      <c r="T3" s="1353"/>
      <c r="U3" s="1145">
        <f>IF('対象者一覧表'!F10="","",'対象者一覧表'!F10)</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IF('対象者一覧表'!D10="","",'対象者一覧表'!D10)</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IF('対象者一覧表'!H10="","",'対象者一覧表'!H10)</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G26:G30 N26:N30 R26:R30 G32:G40 N32:N39 R32:R39" formula="1"/>
    <ignoredError sqref="D20 O20" formulaRange="1"/>
    <ignoredError sqref="F51" unlockedFormula="1"/>
  </ignoredErrors>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IF('対象者一覧表'!E11="","",'対象者一覧表'!E11)</f>
      </c>
      <c r="T3" s="1353"/>
      <c r="U3" s="1145">
        <f>IF('対象者一覧表'!F11="","",'対象者一覧表'!F11)</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IF('対象者一覧表'!D11="","",'対象者一覧表'!D11)</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IF('対象者一覧表'!H11="","",'対象者一覧表'!H11)</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F51" unlockedFormula="1"/>
    <ignoredError sqref="D20 O20" formulaRange="1"/>
    <ignoredError sqref="G26:G30 N26:N30 R26:R30 G32:G39 N32:N39 R32:R39" formula="1"/>
  </ignoredErrors>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IF('対象者一覧表'!E12="","",'対象者一覧表'!E12)</f>
      </c>
      <c r="T3" s="1353"/>
      <c r="U3" s="1145">
        <f>IF('対象者一覧表'!F12="","",'対象者一覧表'!F12)</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IF('対象者一覧表'!D12="","",'対象者一覧表'!D12)</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IF('対象者一覧表'!H12="","",'対象者一覧表'!H12)</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SUM(O8:O19)</f>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D20 O20" formulaRange="1"/>
    <ignoredError sqref="G26:G30 N26:N30 R26:R30 G32:G39 N32:N39 R32:R39" formula="1"/>
  </ignoredErrors>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IF('対象者一覧表'!E13="","",'対象者一覧表'!E13)</f>
      </c>
      <c r="T3" s="1353"/>
      <c r="U3" s="1145">
        <f>IF('対象者一覧表'!F13="","",'対象者一覧表'!F13)</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IF('対象者一覧表'!D13="","",'対象者一覧表'!D13)</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IF('対象者一覧表'!H13="","",'対象者一覧表'!H13)</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D20 O20" formulaRange="1"/>
    <ignoredError sqref="N26:N30 G26:G30 R26:R30 G32:G39 N32:N39 R32:R39" formula="1"/>
    <ignoredError sqref="F51" unlockedFormula="1"/>
  </ignoredErrors>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IF('対象者一覧表'!E14="","",'対象者一覧表'!E14)</f>
      </c>
      <c r="T3" s="1353"/>
      <c r="U3" s="1145">
        <f>IF('対象者一覧表'!F14="","",'対象者一覧表'!F14)</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IF('対象者一覧表'!D14="","",'対象者一覧表'!D14)</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IF('対象者一覧表'!H14="","",'対象者一覧表'!H14)</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D20 O20" formulaRange="1"/>
    <ignoredError sqref="G26:G30 N26:N30 R26:R30 G32:G39 N32:N39 R32:R39" formula="1"/>
    <ignoredError sqref="F51" unlockedFormula="1"/>
  </ignoredErrors>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IF('対象者一覧表'!E15="","",'対象者一覧表'!E15)</f>
      </c>
      <c r="T3" s="1353"/>
      <c r="U3" s="1145">
        <f>IF('対象者一覧表'!F15="","",'対象者一覧表'!F15)</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IF('対象者一覧表'!D15="","",'対象者一覧表'!D15)</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IF('対象者一覧表'!H15="","",'対象者一覧表'!H15)</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K51" s="4" t="s">
        <v>371</v>
      </c>
      <c r="L51" s="57"/>
      <c r="M51" s="1032" t="str">
        <f>"部署・役職名　：　"&amp;'使い方'!F26</f>
        <v>部署・役職名　：　総務部長　経済洋子</v>
      </c>
      <c r="N51" s="50"/>
      <c r="O51" s="52"/>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N26:N30 G26:G30 R26:R30 G32:G39 N32:N39 R32:R39" formula="1"/>
    <ignoredError sqref="O20 D20" formulaRange="1"/>
    <ignoredError sqref="F51" unlockedFormula="1"/>
  </ignoredErrors>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IF('対象者一覧表'!E16="","",'対象者一覧表'!E16)</f>
      </c>
      <c r="T3" s="1353"/>
      <c r="U3" s="1145">
        <f>IF('対象者一覧表'!F16="","",'対象者一覧表'!F16)</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IF('対象者一覧表'!D16="","",'対象者一覧表'!D16)</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IF('対象者一覧表'!H16="","",'対象者一覧表'!H16)</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463</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463</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G26:G30 N26:N30 R26:R30 G32:G39 N32:N39 R32:R39" formula="1"/>
    <ignoredError sqref="D20 O20" formulaRange="1"/>
    <ignoredError sqref="F51" unlockedFormula="1"/>
  </ignoredError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44"/>
  <sheetViews>
    <sheetView showGridLines="0" view="pageBreakPreview" zoomScale="70" zoomScaleNormal="85" zoomScaleSheetLayoutView="70" zoomScalePageLayoutView="66" workbookViewId="0" topLeftCell="A1">
      <selection activeCell="A1" sqref="A1"/>
    </sheetView>
  </sheetViews>
  <sheetFormatPr defaultColWidth="9.140625" defaultRowHeight="15"/>
  <cols>
    <col min="1" max="1" width="3.00390625" style="2" customWidth="1"/>
    <col min="2" max="2" width="24.421875" style="2" customWidth="1"/>
    <col min="3" max="3" width="18.7109375" style="2" customWidth="1"/>
    <col min="4" max="4" width="20.8515625" style="2" customWidth="1"/>
    <col min="5" max="5" width="19.421875" style="2" customWidth="1"/>
    <col min="6" max="6" width="18.7109375" style="2" customWidth="1"/>
    <col min="7" max="7" width="18.8515625" style="2" customWidth="1"/>
    <col min="8" max="8" width="15.7109375" style="2" customWidth="1"/>
    <col min="9" max="9" width="8.140625" style="2" customWidth="1"/>
    <col min="10" max="11" width="1.8515625" style="2" customWidth="1"/>
    <col min="12" max="16384" width="9.00390625" style="2" customWidth="1"/>
  </cols>
  <sheetData>
    <row r="1" ht="13.5">
      <c r="B1" s="594" t="s">
        <v>404</v>
      </c>
    </row>
    <row r="3" spans="2:8" ht="13.5">
      <c r="B3" s="724" t="s">
        <v>373</v>
      </c>
      <c r="C3" s="724"/>
      <c r="G3" s="1285" t="s">
        <v>0</v>
      </c>
      <c r="H3" s="1285"/>
    </row>
    <row r="4" spans="2:8" ht="24.75" customHeight="1">
      <c r="B4" s="1271" t="s">
        <v>374</v>
      </c>
      <c r="C4" s="765"/>
      <c r="D4" s="1269" t="s">
        <v>375</v>
      </c>
      <c r="E4" s="1270"/>
      <c r="F4" s="87" t="s">
        <v>376</v>
      </c>
      <c r="G4" s="1269" t="s">
        <v>39</v>
      </c>
      <c r="H4" s="1270"/>
    </row>
    <row r="5" spans="2:8" ht="27">
      <c r="B5" s="1272"/>
      <c r="C5" s="766"/>
      <c r="D5" s="1292" t="s">
        <v>377</v>
      </c>
      <c r="E5" s="1293"/>
      <c r="F5" s="726" t="s">
        <v>378</v>
      </c>
      <c r="G5" s="1292" t="s">
        <v>41</v>
      </c>
      <c r="H5" s="1293"/>
    </row>
    <row r="6" spans="2:8" ht="13.5">
      <c r="B6" s="1272"/>
      <c r="C6" s="766"/>
      <c r="D6" s="727" t="s">
        <v>379</v>
      </c>
      <c r="E6" s="728" t="s">
        <v>42</v>
      </c>
      <c r="F6" s="728" t="s">
        <v>42</v>
      </c>
      <c r="G6" s="1294" t="s">
        <v>42</v>
      </c>
      <c r="H6" s="1295"/>
    </row>
    <row r="7" spans="2:8" ht="31.5" customHeight="1">
      <c r="B7" s="730" t="s">
        <v>380</v>
      </c>
      <c r="C7" s="768" t="str">
        <f>'使い方'!E6</f>
        <v>Ｂ金属株式会社</v>
      </c>
      <c r="D7" s="885">
        <f>C30</f>
        <v>18340458</v>
      </c>
      <c r="E7" s="885">
        <f>D30</f>
        <v>17308458</v>
      </c>
      <c r="F7" s="810">
        <f>E30</f>
        <v>17308458</v>
      </c>
      <c r="G7" s="1262">
        <f>F30</f>
        <v>10000000</v>
      </c>
      <c r="H7" s="1263"/>
    </row>
    <row r="8" spans="2:8" ht="31.5" customHeight="1">
      <c r="B8" s="730" t="s">
        <v>382</v>
      </c>
      <c r="C8" s="769" t="s">
        <v>381</v>
      </c>
      <c r="D8" s="886"/>
      <c r="E8" s="887"/>
      <c r="F8" s="888"/>
      <c r="G8" s="1260"/>
      <c r="H8" s="1261"/>
    </row>
    <row r="9" spans="2:8" ht="31.5" customHeight="1" thickBot="1">
      <c r="B9" s="740" t="s">
        <v>383</v>
      </c>
      <c r="C9" s="767" t="s">
        <v>381</v>
      </c>
      <c r="D9" s="889"/>
      <c r="E9" s="887"/>
      <c r="F9" s="890"/>
      <c r="G9" s="1273"/>
      <c r="H9" s="1274"/>
    </row>
    <row r="10" spans="2:8" ht="31.5" customHeight="1" thickBot="1">
      <c r="B10" s="1275" t="s">
        <v>1</v>
      </c>
      <c r="C10" s="1276"/>
      <c r="D10" s="891">
        <f>SUM(D7:D9)</f>
        <v>18340458</v>
      </c>
      <c r="E10" s="891">
        <f>SUM(E7:E9)</f>
        <v>17308458</v>
      </c>
      <c r="F10" s="812">
        <f>SUM(F7:F9)</f>
        <v>17308458</v>
      </c>
      <c r="G10" s="1277">
        <f>SUM(G7:G9)</f>
        <v>10000000</v>
      </c>
      <c r="H10" s="1278"/>
    </row>
    <row r="11" spans="2:8" ht="22.5" customHeight="1">
      <c r="B11" s="731"/>
      <c r="C11" s="731"/>
      <c r="D11" s="1005"/>
      <c r="E11" s="1005"/>
      <c r="F11" s="1005"/>
      <c r="G11" s="1006"/>
      <c r="H11" s="1006"/>
    </row>
    <row r="12" spans="2:9" ht="13.5">
      <c r="B12" s="594" t="s">
        <v>386</v>
      </c>
      <c r="C12" s="732" t="s">
        <v>268</v>
      </c>
      <c r="D12" s="733" t="str">
        <f>'(４)経費明細表チェックリスト'!I13</f>
        <v>Ｂ金属株式会社</v>
      </c>
      <c r="E12" s="2" t="s">
        <v>342</v>
      </c>
      <c r="F12" s="2" t="s">
        <v>422</v>
      </c>
      <c r="I12" s="734"/>
    </row>
    <row r="13" spans="2:9" ht="13.5">
      <c r="B13" s="594"/>
      <c r="C13" s="732"/>
      <c r="D13" s="1007"/>
      <c r="I13" s="734"/>
    </row>
    <row r="14" spans="2:9" ht="18.75">
      <c r="B14" s="1279" t="s">
        <v>457</v>
      </c>
      <c r="C14" s="1002" t="str">
        <f>IF('使い方'!$H$14=C15,"☑","□")</f>
        <v>□</v>
      </c>
      <c r="D14" s="1002" t="str">
        <f>IF('使い方'!$H$14=D15,"☑","□")</f>
        <v>☑</v>
      </c>
      <c r="E14" s="1002" t="str">
        <f>IF('使い方'!$H$14=E15,"☑","□")</f>
        <v>□</v>
      </c>
      <c r="F14" s="1002" t="str">
        <f>IF('使い方'!$H$18=F15,"☑","□")</f>
        <v>☑</v>
      </c>
      <c r="G14" s="1002" t="str">
        <f>IF('使い方'!$H$18=G15,"☑","□")</f>
        <v>□</v>
      </c>
      <c r="H14" s="1003" t="str">
        <f>IF('使い方'!$H$18=H15,"☑","□")</f>
        <v>□</v>
      </c>
      <c r="I14" s="734"/>
    </row>
    <row r="15" spans="2:9" ht="18.75" customHeight="1">
      <c r="B15" s="1280"/>
      <c r="C15" s="1000" t="s">
        <v>323</v>
      </c>
      <c r="D15" s="1000" t="s">
        <v>449</v>
      </c>
      <c r="E15" s="1001" t="s">
        <v>450</v>
      </c>
      <c r="F15" s="1001" t="s">
        <v>300</v>
      </c>
      <c r="G15" s="1001" t="s">
        <v>304</v>
      </c>
      <c r="H15" s="1001" t="s">
        <v>302</v>
      </c>
      <c r="I15" s="734"/>
    </row>
    <row r="16" spans="2:9" ht="22.5" customHeight="1">
      <c r="B16" s="1281" t="s">
        <v>28</v>
      </c>
      <c r="C16" s="1269" t="s">
        <v>407</v>
      </c>
      <c r="D16" s="1270"/>
      <c r="E16" s="87" t="s">
        <v>406</v>
      </c>
      <c r="F16" s="87" t="s">
        <v>405</v>
      </c>
      <c r="G16" s="1286" t="s">
        <v>421</v>
      </c>
      <c r="H16" s="1287"/>
      <c r="I16" s="734"/>
    </row>
    <row r="17" spans="2:8" ht="27" customHeight="1">
      <c r="B17" s="1282"/>
      <c r="C17" s="1271" t="s">
        <v>377</v>
      </c>
      <c r="D17" s="1284"/>
      <c r="E17" s="759" t="s">
        <v>267</v>
      </c>
      <c r="F17" s="725" t="s">
        <v>41</v>
      </c>
      <c r="G17" s="1288"/>
      <c r="H17" s="1289"/>
    </row>
    <row r="18" spans="2:8" ht="24" customHeight="1">
      <c r="B18" s="1283"/>
      <c r="C18" s="727" t="s">
        <v>379</v>
      </c>
      <c r="D18" s="727" t="s">
        <v>420</v>
      </c>
      <c r="E18" s="727" t="s">
        <v>420</v>
      </c>
      <c r="F18" s="727" t="s">
        <v>420</v>
      </c>
      <c r="G18" s="1290"/>
      <c r="H18" s="1291"/>
    </row>
    <row r="19" spans="1:8" ht="29.25" customHeight="1">
      <c r="A19" s="1009">
        <f>'(４)経費明細表チェックリスト'!B17</f>
      </c>
      <c r="B19" s="729" t="s">
        <v>408</v>
      </c>
      <c r="C19" s="892">
        <f>'(４)経費明細表チェックリスト'!E17</f>
        <v>540000</v>
      </c>
      <c r="D19" s="892">
        <f>'(４)経費明細表チェックリスト'!F17</f>
        <v>500000</v>
      </c>
      <c r="E19" s="892">
        <f>'(４)経費明細表チェックリスト'!H17</f>
        <v>500000</v>
      </c>
      <c r="F19" s="893">
        <f>'(４)経費明細表チェックリスト'!J17</f>
        <v>211356</v>
      </c>
      <c r="G19" s="691" t="s">
        <v>441</v>
      </c>
      <c r="H19" s="736"/>
    </row>
    <row r="20" spans="1:8" ht="29.25" customHeight="1">
      <c r="A20" s="1009">
        <f>'(４)経費明細表チェックリスト'!B18</f>
      </c>
      <c r="B20" s="737" t="s">
        <v>45</v>
      </c>
      <c r="C20" s="894">
        <f>'(４)経費明細表チェックリスト'!E18</f>
        <v>11880000</v>
      </c>
      <c r="D20" s="894">
        <f>'(４)経費明細表チェックリスト'!F18</f>
        <v>11000000</v>
      </c>
      <c r="E20" s="894">
        <f>'(４)経費明細表チェックリスト'!H18</f>
        <v>11000000</v>
      </c>
      <c r="F20" s="895">
        <f>'(４)経費明細表チェックリスト'!J18</f>
        <v>7333333</v>
      </c>
      <c r="G20" s="691"/>
      <c r="H20" s="738"/>
    </row>
    <row r="21" spans="1:8" ht="29.25" customHeight="1">
      <c r="A21" s="1009">
        <f>'(４)経費明細表チェックリスト'!B19</f>
      </c>
      <c r="B21" s="737" t="s">
        <v>409</v>
      </c>
      <c r="C21" s="894">
        <f>'(４)経費明細表チェックリスト'!E19</f>
        <v>4408458</v>
      </c>
      <c r="D21" s="894">
        <f>'(４)経費明細表チェックリスト'!F19</f>
        <v>4408458</v>
      </c>
      <c r="E21" s="894">
        <f>'(４)経費明細表チェックリスト'!H19</f>
        <v>4408458</v>
      </c>
      <c r="F21" s="895">
        <f>'(４)経費明細表チェックリスト'!J19</f>
        <v>1863515</v>
      </c>
      <c r="H21" s="739"/>
    </row>
    <row r="22" spans="2:8" ht="29.25" customHeight="1">
      <c r="B22" s="737" t="s">
        <v>63</v>
      </c>
      <c r="C22" s="894">
        <f>'(４)経費明細表チェックリスト'!E20</f>
        <v>324000</v>
      </c>
      <c r="D22" s="894">
        <f>'(４)経費明細表チェックリスト'!F20</f>
        <v>300000</v>
      </c>
      <c r="E22" s="894">
        <f>'(４)経費明細表チェックリスト'!H20</f>
        <v>300000</v>
      </c>
      <c r="F22" s="895">
        <f>'(４)経費明細表チェックリスト'!J20</f>
        <v>126813</v>
      </c>
      <c r="G22" s="691"/>
      <c r="H22" s="738"/>
    </row>
    <row r="23" spans="1:8" ht="29.25" customHeight="1">
      <c r="A23" s="1009">
        <f>'(４)経費明細表チェックリスト'!B21</f>
      </c>
      <c r="B23" s="737" t="s">
        <v>410</v>
      </c>
      <c r="C23" s="894">
        <f>'(４)経費明細表チェックリスト'!E21</f>
        <v>540000</v>
      </c>
      <c r="D23" s="894">
        <f>'(４)経費明細表チェックリスト'!F21</f>
        <v>500000</v>
      </c>
      <c r="E23" s="894">
        <f>'(４)経費明細表チェックリスト'!H21</f>
        <v>500000</v>
      </c>
      <c r="F23" s="895">
        <f>'(４)経費明細表チェックリスト'!J21</f>
        <v>211356</v>
      </c>
      <c r="G23" s="691"/>
      <c r="H23" s="738"/>
    </row>
    <row r="24" spans="1:8" ht="29.25" customHeight="1">
      <c r="A24" s="1009">
        <f>'(４)経費明細表チェックリスト'!B22</f>
      </c>
      <c r="B24" s="737" t="s">
        <v>411</v>
      </c>
      <c r="C24" s="894">
        <f>'(４)経費明細表チェックリスト'!E22</f>
        <v>648000</v>
      </c>
      <c r="D24" s="894">
        <f>'(４)経費明細表チェックリスト'!F22</f>
        <v>600000</v>
      </c>
      <c r="E24" s="894">
        <f>'(４)経費明細表チェックリスト'!H22</f>
        <v>600000</v>
      </c>
      <c r="F24" s="895">
        <f>'(４)経費明細表チェックリスト'!J22</f>
        <v>253627</v>
      </c>
      <c r="G24" s="691"/>
      <c r="H24" s="738"/>
    </row>
    <row r="25" spans="1:8" ht="29.25" customHeight="1">
      <c r="A25" s="1009">
        <f>'(４)経費明細表チェックリスト'!B23</f>
      </c>
      <c r="B25" s="737" t="s">
        <v>412</v>
      </c>
      <c r="C25" s="894">
        <f>'(４)経費明細表チェックリスト'!E23</f>
        <v>0</v>
      </c>
      <c r="D25" s="894">
        <f>'(４)経費明細表チェックリスト'!F23</f>
        <v>0</v>
      </c>
      <c r="E25" s="894">
        <f>'(４)経費明細表チェックリスト'!H23</f>
        <v>0</v>
      </c>
      <c r="F25" s="895">
        <f>'(４)経費明細表チェックリスト'!J23</f>
        <v>0</v>
      </c>
      <c r="G25" s="691"/>
      <c r="H25" s="738"/>
    </row>
    <row r="26" spans="2:8" ht="29.25" customHeight="1">
      <c r="B26" s="737" t="s">
        <v>68</v>
      </c>
      <c r="C26" s="894">
        <f>'(４)経費明細表チェックリスト'!E24</f>
        <v>0</v>
      </c>
      <c r="D26" s="894">
        <f>'(４)経費明細表チェックリスト'!F24</f>
        <v>0</v>
      </c>
      <c r="E26" s="894">
        <f>'(４)経費明細表チェックリスト'!H24</f>
        <v>0</v>
      </c>
      <c r="F26" s="895">
        <f>'(４)経費明細表チェックリスト'!J24</f>
        <v>0</v>
      </c>
      <c r="G26" s="691"/>
      <c r="H26" s="738"/>
    </row>
    <row r="27" spans="2:8" ht="29.25" customHeight="1">
      <c r="B27" s="737" t="s">
        <v>66</v>
      </c>
      <c r="C27" s="894">
        <f>'(４)経費明細表チェックリスト'!E25</f>
        <v>0</v>
      </c>
      <c r="D27" s="894">
        <f>'(４)経費明細表チェックリスト'!F25</f>
        <v>0</v>
      </c>
      <c r="E27" s="894">
        <f>'(４)経費明細表チェックリスト'!H25</f>
        <v>0</v>
      </c>
      <c r="F27" s="895">
        <f>'(４)経費明細表チェックリスト'!J25</f>
        <v>0</v>
      </c>
      <c r="G27" s="691"/>
      <c r="H27" s="738"/>
    </row>
    <row r="28" spans="2:8" ht="29.25" customHeight="1">
      <c r="B28" s="737" t="s">
        <v>65</v>
      </c>
      <c r="C28" s="894">
        <f>'(４)経費明細表チェックリスト'!E26</f>
        <v>0</v>
      </c>
      <c r="D28" s="894">
        <f>'(４)経費明細表チェックリスト'!F26</f>
        <v>0</v>
      </c>
      <c r="E28" s="894">
        <f>'(４)経費明細表チェックリスト'!H26</f>
        <v>0</v>
      </c>
      <c r="F28" s="895">
        <f>'(４)経費明細表チェックリスト'!J26</f>
        <v>0</v>
      </c>
      <c r="G28" s="691"/>
      <c r="H28" s="738"/>
    </row>
    <row r="29" spans="1:8" ht="29.25" customHeight="1" thickBot="1">
      <c r="A29" s="1009">
        <f>'(４)経費明細表チェックリスト'!B27</f>
      </c>
      <c r="B29" s="740" t="s">
        <v>413</v>
      </c>
      <c r="C29" s="810">
        <f>'(４)経費明細表チェックリスト'!E27</f>
        <v>0</v>
      </c>
      <c r="D29" s="810">
        <f>'(４)経費明細表チェックリスト'!F27</f>
        <v>0</v>
      </c>
      <c r="E29" s="810">
        <f>'(４)経費明細表チェックリスト'!H27</f>
        <v>0</v>
      </c>
      <c r="F29" s="895">
        <f>'(４)経費明細表チェックリスト'!J27</f>
        <v>0</v>
      </c>
      <c r="G29" s="741"/>
      <c r="H29" s="742"/>
    </row>
    <row r="30" spans="2:8" ht="29.25" customHeight="1" thickBot="1">
      <c r="B30" s="743" t="s">
        <v>1</v>
      </c>
      <c r="C30" s="812">
        <f>SUM(C19:C29)</f>
        <v>18340458</v>
      </c>
      <c r="D30" s="812">
        <f>SUM(D19:D29)</f>
        <v>17308458</v>
      </c>
      <c r="E30" s="810">
        <f>SUM(E19:E29)</f>
        <v>17308458</v>
      </c>
      <c r="F30" s="896">
        <f>SUM(F19:F29)</f>
        <v>10000000</v>
      </c>
      <c r="G30" s="760"/>
      <c r="H30" s="761"/>
    </row>
    <row r="32" spans="2:7" ht="14.25">
      <c r="B32" s="594" t="s">
        <v>266</v>
      </c>
      <c r="C32" s="23"/>
      <c r="D32" s="23"/>
      <c r="E32" s="23"/>
      <c r="F32" s="23"/>
      <c r="G32" s="23"/>
    </row>
    <row r="33" spans="2:9" ht="13.5">
      <c r="B33" s="1267" t="s">
        <v>46</v>
      </c>
      <c r="C33" s="1267"/>
      <c r="D33" s="1267"/>
      <c r="F33" s="1268" t="s">
        <v>385</v>
      </c>
      <c r="G33" s="1268"/>
      <c r="H33" s="1268"/>
      <c r="I33" s="907"/>
    </row>
    <row r="34" spans="2:8" ht="33" customHeight="1">
      <c r="B34" s="744" t="s">
        <v>47</v>
      </c>
      <c r="C34" s="725" t="s">
        <v>418</v>
      </c>
      <c r="D34" s="735" t="s">
        <v>419</v>
      </c>
      <c r="E34" s="755"/>
      <c r="F34" s="744" t="s">
        <v>47</v>
      </c>
      <c r="G34" s="725" t="s">
        <v>418</v>
      </c>
      <c r="H34" s="735" t="s">
        <v>419</v>
      </c>
    </row>
    <row r="35" spans="2:8" ht="27" customHeight="1">
      <c r="B35" s="744" t="s">
        <v>451</v>
      </c>
      <c r="C35" s="897">
        <f>C39-C36-C37-C38</f>
        <v>8340458</v>
      </c>
      <c r="D35" s="746"/>
      <c r="E35" s="756"/>
      <c r="F35" s="744" t="s">
        <v>50</v>
      </c>
      <c r="G35" s="902">
        <f>'(４)経費明細表チェックリスト'!K35</f>
        <v>3000000</v>
      </c>
      <c r="H35" s="762"/>
    </row>
    <row r="36" spans="2:8" ht="27" customHeight="1">
      <c r="B36" s="747" t="s">
        <v>452</v>
      </c>
      <c r="C36" s="898">
        <f>F30</f>
        <v>10000000</v>
      </c>
      <c r="D36" s="748"/>
      <c r="E36" s="757"/>
      <c r="F36" s="744" t="s">
        <v>292</v>
      </c>
      <c r="G36" s="903">
        <f>G38-G35-G37</f>
        <v>7000000</v>
      </c>
      <c r="H36" s="763" t="str">
        <f>D37</f>
        <v>△○信用金庫　○○支店</v>
      </c>
    </row>
    <row r="37" spans="2:8" ht="27" customHeight="1">
      <c r="B37" s="744" t="s">
        <v>453</v>
      </c>
      <c r="C37" s="899">
        <f>'(４)経費明細表チェックリスト'!E37</f>
        <v>0</v>
      </c>
      <c r="D37" s="1010" t="str">
        <f>IF('使い方'!E24="","",'使い方'!E24)</f>
        <v>△○信用金庫　○○支店</v>
      </c>
      <c r="E37" s="758"/>
      <c r="F37" s="744" t="s">
        <v>51</v>
      </c>
      <c r="G37" s="902">
        <f>'(４)経費明細表チェックリスト'!K37</f>
        <v>0</v>
      </c>
      <c r="H37" s="762"/>
    </row>
    <row r="38" spans="2:8" ht="27" customHeight="1">
      <c r="B38" s="744" t="s">
        <v>454</v>
      </c>
      <c r="C38" s="900">
        <f>'(４)経費明細表チェックリスト'!E38</f>
        <v>0</v>
      </c>
      <c r="D38" s="745"/>
      <c r="E38" s="757"/>
      <c r="F38" s="749" t="s">
        <v>281</v>
      </c>
      <c r="G38" s="904">
        <f>C36</f>
        <v>10000000</v>
      </c>
      <c r="H38" s="764"/>
    </row>
    <row r="39" spans="2:16" ht="27" customHeight="1">
      <c r="B39" s="744" t="s">
        <v>455</v>
      </c>
      <c r="C39" s="901">
        <f>C30</f>
        <v>18340458</v>
      </c>
      <c r="D39" s="750"/>
      <c r="E39" s="116" t="s">
        <v>384</v>
      </c>
      <c r="M39" s="751"/>
      <c r="N39" s="751"/>
      <c r="O39" s="751"/>
      <c r="P39" s="751"/>
    </row>
    <row r="40" spans="2:16" ht="13.5">
      <c r="B40" s="753"/>
      <c r="C40" s="1008"/>
      <c r="D40" s="754"/>
      <c r="E40" s="349" t="s">
        <v>347</v>
      </c>
      <c r="M40" s="751"/>
      <c r="N40" s="751"/>
      <c r="O40" s="751"/>
      <c r="P40" s="751"/>
    </row>
    <row r="41" spans="2:16" ht="13.5">
      <c r="B41" s="752"/>
      <c r="C41" s="752"/>
      <c r="D41" s="752"/>
      <c r="E41" s="116" t="s">
        <v>348</v>
      </c>
      <c r="F41" s="1011" t="str">
        <f>'使い方'!F26</f>
        <v>総務部長　経済洋子</v>
      </c>
      <c r="M41" s="751"/>
      <c r="N41" s="751"/>
      <c r="O41" s="751"/>
      <c r="P41" s="751"/>
    </row>
    <row r="42" spans="2:16" ht="13.5">
      <c r="B42" s="752" t="s">
        <v>456</v>
      </c>
      <c r="C42" s="598"/>
      <c r="D42" s="598"/>
      <c r="E42" s="116" t="s">
        <v>349</v>
      </c>
      <c r="F42" s="1011" t="str">
        <f>'使い方'!F27</f>
        <v>TEL　052-561-8261</v>
      </c>
      <c r="M42" s="751"/>
      <c r="N42" s="751"/>
      <c r="O42" s="751"/>
      <c r="P42" s="751"/>
    </row>
    <row r="43" spans="13:16" ht="13.5">
      <c r="M43" s="751"/>
      <c r="N43" s="751"/>
      <c r="O43" s="751"/>
      <c r="P43" s="751"/>
    </row>
    <row r="44" spans="8:16" ht="10.5" customHeight="1">
      <c r="H44" s="752"/>
      <c r="I44" s="752"/>
      <c r="M44" s="751"/>
      <c r="N44" s="751"/>
      <c r="O44" s="751"/>
      <c r="P44" s="751"/>
    </row>
  </sheetData>
  <sheetProtection sheet="1" objects="1" scenarios="1"/>
  <mergeCells count="19">
    <mergeCell ref="B14:B15"/>
    <mergeCell ref="B16:B18"/>
    <mergeCell ref="C17:D17"/>
    <mergeCell ref="G3:H3"/>
    <mergeCell ref="G16:H18"/>
    <mergeCell ref="G4:H4"/>
    <mergeCell ref="D5:E5"/>
    <mergeCell ref="G5:H5"/>
    <mergeCell ref="G6:H6"/>
    <mergeCell ref="B33:D33"/>
    <mergeCell ref="F33:H33"/>
    <mergeCell ref="C16:D16"/>
    <mergeCell ref="B4:B6"/>
    <mergeCell ref="G7:H7"/>
    <mergeCell ref="G8:H8"/>
    <mergeCell ref="G9:H9"/>
    <mergeCell ref="B10:C10"/>
    <mergeCell ref="G10:H10"/>
    <mergeCell ref="D4:E4"/>
  </mergeCells>
  <dataValidations count="2">
    <dataValidation allowBlank="1" showInputMessage="1" showErrorMessage="1" imeMode="halfAlpha" sqref="H36 D37:E37 C19:F29"/>
    <dataValidation allowBlank="1" showInputMessage="1" showErrorMessage="1" imeMode="hiragana" sqref="C16 E16 D12:D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drawing r:id="rId1"/>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IF('対象者一覧表'!E17="","",'対象者一覧表'!E17)</f>
      </c>
      <c r="T3" s="1353"/>
      <c r="U3" s="1145">
        <f>IF('対象者一覧表'!F17="","",'対象者一覧表'!F17)</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IF('対象者一覧表'!D17="","",'対象者一覧表'!D17)</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IF('対象者一覧表'!H17="","",'対象者一覧表'!H17)</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464</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464</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796">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797">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798"/>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797">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332">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798"/>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797">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798"/>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797">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798"/>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797">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797">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797">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55">
        <f>IF(D22=0,"",ROUND(LOOKUP(D22,'2409'!$D$19:$E$48,'2409'!$C$19:$C$48)*$C$39/1000,0))</f>
      </c>
      <c r="E39" s="856">
        <f>IF(E22=0,"",ROUND(LOOKUP(E22,'2409'!$D$19:$E$48,'2409'!$C$19:$C$48)*$C$39/1000,0))</f>
      </c>
      <c r="F39" s="856">
        <f>IF(F22=0,"",ROUND(LOOKUP(F22,'2409'!$D$19:$E$48,'2409'!$C$19:$C$48)*$C$39/1000,0))</f>
      </c>
      <c r="G39" s="856">
        <f>IF(G20=0,"",ROUND((ROUNDDOWN(G20,-3)*$C$39/1000),0))</f>
      </c>
      <c r="H39" s="856">
        <f>IF(H22=0,"",ROUND(LOOKUP(H22,'2409'!$D$19:$E$48,'2409'!$C$19:$C$48)*$C$39/1000,0))</f>
      </c>
      <c r="I39" s="856">
        <f>IF(I22=0,"",ROUND(LOOKUP(I22,'2409'!$D$19:$E$48,'2409'!$C$19:$C$48)*$C$39/1000,0))</f>
      </c>
      <c r="J39" s="856">
        <f>IF(J22=0,"",ROUND(LOOKUP(J22,'2409'!$D$19:$E$48,'2409'!$C$19:$C$48)*$C$39/1000,0))</f>
      </c>
      <c r="K39" s="856">
        <f>IF(K22=0,"",ROUND(LOOKUP(K22,'2409'!$D$19:$E$48,'2409'!$C$19:$C$48)*$C$39/1000,0))</f>
      </c>
      <c r="L39" s="856">
        <f>IF(L22=0,"",ROUND(LOOKUP(L22,'2409'!$D$19:$E$48,'2409'!$C$19:$C$48)*$C$39/1000,0))</f>
      </c>
      <c r="M39" s="856">
        <f>IF(M22=0,"",ROUND(LOOKUP(M22,'2409'!$D$19:$E$48,'2409'!$C$19:$C$48)*$C$39/1000,0))</f>
      </c>
      <c r="N39" s="857">
        <f>IF(N20=0,"",ROUND((ROUNDDOWN(N20,-3)*$C$39/1000),0))</f>
      </c>
      <c r="O39" s="856">
        <f>IF(O22=0,"",ROUND(LOOKUP(O22,'2409'!$D$19:$E$48,'2409'!$C$19:$C$48)*$C$39/1000,0))</f>
      </c>
      <c r="P39" s="856">
        <f>IF(P22=0,"",ROUND(LOOKUP(P22,'2409'!$D$19:$E$48,'2409'!$C$19:$C$48)*$C$39/1000,0))</f>
      </c>
      <c r="Q39" s="856">
        <f>IF(Q22=0,"",ROUND(LOOKUP(Q22,'2409'!$D$19:$E$48,'2409'!$C$19:$C$48)*$C$39/1000,0))</f>
      </c>
      <c r="R39" s="856">
        <f>IF(R20=0,"",ROUND((ROUNDDOWN(R20,-3)*$C$39/1000),0))</f>
      </c>
      <c r="S39" s="855">
        <f>IF(S22=0,"",ROUND(LOOKUP(S22,'2409'!$D$19:$E$48,'2409'!$C$19:$C$48)*$C$39/1000,0))</f>
      </c>
      <c r="T39" s="856">
        <f>IF(T22=0,"",ROUND(LOOKUP(T22,'2409'!$D$19:$E$48,'2409'!$C$19:$C$48)*$C$39/1000,0))</f>
      </c>
      <c r="U39" s="856">
        <f>IF(U22=0,"",ROUND(LOOKUP(U22,'2409'!$D$19:$E$48,'2409'!$C$19:$C$48)*$C$39/1000,0))</f>
      </c>
      <c r="V39" s="856">
        <f>IF(V20=0,"",ROUND((ROUNDDOWN(V20,-3)*$C$39/1000),0))</f>
      </c>
      <c r="W39" s="856">
        <f>IF(W22=0,"",ROUND(LOOKUP(W22,'2409'!$D$19:$E$48,'2409'!$C$19:$C$48)*$C$39/1000,0))</f>
      </c>
      <c r="X39" s="1124">
        <f>IF(X22=0,"",ROUND(LOOKUP(X22,'2409'!$D$19:$E$48,'2409'!$C$19:$C$48)*$C$39/1000,0))</f>
      </c>
      <c r="Y39" s="858">
        <f t="shared" si="2"/>
        <v>0</v>
      </c>
    </row>
    <row r="40" spans="1:26" ht="17.25" customHeight="1" thickBot="1">
      <c r="A40" s="807" t="s">
        <v>104</v>
      </c>
      <c r="B40" s="807"/>
      <c r="C40" s="799"/>
      <c r="D40" s="869">
        <f aca="true" t="shared" si="7" ref="D40:T40">SUM(D26:D39)</f>
        <v>0</v>
      </c>
      <c r="E40" s="860">
        <f t="shared" si="7"/>
        <v>0</v>
      </c>
      <c r="F40" s="860">
        <f t="shared" si="7"/>
        <v>0</v>
      </c>
      <c r="G40" s="860">
        <f>SUM(G26:G39)</f>
        <v>0</v>
      </c>
      <c r="H40" s="860">
        <f t="shared" si="7"/>
        <v>0</v>
      </c>
      <c r="I40" s="860">
        <f t="shared" si="7"/>
        <v>0</v>
      </c>
      <c r="J40" s="860">
        <f t="shared" si="7"/>
        <v>0</v>
      </c>
      <c r="K40" s="860">
        <f t="shared" si="7"/>
        <v>0</v>
      </c>
      <c r="L40" s="860">
        <f t="shared" si="7"/>
        <v>0</v>
      </c>
      <c r="M40" s="860">
        <f t="shared" si="7"/>
        <v>0</v>
      </c>
      <c r="N40" s="861">
        <f t="shared" si="7"/>
        <v>0</v>
      </c>
      <c r="O40" s="860">
        <f t="shared" si="7"/>
        <v>0</v>
      </c>
      <c r="P40" s="860">
        <f t="shared" si="7"/>
        <v>0</v>
      </c>
      <c r="Q40" s="860">
        <f t="shared" si="7"/>
        <v>0</v>
      </c>
      <c r="R40" s="860">
        <f t="shared" si="7"/>
        <v>0</v>
      </c>
      <c r="S40" s="859">
        <f t="shared" si="7"/>
        <v>0</v>
      </c>
      <c r="T40" s="860">
        <f t="shared" si="7"/>
        <v>0</v>
      </c>
      <c r="U40" s="860">
        <f>SUM(U26:U39)</f>
        <v>0</v>
      </c>
      <c r="V40" s="860">
        <f>SUM(V26:V39)</f>
        <v>0</v>
      </c>
      <c r="W40" s="860">
        <f>SUM(W26:W39)</f>
        <v>0</v>
      </c>
      <c r="X40" s="1125">
        <f>SUM(X26:X39)</f>
        <v>0</v>
      </c>
      <c r="Y40" s="862">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D20 O20" formulaRange="1"/>
    <ignoredError sqref="G26:G30 N26:N30 R26:R30 G32:G39 N32:N40 R32:R39" formula="1"/>
    <ignoredError sqref="F51" unlockedFormula="1"/>
  </ignoredErrors>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9" zoomScaleNormal="75" zoomScaleSheetLayoutView="79"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2" ht="18.75" customHeight="1">
      <c r="A1" s="37" t="s">
        <v>79</v>
      </c>
      <c r="G1" s="38"/>
      <c r="H1" s="38"/>
      <c r="I1" s="38"/>
      <c r="J1" s="38" t="s">
        <v>80</v>
      </c>
      <c r="K1" s="38"/>
      <c r="L1" s="38"/>
      <c r="M1" s="38"/>
      <c r="N1" s="38"/>
      <c r="O1" s="38"/>
      <c r="P1" s="38"/>
      <c r="Q1" s="38"/>
      <c r="R1" s="38"/>
      <c r="S1" s="38"/>
      <c r="V1" s="38"/>
      <c r="W1" s="38"/>
      <c r="X1" s="38"/>
      <c r="Y1" s="38"/>
      <c r="Z1" s="38"/>
      <c r="AA1" s="38"/>
      <c r="AB1" s="38"/>
      <c r="AC1" s="38"/>
      <c r="AD1" s="38"/>
      <c r="AE1" s="38"/>
      <c r="AF1" s="38"/>
    </row>
    <row r="2" spans="1:31" ht="15" customHeight="1" thickBot="1">
      <c r="A2" s="37"/>
      <c r="G2" s="38"/>
      <c r="H2" s="38"/>
      <c r="I2" s="38"/>
      <c r="J2" s="38"/>
      <c r="K2" s="38"/>
      <c r="L2" s="38"/>
      <c r="M2" s="38"/>
      <c r="N2" s="38"/>
      <c r="O2" s="38"/>
      <c r="P2" s="38"/>
      <c r="Q2" s="38"/>
      <c r="R2" s="1022" t="s">
        <v>81</v>
      </c>
      <c r="S2" s="1352" t="str">
        <f>'対象者一覧表'!$G$4</f>
        <v>Ｂ金属株式会社</v>
      </c>
      <c r="T2" s="1352"/>
      <c r="U2" s="1352"/>
      <c r="V2" s="38"/>
      <c r="W2" s="38"/>
      <c r="X2" s="38"/>
      <c r="Y2" s="38"/>
      <c r="Z2" s="38"/>
      <c r="AA2" s="38"/>
      <c r="AB2" s="38"/>
      <c r="AC2" s="38"/>
      <c r="AD2" s="38"/>
      <c r="AE2" s="38"/>
    </row>
    <row r="3" spans="1:31" ht="15" customHeight="1" thickBot="1">
      <c r="A3" s="37"/>
      <c r="G3" s="38"/>
      <c r="H3" s="38"/>
      <c r="I3" s="38"/>
      <c r="J3" s="528"/>
      <c r="K3" s="40" t="s">
        <v>472</v>
      </c>
      <c r="L3" s="40"/>
      <c r="M3" s="40"/>
      <c r="O3" s="544"/>
      <c r="P3" s="40"/>
      <c r="Q3" s="38"/>
      <c r="R3" s="1023" t="s">
        <v>82</v>
      </c>
      <c r="S3" s="1353">
        <f>IF('対象者一覧表'!E18="","",'対象者一覧表'!E18)</f>
      </c>
      <c r="T3" s="1353"/>
      <c r="U3" s="1145">
        <f>IF('対象者一覧表'!F18="","",'対象者一覧表'!F18)</f>
      </c>
      <c r="V3" s="38"/>
      <c r="W3" s="38"/>
      <c r="X3" s="38"/>
      <c r="Y3" s="38"/>
      <c r="Z3" s="38"/>
      <c r="AA3" s="38"/>
      <c r="AB3" s="38"/>
      <c r="AC3" s="38"/>
      <c r="AD3" s="38"/>
      <c r="AE3" s="38"/>
    </row>
    <row r="4" spans="1:34" ht="15" customHeight="1">
      <c r="A4" s="37"/>
      <c r="G4" s="38"/>
      <c r="H4" s="38"/>
      <c r="I4" s="38"/>
      <c r="J4" s="19"/>
      <c r="K4" s="38"/>
      <c r="L4" s="38"/>
      <c r="M4" s="38"/>
      <c r="N4" s="38"/>
      <c r="O4" s="331"/>
      <c r="P4" s="38"/>
      <c r="Q4" s="38"/>
      <c r="R4" s="1023" t="s">
        <v>83</v>
      </c>
      <c r="S4" s="1353">
        <f>IF('対象者一覧表'!D18="","",'対象者一覧表'!D18)</f>
      </c>
      <c r="T4" s="1353"/>
      <c r="U4" s="1353"/>
      <c r="V4" s="789"/>
      <c r="W4" s="789"/>
      <c r="X4" s="789"/>
      <c r="Y4" s="789"/>
      <c r="Z4" s="789"/>
      <c r="AA4" s="789"/>
      <c r="AB4" s="789"/>
      <c r="AC4" s="789"/>
      <c r="AD4" s="789"/>
      <c r="AE4" s="788"/>
      <c r="AF4" s="50"/>
      <c r="AG4" s="50"/>
      <c r="AH4" s="50"/>
    </row>
    <row r="5" spans="1:34" ht="15" customHeight="1">
      <c r="A5" s="1359" t="s">
        <v>84</v>
      </c>
      <c r="B5" s="1359"/>
      <c r="C5" s="39"/>
      <c r="D5" s="39"/>
      <c r="E5" s="39"/>
      <c r="F5" s="39"/>
      <c r="P5" s="303" t="s">
        <v>394</v>
      </c>
      <c r="R5" s="1024" t="s">
        <v>85</v>
      </c>
      <c r="S5" s="1356">
        <f>IF('対象者一覧表'!H18="","",'対象者一覧表'!H18)</f>
      </c>
      <c r="T5" s="1356"/>
      <c r="U5" s="526">
        <f>IF(S5="","",DATEDIF(S5,D7,"Y"))</f>
      </c>
      <c r="V5" s="544"/>
      <c r="W5" s="544"/>
      <c r="X5" s="544"/>
      <c r="Y5" s="544"/>
      <c r="Z5" s="544"/>
      <c r="AA5" s="544"/>
      <c r="AB5" s="544"/>
      <c r="AC5" s="544"/>
      <c r="AD5" s="527"/>
      <c r="AE5" s="50"/>
      <c r="AF5" s="50"/>
      <c r="AG5" s="50"/>
      <c r="AH5" s="50"/>
    </row>
    <row r="6" spans="1:3" ht="15" customHeight="1" thickBot="1">
      <c r="A6" s="1360"/>
      <c r="B6" s="1360"/>
      <c r="C6" s="39"/>
    </row>
    <row r="7" spans="1:25" ht="15" customHeight="1" thickBot="1">
      <c r="A7" s="539" t="s">
        <v>86</v>
      </c>
      <c r="B7" s="1363" t="s">
        <v>87</v>
      </c>
      <c r="C7" s="1364"/>
      <c r="D7" s="790">
        <v>41394</v>
      </c>
      <c r="E7" s="550" t="s">
        <v>460</v>
      </c>
      <c r="F7" s="550" t="s">
        <v>462</v>
      </c>
      <c r="G7" s="550" t="s">
        <v>88</v>
      </c>
      <c r="H7" s="550" t="s">
        <v>464</v>
      </c>
      <c r="I7" s="550" t="s">
        <v>465</v>
      </c>
      <c r="J7" s="550" t="s">
        <v>466</v>
      </c>
      <c r="K7" s="550" t="s">
        <v>467</v>
      </c>
      <c r="L7" s="550" t="s">
        <v>469</v>
      </c>
      <c r="M7" s="550" t="s">
        <v>471</v>
      </c>
      <c r="N7" s="775" t="s">
        <v>88</v>
      </c>
      <c r="O7" s="782">
        <v>41670</v>
      </c>
      <c r="P7" s="550" t="s">
        <v>244</v>
      </c>
      <c r="Q7" s="550" t="s">
        <v>245</v>
      </c>
      <c r="R7" s="775" t="s">
        <v>88</v>
      </c>
      <c r="S7" s="550" t="s">
        <v>246</v>
      </c>
      <c r="T7" s="550" t="s">
        <v>188</v>
      </c>
      <c r="U7" s="550" t="s">
        <v>968</v>
      </c>
      <c r="V7" s="550" t="s">
        <v>88</v>
      </c>
      <c r="W7" s="550" t="s">
        <v>969</v>
      </c>
      <c r="X7" s="1113" t="s">
        <v>970</v>
      </c>
      <c r="Y7" s="539" t="s">
        <v>61</v>
      </c>
    </row>
    <row r="8" spans="1:25" ht="17.25" customHeight="1">
      <c r="A8" s="559" t="s">
        <v>248</v>
      </c>
      <c r="B8" s="1366" t="s">
        <v>249</v>
      </c>
      <c r="C8" s="1367"/>
      <c r="D8" s="791"/>
      <c r="E8" s="551"/>
      <c r="F8" s="551"/>
      <c r="G8" s="551"/>
      <c r="H8" s="551"/>
      <c r="I8" s="551"/>
      <c r="J8" s="551"/>
      <c r="K8" s="551"/>
      <c r="L8" s="551"/>
      <c r="M8" s="551"/>
      <c r="N8" s="776"/>
      <c r="O8" s="551"/>
      <c r="P8" s="551"/>
      <c r="Q8" s="551"/>
      <c r="R8" s="551"/>
      <c r="S8" s="551"/>
      <c r="T8" s="551"/>
      <c r="U8" s="551"/>
      <c r="V8" s="551"/>
      <c r="W8" s="551"/>
      <c r="X8" s="1114"/>
      <c r="Y8" s="852">
        <f>SUM(D8:X8)</f>
        <v>0</v>
      </c>
    </row>
    <row r="9" spans="1:25" ht="17.25" customHeight="1">
      <c r="A9" s="560" t="s">
        <v>89</v>
      </c>
      <c r="B9" s="1357"/>
      <c r="C9" s="1358"/>
      <c r="D9" s="792"/>
      <c r="E9" s="358"/>
      <c r="F9" s="358"/>
      <c r="G9" s="358"/>
      <c r="H9" s="358"/>
      <c r="I9" s="358"/>
      <c r="J9" s="358"/>
      <c r="K9" s="358"/>
      <c r="L9" s="358"/>
      <c r="M9" s="358"/>
      <c r="N9" s="777"/>
      <c r="O9" s="358"/>
      <c r="P9" s="358"/>
      <c r="Q9" s="358"/>
      <c r="R9" s="358"/>
      <c r="S9" s="358"/>
      <c r="T9" s="358"/>
      <c r="U9" s="358"/>
      <c r="V9" s="358"/>
      <c r="W9" s="358"/>
      <c r="X9" s="1115"/>
      <c r="Y9" s="545">
        <f aca="true" t="shared" si="0" ref="Y9:Y20">SUM(D9:X9)</f>
        <v>0</v>
      </c>
    </row>
    <row r="10" spans="1:25" ht="17.25" customHeight="1">
      <c r="A10" s="560" t="s">
        <v>90</v>
      </c>
      <c r="B10" s="1357"/>
      <c r="C10" s="1358"/>
      <c r="D10" s="792"/>
      <c r="E10" s="358"/>
      <c r="F10" s="358"/>
      <c r="G10" s="358"/>
      <c r="H10" s="358"/>
      <c r="I10" s="358"/>
      <c r="J10" s="358"/>
      <c r="K10" s="358"/>
      <c r="L10" s="358"/>
      <c r="M10" s="358"/>
      <c r="N10" s="777"/>
      <c r="O10" s="358"/>
      <c r="P10" s="358"/>
      <c r="Q10" s="358"/>
      <c r="R10" s="358"/>
      <c r="S10" s="358"/>
      <c r="T10" s="358"/>
      <c r="U10" s="358"/>
      <c r="V10" s="358"/>
      <c r="W10" s="358"/>
      <c r="X10" s="1115"/>
      <c r="Y10" s="545">
        <f t="shared" si="0"/>
        <v>0</v>
      </c>
    </row>
    <row r="11" spans="1:25" ht="17.25" customHeight="1">
      <c r="A11" s="560" t="s">
        <v>91</v>
      </c>
      <c r="B11" s="1357" t="s">
        <v>229</v>
      </c>
      <c r="C11" s="1358"/>
      <c r="D11" s="792"/>
      <c r="E11" s="358"/>
      <c r="F11" s="358"/>
      <c r="G11" s="358"/>
      <c r="H11" s="358"/>
      <c r="I11" s="358"/>
      <c r="J11" s="358"/>
      <c r="K11" s="358"/>
      <c r="L11" s="358"/>
      <c r="M11" s="358"/>
      <c r="N11" s="777"/>
      <c r="O11" s="358"/>
      <c r="P11" s="358"/>
      <c r="Q11" s="358"/>
      <c r="R11" s="358"/>
      <c r="S11" s="358"/>
      <c r="T11" s="358"/>
      <c r="U11" s="358"/>
      <c r="V11" s="358"/>
      <c r="W11" s="358"/>
      <c r="X11" s="1115"/>
      <c r="Y11" s="545">
        <f t="shared" si="0"/>
        <v>0</v>
      </c>
    </row>
    <row r="12" spans="1:25" ht="17.25" customHeight="1">
      <c r="A12" s="560" t="s">
        <v>92</v>
      </c>
      <c r="B12" s="1357"/>
      <c r="C12" s="1358"/>
      <c r="D12" s="792"/>
      <c r="E12" s="358"/>
      <c r="F12" s="358"/>
      <c r="G12" s="358"/>
      <c r="H12" s="358"/>
      <c r="I12" s="358"/>
      <c r="J12" s="358"/>
      <c r="K12" s="358"/>
      <c r="L12" s="358"/>
      <c r="M12" s="358"/>
      <c r="N12" s="777"/>
      <c r="O12" s="358"/>
      <c r="P12" s="358"/>
      <c r="Q12" s="358"/>
      <c r="R12" s="358"/>
      <c r="S12" s="358"/>
      <c r="T12" s="358"/>
      <c r="U12" s="358"/>
      <c r="V12" s="358"/>
      <c r="W12" s="358"/>
      <c r="X12" s="1115"/>
      <c r="Y12" s="545">
        <f t="shared" si="0"/>
        <v>0</v>
      </c>
    </row>
    <row r="13" spans="1:25" ht="17.25" customHeight="1">
      <c r="A13" s="560" t="s">
        <v>93</v>
      </c>
      <c r="B13" s="1357"/>
      <c r="C13" s="1358"/>
      <c r="D13" s="792"/>
      <c r="E13" s="358"/>
      <c r="F13" s="358"/>
      <c r="G13" s="358"/>
      <c r="H13" s="358"/>
      <c r="I13" s="358"/>
      <c r="J13" s="358"/>
      <c r="K13" s="358"/>
      <c r="L13" s="358"/>
      <c r="M13" s="358"/>
      <c r="N13" s="777"/>
      <c r="O13" s="358"/>
      <c r="P13" s="358"/>
      <c r="Q13" s="358"/>
      <c r="R13" s="358"/>
      <c r="S13" s="358"/>
      <c r="T13" s="358"/>
      <c r="U13" s="358"/>
      <c r="V13" s="358"/>
      <c r="W13" s="358"/>
      <c r="X13" s="1115"/>
      <c r="Y13" s="545">
        <f t="shared" si="0"/>
        <v>0</v>
      </c>
    </row>
    <row r="14" spans="1:25" ht="17.25" customHeight="1">
      <c r="A14" s="560" t="s">
        <v>94</v>
      </c>
      <c r="B14" s="1357" t="s">
        <v>234</v>
      </c>
      <c r="C14" s="1358"/>
      <c r="D14" s="792"/>
      <c r="E14" s="358"/>
      <c r="F14" s="358"/>
      <c r="G14" s="358"/>
      <c r="H14" s="358"/>
      <c r="I14" s="358"/>
      <c r="J14" s="358"/>
      <c r="K14" s="358"/>
      <c r="L14" s="358"/>
      <c r="M14" s="358"/>
      <c r="N14" s="777"/>
      <c r="O14" s="358"/>
      <c r="P14" s="358"/>
      <c r="Q14" s="358"/>
      <c r="R14" s="358"/>
      <c r="S14" s="358"/>
      <c r="T14" s="358"/>
      <c r="U14" s="358"/>
      <c r="V14" s="358"/>
      <c r="W14" s="358"/>
      <c r="X14" s="1115"/>
      <c r="Y14" s="545">
        <f t="shared" si="0"/>
        <v>0</v>
      </c>
    </row>
    <row r="15" spans="1:25" ht="17.25" customHeight="1">
      <c r="A15" s="560" t="s">
        <v>95</v>
      </c>
      <c r="B15" s="1357" t="s">
        <v>243</v>
      </c>
      <c r="C15" s="1358"/>
      <c r="D15" s="792"/>
      <c r="E15" s="358"/>
      <c r="F15" s="358"/>
      <c r="G15" s="358"/>
      <c r="H15" s="358"/>
      <c r="I15" s="358"/>
      <c r="J15" s="358"/>
      <c r="K15" s="358"/>
      <c r="L15" s="358"/>
      <c r="M15" s="358"/>
      <c r="N15" s="777"/>
      <c r="O15" s="358"/>
      <c r="P15" s="358"/>
      <c r="Q15" s="358"/>
      <c r="R15" s="358"/>
      <c r="S15" s="358"/>
      <c r="T15" s="358"/>
      <c r="U15" s="358"/>
      <c r="V15" s="358"/>
      <c r="W15" s="358"/>
      <c r="X15" s="1115"/>
      <c r="Y15" s="545">
        <f t="shared" si="0"/>
        <v>0</v>
      </c>
    </row>
    <row r="16" spans="1:25" ht="17.25" customHeight="1">
      <c r="A16" s="560"/>
      <c r="B16" s="1357"/>
      <c r="C16" s="1358"/>
      <c r="D16" s="792"/>
      <c r="E16" s="358"/>
      <c r="F16" s="358"/>
      <c r="G16" s="358"/>
      <c r="H16" s="358"/>
      <c r="I16" s="358"/>
      <c r="J16" s="358"/>
      <c r="K16" s="358"/>
      <c r="L16" s="358"/>
      <c r="M16" s="358"/>
      <c r="N16" s="777"/>
      <c r="O16" s="358"/>
      <c r="P16" s="358"/>
      <c r="Q16" s="358"/>
      <c r="R16" s="358"/>
      <c r="S16" s="358"/>
      <c r="T16" s="358"/>
      <c r="U16" s="358"/>
      <c r="V16" s="358"/>
      <c r="W16" s="358"/>
      <c r="X16" s="1115"/>
      <c r="Y16" s="545">
        <f t="shared" si="0"/>
        <v>0</v>
      </c>
    </row>
    <row r="17" spans="1:25" ht="17.25" customHeight="1">
      <c r="A17" s="560"/>
      <c r="B17" s="1357"/>
      <c r="C17" s="1358"/>
      <c r="D17" s="792"/>
      <c r="E17" s="358"/>
      <c r="F17" s="358"/>
      <c r="G17" s="358"/>
      <c r="H17" s="358"/>
      <c r="I17" s="358"/>
      <c r="J17" s="358"/>
      <c r="K17" s="358"/>
      <c r="L17" s="358"/>
      <c r="M17" s="358"/>
      <c r="N17" s="777"/>
      <c r="O17" s="358"/>
      <c r="P17" s="358"/>
      <c r="Q17" s="358"/>
      <c r="R17" s="358"/>
      <c r="S17" s="358"/>
      <c r="T17" s="358"/>
      <c r="U17" s="358"/>
      <c r="V17" s="358"/>
      <c r="W17" s="358"/>
      <c r="X17" s="1115"/>
      <c r="Y17" s="545">
        <f t="shared" si="0"/>
        <v>0</v>
      </c>
    </row>
    <row r="18" spans="1:25" ht="17.25" customHeight="1">
      <c r="A18" s="560"/>
      <c r="B18" s="1357"/>
      <c r="C18" s="1358"/>
      <c r="D18" s="792"/>
      <c r="E18" s="358"/>
      <c r="F18" s="358"/>
      <c r="G18" s="358"/>
      <c r="H18" s="358"/>
      <c r="I18" s="358"/>
      <c r="J18" s="358"/>
      <c r="K18" s="358"/>
      <c r="L18" s="358"/>
      <c r="M18" s="358"/>
      <c r="N18" s="777"/>
      <c r="O18" s="358"/>
      <c r="P18" s="358"/>
      <c r="Q18" s="358"/>
      <c r="R18" s="358"/>
      <c r="S18" s="358"/>
      <c r="T18" s="358"/>
      <c r="U18" s="358"/>
      <c r="V18" s="358"/>
      <c r="W18" s="358"/>
      <c r="X18" s="1115"/>
      <c r="Y18" s="545">
        <f t="shared" si="0"/>
        <v>0</v>
      </c>
    </row>
    <row r="19" spans="1:25" ht="17.25" customHeight="1" thickBot="1">
      <c r="A19" s="561"/>
      <c r="B19" s="1361"/>
      <c r="C19" s="1362"/>
      <c r="D19" s="793"/>
      <c r="E19" s="552"/>
      <c r="F19" s="552"/>
      <c r="G19" s="552"/>
      <c r="H19" s="552"/>
      <c r="I19" s="552"/>
      <c r="J19" s="552"/>
      <c r="K19" s="552"/>
      <c r="L19" s="552"/>
      <c r="M19" s="552"/>
      <c r="N19" s="778"/>
      <c r="O19" s="552"/>
      <c r="P19" s="552"/>
      <c r="Q19" s="552"/>
      <c r="R19" s="552"/>
      <c r="S19" s="552"/>
      <c r="T19" s="552"/>
      <c r="U19" s="552"/>
      <c r="V19" s="552"/>
      <c r="W19" s="552"/>
      <c r="X19" s="1116"/>
      <c r="Y19" s="851">
        <f t="shared" si="0"/>
        <v>0</v>
      </c>
    </row>
    <row r="20" spans="1:26" ht="17.25" customHeight="1">
      <c r="A20" s="562"/>
      <c r="B20" s="1354" t="s">
        <v>96</v>
      </c>
      <c r="C20" s="1355"/>
      <c r="D20" s="847">
        <f aca="true" t="shared" si="1" ref="D20:T20">SUM(D8:D19)</f>
        <v>0</v>
      </c>
      <c r="E20" s="529">
        <f t="shared" si="1"/>
        <v>0</v>
      </c>
      <c r="F20" s="529">
        <f t="shared" si="1"/>
        <v>0</v>
      </c>
      <c r="G20" s="529">
        <f t="shared" si="1"/>
        <v>0</v>
      </c>
      <c r="H20" s="529">
        <f t="shared" si="1"/>
        <v>0</v>
      </c>
      <c r="I20" s="529">
        <f t="shared" si="1"/>
        <v>0</v>
      </c>
      <c r="J20" s="529">
        <f t="shared" si="1"/>
        <v>0</v>
      </c>
      <c r="K20" s="529">
        <f t="shared" si="1"/>
        <v>0</v>
      </c>
      <c r="L20" s="529">
        <f t="shared" si="1"/>
        <v>0</v>
      </c>
      <c r="M20" s="529">
        <f t="shared" si="1"/>
        <v>0</v>
      </c>
      <c r="N20" s="779">
        <f t="shared" si="1"/>
        <v>0</v>
      </c>
      <c r="O20" s="529">
        <f t="shared" si="1"/>
        <v>0</v>
      </c>
      <c r="P20" s="529">
        <f t="shared" si="1"/>
        <v>0</v>
      </c>
      <c r="Q20" s="529">
        <f t="shared" si="1"/>
        <v>0</v>
      </c>
      <c r="R20" s="529">
        <f t="shared" si="1"/>
        <v>0</v>
      </c>
      <c r="S20" s="529">
        <f t="shared" si="1"/>
        <v>0</v>
      </c>
      <c r="T20" s="529">
        <f t="shared" si="1"/>
        <v>0</v>
      </c>
      <c r="U20" s="529">
        <f>SUM(U8:U19)</f>
        <v>0</v>
      </c>
      <c r="V20" s="529">
        <f>SUM(V8:V19)</f>
        <v>0</v>
      </c>
      <c r="W20" s="529">
        <f>SUM(W8:W19)</f>
        <v>0</v>
      </c>
      <c r="X20" s="848">
        <f>SUM(X8:X19)</f>
        <v>0</v>
      </c>
      <c r="Y20" s="546">
        <f t="shared" si="0"/>
        <v>0</v>
      </c>
      <c r="Z20" s="19"/>
    </row>
    <row r="21" spans="1:25" ht="17.25" customHeight="1">
      <c r="A21" s="563" t="s">
        <v>232</v>
      </c>
      <c r="B21" s="1386" t="s">
        <v>218</v>
      </c>
      <c r="C21" s="1387"/>
      <c r="D21" s="849"/>
      <c r="E21" s="794"/>
      <c r="F21" s="794"/>
      <c r="G21" s="582"/>
      <c r="H21" s="794"/>
      <c r="I21" s="794"/>
      <c r="J21" s="794"/>
      <c r="K21" s="794"/>
      <c r="L21" s="794"/>
      <c r="M21" s="794"/>
      <c r="N21" s="780"/>
      <c r="O21" s="556"/>
      <c r="P21" s="794"/>
      <c r="Q21" s="794"/>
      <c r="R21" s="1128"/>
      <c r="S21" s="794"/>
      <c r="T21" s="556"/>
      <c r="U21" s="556"/>
      <c r="V21" s="1126"/>
      <c r="W21" s="556"/>
      <c r="X21" s="1117"/>
      <c r="Y21" s="531"/>
    </row>
    <row r="22" spans="1:25" ht="17.25" customHeight="1" thickBot="1">
      <c r="A22" s="564" t="s">
        <v>233</v>
      </c>
      <c r="B22" s="1368" t="s">
        <v>218</v>
      </c>
      <c r="C22" s="1369"/>
      <c r="D22" s="850"/>
      <c r="E22" s="795"/>
      <c r="F22" s="795"/>
      <c r="G22" s="583"/>
      <c r="H22" s="795"/>
      <c r="I22" s="795"/>
      <c r="J22" s="795"/>
      <c r="K22" s="795"/>
      <c r="L22" s="795"/>
      <c r="M22" s="795"/>
      <c r="N22" s="781"/>
      <c r="O22" s="557"/>
      <c r="P22" s="795"/>
      <c r="Q22" s="795"/>
      <c r="R22" s="1129"/>
      <c r="S22" s="795"/>
      <c r="T22" s="557"/>
      <c r="U22" s="557"/>
      <c r="V22" s="1127"/>
      <c r="W22" s="557"/>
      <c r="X22" s="1118"/>
      <c r="Y22" s="530"/>
    </row>
    <row r="23" spans="1:30" ht="15" customHeight="1">
      <c r="A23" s="1388" t="s">
        <v>97</v>
      </c>
      <c r="B23" s="1388"/>
      <c r="C23" s="43"/>
      <c r="D23" s="532" t="s">
        <v>1003</v>
      </c>
      <c r="E23" s="44"/>
      <c r="I23" s="43"/>
      <c r="J23" s="43"/>
      <c r="K23" s="43"/>
      <c r="L23" s="43"/>
      <c r="M23" s="44"/>
      <c r="N23" s="532"/>
      <c r="P23" s="43"/>
      <c r="Q23" s="44"/>
      <c r="R23" s="44"/>
      <c r="S23" s="44"/>
      <c r="T23" s="44"/>
      <c r="U23" s="44"/>
      <c r="V23" s="44"/>
      <c r="W23" s="44"/>
      <c r="X23" s="44"/>
      <c r="Z23" s="44"/>
      <c r="AB23" s="42"/>
      <c r="AC23" s="43"/>
      <c r="AD23" s="44"/>
    </row>
    <row r="24" spans="1:32" ht="15" customHeight="1" thickBot="1">
      <c r="A24" s="1360"/>
      <c r="B24" s="1360"/>
      <c r="C24" s="45"/>
      <c r="D24" s="1203" t="s">
        <v>1004</v>
      </c>
      <c r="H24" s="40"/>
      <c r="J24" s="40"/>
      <c r="AF24" s="40"/>
    </row>
    <row r="25" spans="1:25" ht="15" customHeight="1" thickBot="1">
      <c r="A25" s="807" t="s">
        <v>98</v>
      </c>
      <c r="B25" s="1363" t="s">
        <v>99</v>
      </c>
      <c r="C25" s="1364"/>
      <c r="D25" s="790">
        <v>41394</v>
      </c>
      <c r="E25" s="550" t="s">
        <v>460</v>
      </c>
      <c r="F25" s="550" t="s">
        <v>462</v>
      </c>
      <c r="G25" s="550" t="s">
        <v>88</v>
      </c>
      <c r="H25" s="550" t="s">
        <v>464</v>
      </c>
      <c r="I25" s="550" t="s">
        <v>465</v>
      </c>
      <c r="J25" s="550" t="s">
        <v>466</v>
      </c>
      <c r="K25" s="550" t="s">
        <v>467</v>
      </c>
      <c r="L25" s="550" t="s">
        <v>469</v>
      </c>
      <c r="M25" s="550" t="s">
        <v>471</v>
      </c>
      <c r="N25" s="775" t="s">
        <v>88</v>
      </c>
      <c r="O25" s="782">
        <v>41670</v>
      </c>
      <c r="P25" s="550" t="s">
        <v>244</v>
      </c>
      <c r="Q25" s="550" t="s">
        <v>245</v>
      </c>
      <c r="R25" s="775" t="s">
        <v>88</v>
      </c>
      <c r="S25" s="550" t="s">
        <v>246</v>
      </c>
      <c r="T25" s="550" t="s">
        <v>188</v>
      </c>
      <c r="U25" s="550" t="s">
        <v>968</v>
      </c>
      <c r="V25" s="550" t="s">
        <v>88</v>
      </c>
      <c r="W25" s="550" t="s">
        <v>969</v>
      </c>
      <c r="X25" s="1113" t="s">
        <v>970</v>
      </c>
      <c r="Y25" s="808" t="s">
        <v>61</v>
      </c>
    </row>
    <row r="26" spans="1:25" ht="17.25" customHeight="1" thickBot="1">
      <c r="A26" s="1189" t="s">
        <v>230</v>
      </c>
      <c r="B26" s="41" t="s">
        <v>101</v>
      </c>
      <c r="C26" s="536">
        <v>49.85</v>
      </c>
      <c r="D26" s="863">
        <f>IF(D21=0,"",ROUND(LOOKUP(D21,'2409'!$D$15:$E$61,'2409'!$C$15:$C$61)*$C$26/1000,0))</f>
      </c>
      <c r="E26" s="796">
        <f>IF(E21=0,"",ROUND(LOOKUP(E21,'2409'!$D$15:$E$61,'2409'!$C$15:$C$61)*$C$26/1000,0))</f>
      </c>
      <c r="F26" s="796">
        <f>IF(F21=0,"",ROUND(LOOKUP(F21,'2409'!$D$15:$E$61,'2409'!$C$15:$C$61)*$C$26/1000,0))</f>
      </c>
      <c r="G26" s="553">
        <f>IF(G20=0,"",ROUND((ROUNDDOWN(G20,-3)*$C$26/1000),0))</f>
      </c>
      <c r="H26" s="796">
        <f>IF(H21=0,"",ROUND(LOOKUP(H21,'2409'!$D$15:$E$61,'2409'!$C$15:$C$61)*$C$26/1000,0))</f>
      </c>
      <c r="I26" s="796">
        <f>IF(I21=0,"",ROUND(LOOKUP(I21,'2409'!$D$15:$E$61,'2409'!$C$15:$C$61)*$C$26/1000,0))</f>
      </c>
      <c r="J26" s="796">
        <f>IF(J21=0,"",ROUND(LOOKUP(J21,'2409'!$D$15:$E$61,'2409'!$C$15:$C$61)*$C$26/1000,0))</f>
      </c>
      <c r="K26" s="796">
        <f>IF(K21=0,"",ROUND(LOOKUP(K21,'2409'!$D$15:$E$61,'2409'!$C$15:$C$61)*$C$26/1000,0))</f>
      </c>
      <c r="L26" s="796">
        <f>IF(L21=0,"",ROUND(LOOKUP(L21,'2409'!$D$15:$E$61,'2409'!$C$15:$C$61)*$C$26/1000,0))</f>
      </c>
      <c r="M26" s="796">
        <f>IF(M21=0,"",ROUND(LOOKUP(M21,'2409'!$D$15:$E$61,'2409'!$C$15:$C$61)*$C$26/1000,0))</f>
      </c>
      <c r="N26" s="783">
        <f>IF(N20=0,"",ROUND((ROUNDDOWN(N20,-3)*$C$26/1000),0))</f>
      </c>
      <c r="O26" s="553">
        <f>IF(O21=0,"",ROUND(LOOKUP(O21,'2409'!$D$15:$E$61,'2409'!$C$15:$C$61)*$C$26/1000,0))</f>
      </c>
      <c r="P26" s="796">
        <f>IF(P21=0,"",ROUND(LOOKUP(P21,'2409'!$D$15:$E$61,'2409'!$C$15:$C$61)*$C$26/1000,0))</f>
      </c>
      <c r="Q26" s="796">
        <f>IF(Q21=0,"",ROUND(LOOKUP(Q21,'2409'!$D$15:$E$61,'2409'!$C$15:$C$61)*$C$26/1000,0))</f>
      </c>
      <c r="R26" s="553">
        <f>IF(R20=0,"",ROUND((ROUNDDOWN(R20,-3)*$C$26/1000),0))</f>
      </c>
      <c r="S26" s="796">
        <f>IF(S21=0,"",ROUND(LOOKUP(S21,'2409'!$D$15:$E$61,'2409'!$C$15:$C$61)*$C$26/1000,0))</f>
      </c>
      <c r="T26" s="796">
        <f>IF(T21=0,"",ROUND(LOOKUP(T21,'2409'!$D$15:$E$61,'2409'!$C$15:$C$61)*$C$26/1000,0))</f>
      </c>
      <c r="U26" s="553">
        <f>IF(U21=0,"",ROUND(LOOKUP(U21,'2409'!$D$15:$E$61,'2409'!$C$15:$C$61)*$C$26/1000,0))</f>
      </c>
      <c r="V26" s="553">
        <f>IF(V20=0,"",ROUND((ROUNDDOWN(V20,-3)*$C$26/1000),0))</f>
      </c>
      <c r="W26" s="553">
        <f>IF(W21=0,"",ROUND(LOOKUP(W21,'2409'!$D$15:$E$61,'2409'!$C$15:$C$61)*$C$26/1000,0))</f>
      </c>
      <c r="X26" s="1119">
        <f>IF(X21=0,"",ROUND(LOOKUP(X21,'2409'!$D$15:$E$61,'2409'!$C$15:$C$61)*$C$26/1000,0))</f>
      </c>
      <c r="Y26" s="852">
        <f>SUM(D26:X26)</f>
        <v>0</v>
      </c>
    </row>
    <row r="27" spans="1:25" ht="17.25" customHeight="1" thickBot="1">
      <c r="A27" s="1189" t="s">
        <v>100</v>
      </c>
      <c r="B27" s="41" t="s">
        <v>101</v>
      </c>
      <c r="C27" s="536">
        <v>0</v>
      </c>
      <c r="D27" s="864">
        <f>IF(D21=0,"",ROUND(LOOKUP(D21,'2409'!$D$15:$E$61,'2409'!$C$15:$C$61)*$C$27/1000,0))</f>
      </c>
      <c r="E27" s="797">
        <f>IF(E21=0,"",ROUND(LOOKUP(E21,'2409'!$D$15:$E$61,'2409'!$C$15:$C$61)*$C$27/1000,0))</f>
      </c>
      <c r="F27" s="797">
        <f>IF(F21=0,"",ROUND(LOOKUP(F21,'2409'!$D$15:$E$61,'2409'!$C$15:$C$61)*$C$27/1000,0))</f>
      </c>
      <c r="G27" s="332">
        <f>IF(G20=0,"",ROUND((ROUNDDOWN(G20,-3)*$C$27/1000),0))</f>
      </c>
      <c r="H27" s="797">
        <f>IF(H21=0,"",ROUND(LOOKUP(H21,'2409'!$D$15:$E$61,'2409'!$C$15:$C$61)*$C$27/1000,0))</f>
      </c>
      <c r="I27" s="797">
        <f>IF(I21=0,"",ROUND(LOOKUP(I21,'2409'!$D$15:$E$61,'2409'!$C$15:$C$61)*$C$27/1000,0))</f>
      </c>
      <c r="J27" s="797">
        <f>IF(J21=0,"",ROUND(LOOKUP(J21,'2409'!$D$15:$E$61,'2409'!$C$15:$C$61)*$C$27/1000,0))</f>
      </c>
      <c r="K27" s="797">
        <f>IF(K21=0,"",ROUND(LOOKUP(K21,'2409'!$D$15:$E$61,'2409'!$C$15:$C$61)*$C$27/1000,0))</f>
      </c>
      <c r="L27" s="797">
        <f>IF(L21=0,"",ROUND(LOOKUP(L21,'2409'!$D$15:$E$61,'2409'!$C$15:$C$61)*$C$27/1000,0))</f>
      </c>
      <c r="M27" s="797">
        <f>IF(M21=0,"",ROUND(LOOKUP(M21,'2409'!$D$15:$E$61,'2409'!$C$15:$C$61)*$C$27/1000,0))</f>
      </c>
      <c r="N27" s="784">
        <f>IF(N20=0,"",ROUND((ROUNDDOWN(N20,-3)*$C$27/1000),0))</f>
      </c>
      <c r="O27" s="332">
        <f>IF(O21=0,"",ROUND(LOOKUP(O21,'2409'!$D$15:$E$61,'2409'!$C$15:$C$61)*$C$27/1000,0))</f>
      </c>
      <c r="P27" s="797">
        <f>IF(P21=0,"",ROUND(LOOKUP(P21,'2409'!$D$15:$E$61,'2409'!$C$15:$C$61)*$C$27/1000,0))</f>
      </c>
      <c r="Q27" s="797">
        <f>IF(Q21=0,"",ROUND(LOOKUP(Q21,'2409'!$D$15:$E$61,'2409'!$C$15:$C$61)*$C$27/1000,0))</f>
      </c>
      <c r="R27" s="332">
        <f>IF(R20=0,"",ROUND((ROUNDDOWN(R20,-3)*$C$27/1000),0))</f>
      </c>
      <c r="S27" s="797">
        <f>IF(S21=0,"",ROUND(LOOKUP(S21,'2409'!$D$15:$E$61,'2409'!$C$15:$C$61)*$C$27/1000,0))</f>
      </c>
      <c r="T27" s="797">
        <f>IF(T21=0,"",ROUND(LOOKUP(T21,'2409'!$D$15:$E$61,'2409'!$C$15:$C$61)*$C$27/1000,0))</f>
      </c>
      <c r="U27" s="332">
        <f>IF(U21=0,"",ROUND(LOOKUP(U21,'2409'!$D$15:$E$61,'2409'!$C$15:$C$61)*$C$27/1000,0))</f>
      </c>
      <c r="V27" s="332">
        <f>IF(V20=0,"",ROUND((ROUNDDOWN(V20,-3)*$C$27/1000),0))</f>
      </c>
      <c r="W27" s="332">
        <f>IF(W21=0,"",ROUND(LOOKUP(W21,'2409'!$D$15:$E$61,'2409'!$C$15:$C$61)*$C$27/1000,0))</f>
      </c>
      <c r="X27" s="1120">
        <f>IF(X21=0,"",ROUND(LOOKUP(X21,'2409'!$D$15:$E$61,'2409'!$C$15:$C$61)*$C$27/1000,0))</f>
      </c>
      <c r="Y27" s="549">
        <f aca="true" t="shared" si="2" ref="Y27:Y40">SUM(D27:X27)</f>
        <v>0</v>
      </c>
    </row>
    <row r="28" spans="1:25" ht="17.25" customHeight="1" thickBot="1">
      <c r="A28" s="1190" t="s">
        <v>966</v>
      </c>
      <c r="B28" s="41" t="s">
        <v>101</v>
      </c>
      <c r="C28" s="536">
        <v>0</v>
      </c>
      <c r="D28" s="865"/>
      <c r="E28" s="571"/>
      <c r="F28" s="571"/>
      <c r="G28" s="332">
        <f>IF(G20=0,"",ROUND((ROUNDDOWN(G20,-3)*$C$28/1000),0))</f>
      </c>
      <c r="H28" s="571"/>
      <c r="I28" s="571"/>
      <c r="J28" s="571"/>
      <c r="K28" s="571"/>
      <c r="L28" s="571"/>
      <c r="M28" s="571"/>
      <c r="N28" s="784">
        <f>IF(N20=0,"",ROUND((ROUNDDOWN(N20,-3)*$C$28/1000),0))</f>
      </c>
      <c r="O28" s="571"/>
      <c r="P28" s="571"/>
      <c r="Q28" s="571"/>
      <c r="R28" s="332">
        <f>IF(R20=0,"",ROUND((ROUNDDOWN(R20,-3)*$C$28/1000),0))</f>
      </c>
      <c r="S28" s="798"/>
      <c r="T28" s="571"/>
      <c r="U28" s="571"/>
      <c r="V28" s="332">
        <f>IF(V20=0,"",ROUND((ROUNDDOWN(V20,-3)*$C$28/1000),0))</f>
      </c>
      <c r="W28" s="571"/>
      <c r="X28" s="1121"/>
      <c r="Y28" s="549">
        <f t="shared" si="2"/>
        <v>0</v>
      </c>
    </row>
    <row r="29" spans="1:25" ht="17.25" customHeight="1" thickBot="1">
      <c r="A29" s="1190" t="s">
        <v>967</v>
      </c>
      <c r="B29" s="41" t="s">
        <v>101</v>
      </c>
      <c r="C29" s="536">
        <v>0</v>
      </c>
      <c r="D29" s="864">
        <f>IF(D22=0,"",ROUND(LOOKUP(D22,'2409'!$D$19:$E$48,'2409'!$C$19:$C$48)*$C$29/1000,0))</f>
      </c>
      <c r="E29" s="332">
        <f>IF(E22=0,"",ROUND(LOOKUP(E22,'2409'!$D$19:$E$48,'2409'!$C$19:$C$48)*$C$29/1000,0))</f>
      </c>
      <c r="F29" s="332">
        <f>IF(F22=0,"",ROUND(LOOKUP(F22,'2409'!$D$19:$E$48,'2409'!$C$19:$C$48)*$C$29/1000,0))</f>
      </c>
      <c r="G29" s="571"/>
      <c r="H29" s="332">
        <f>IF(H22=0,"",ROUND(LOOKUP(H22,'2409'!$D$19:$E$48,'2409'!$C$19:$C$48)*$C$29/1000,0))</f>
      </c>
      <c r="I29" s="332">
        <f>IF(I22=0,"",ROUND(LOOKUP(I22,'2409'!$D$19:$E$48,'2409'!$C$19:$C$48)*$C$29/1000,0))</f>
      </c>
      <c r="J29" s="332">
        <f>IF(J22=0,"",ROUND(LOOKUP(J22,'2409'!$D$19:$E$48,'2409'!$C$19:$C$48)*$C$29/1000,0))</f>
      </c>
      <c r="K29" s="332">
        <f>IF(K22=0,"",ROUND(LOOKUP(K22,'2409'!$D$19:$E$48,'2409'!$C$19:$C$48)*$C$29/1000,0))</f>
      </c>
      <c r="L29" s="332">
        <f>IF(L22=0,"",ROUND(LOOKUP(L22,'2409'!$D$19:$E$48,'2409'!$C$19:$C$48)*$C$29/1000,0))</f>
      </c>
      <c r="M29" s="332">
        <f>IF(M22=0,"",ROUND(LOOKUP(M22,'2409'!$D$19:$E$48,'2409'!$C$19:$C$48)*$C$29/1000,0))</f>
      </c>
      <c r="N29" s="785"/>
      <c r="O29" s="332">
        <f>IF(O22=0,"",ROUND(LOOKUP(O22,'2409'!$D$19:$E$48,'2409'!$C$19:$C$48)*$C$29/1000,0))</f>
      </c>
      <c r="P29" s="332">
        <f>IF(P22=0,"",ROUND(LOOKUP(P22,'2409'!$D$19:$E$48,'2409'!$C$19:$C$48)*$C$29/1000,0))</f>
      </c>
      <c r="Q29" s="332">
        <f>IF(Q22=0,"",ROUND(LOOKUP(Q22,'2409'!$D$19:$E$48,'2409'!$C$19:$C$48)*$C$29/1000,0))</f>
      </c>
      <c r="R29" s="571"/>
      <c r="S29" s="797">
        <f>IF(S22=0,"",ROUND(LOOKUP(S22,'2409'!$D$19:$E$48,'2409'!$C$19:$C$48)*$C$29/1000,0))</f>
      </c>
      <c r="T29" s="332">
        <f>IF(T22=0,"",ROUND(LOOKUP(T22,'2409'!$D$19:$E$48,'2409'!$C$19:$C$48)*$C$29/1000,0))</f>
      </c>
      <c r="U29" s="332">
        <f>IF(U22=0,"",ROUND(LOOKUP(U22,'2409'!$D$19:$E$48,'2409'!$C$19:$C$48)*$C$29/1000,0))</f>
      </c>
      <c r="V29" s="571"/>
      <c r="W29" s="332">
        <f>IF(W22=0,"",ROUND(LOOKUP(W22,'2409'!$D$19:$E$48,'2409'!$C$19:$C$48)*$C$29/1000,0))</f>
      </c>
      <c r="X29" s="1120">
        <f>IF(X22=0,"",ROUND(LOOKUP(X22,'2409'!$D$19:$E$48,'2409'!$C$19:$C$48)*$C$29/1000,0))</f>
      </c>
      <c r="Y29" s="549">
        <f t="shared" si="2"/>
        <v>0</v>
      </c>
    </row>
    <row r="30" spans="1:25" ht="17.25" customHeight="1" thickBot="1">
      <c r="A30" s="1190" t="s">
        <v>247</v>
      </c>
      <c r="B30" s="41" t="s">
        <v>101</v>
      </c>
      <c r="C30" s="537">
        <v>83.83</v>
      </c>
      <c r="D30" s="864">
        <f>IF(D22=0,"",ROUND(LOOKUP(D22,'2409'!$D$19:$E$48,'2409'!$C$19:$C$48)*$C$30/1000,0))</f>
      </c>
      <c r="E30" s="332">
        <f>IF(E22=0,"",ROUND(LOOKUP(E22,'2409'!$D$19:$E$48,'2409'!$C$19:$C$48)*$C$30/1000,0))</f>
      </c>
      <c r="F30" s="332">
        <f>IF(F22=0,"",ROUND(LOOKUP(F22,'2409'!$D$19:$E$48,'2409'!$C$19:$C$48)*$C$30/1000,0))</f>
      </c>
      <c r="G30" s="332">
        <f>IF(G20=0,"",ROUND((ROUNDDOWN(G20,-3)*$C$30/1000),0))</f>
      </c>
      <c r="H30" s="332">
        <f>IF(H22=0,"",ROUND(LOOKUP(H22,'2409'!$D$19:$E$48,'2409'!$C$19:$C$48)*$C$30/1000,0))</f>
      </c>
      <c r="I30" s="332">
        <f>IF(I22=0,"",ROUND(LOOKUP(I22,'2409'!$D$19:$E$48,'2409'!$C$19:$C$48)*$C$30/1000,0))</f>
      </c>
      <c r="J30" s="571"/>
      <c r="K30" s="571"/>
      <c r="L30" s="571"/>
      <c r="M30" s="571"/>
      <c r="N30" s="785"/>
      <c r="O30" s="571"/>
      <c r="P30" s="571"/>
      <c r="Q30" s="571"/>
      <c r="R30" s="571"/>
      <c r="S30" s="798"/>
      <c r="T30" s="571"/>
      <c r="U30" s="571"/>
      <c r="V30" s="571"/>
      <c r="W30" s="571"/>
      <c r="X30" s="1121"/>
      <c r="Y30" s="549">
        <f t="shared" si="2"/>
        <v>0</v>
      </c>
    </row>
    <row r="31" spans="1:25" ht="17.25" customHeight="1" thickBot="1">
      <c r="A31" s="1190" t="s">
        <v>966</v>
      </c>
      <c r="B31" s="41" t="s">
        <v>101</v>
      </c>
      <c r="C31" s="536">
        <v>0</v>
      </c>
      <c r="D31" s="865"/>
      <c r="E31" s="571"/>
      <c r="F31" s="571"/>
      <c r="G31" s="332">
        <f>IF(G20=0,"",ROUND((ROUNDDOWN(G20,-3)*$C$31/1000),0))</f>
      </c>
      <c r="H31" s="571"/>
      <c r="I31" s="571"/>
      <c r="J31" s="571"/>
      <c r="K31" s="571"/>
      <c r="L31" s="571"/>
      <c r="M31" s="571"/>
      <c r="N31" s="784">
        <f>IF(N20=0,"",ROUND((ROUNDDOWN(N20,-3)*$C$31/1000),0))</f>
      </c>
      <c r="O31" s="571"/>
      <c r="P31" s="571"/>
      <c r="Q31" s="571"/>
      <c r="R31" s="332">
        <f>IF(R20=0,"",ROUND((ROUNDDOWN(R20,-3)*$C$31/1000),0))</f>
      </c>
      <c r="S31" s="798"/>
      <c r="T31" s="571"/>
      <c r="U31" s="571"/>
      <c r="V31" s="332">
        <f>IF(V20=0,"",ROUND((ROUNDDOWN(V20,-3)*$C$31/1000),0))</f>
      </c>
      <c r="W31" s="571"/>
      <c r="X31" s="1121"/>
      <c r="Y31" s="549">
        <f t="shared" si="2"/>
        <v>0</v>
      </c>
    </row>
    <row r="32" spans="1:25" ht="17.25" customHeight="1" thickBot="1">
      <c r="A32" s="1190" t="s">
        <v>967</v>
      </c>
      <c r="B32" s="41" t="s">
        <v>101</v>
      </c>
      <c r="C32" s="536">
        <v>0</v>
      </c>
      <c r="D32" s="864">
        <f>IF(D22=0,"",ROUND(LOOKUP(D22,'2409'!$D$19:$E$48,'2409'!$C$19:$C$48)*$C$32/1000,0))</f>
      </c>
      <c r="E32" s="332">
        <f>IF(E22=0,"",ROUND(LOOKUP(E22,'2409'!$D$19:$E$48,'2409'!$C$19:$C$48)*$C$32/1000,0))</f>
      </c>
      <c r="F32" s="332">
        <f>IF(F22=0,"",ROUND(LOOKUP(F22,'2409'!$D$19:$E$48,'2409'!$C$19:$C$48)*$C$32/1000,0))</f>
      </c>
      <c r="G32" s="571"/>
      <c r="H32" s="332">
        <f>IF(H22=0,"",ROUND(LOOKUP(H22,'2409'!$D$19:$E$48,'2409'!$C$19:$C$48)*$C$32/1000,0))</f>
      </c>
      <c r="I32" s="332">
        <f>IF(I22=0,"",ROUND(LOOKUP(I22,'2409'!$D$19:$E$48,'2409'!$C$19:$C$48)*$C$32/1000,0))</f>
      </c>
      <c r="J32" s="332">
        <f>IF(J22=0,"",ROUND(LOOKUP(J22,'2409'!$D$19:$E$48,'2409'!$C$19:$C$48)*$C$32/1000,0))</f>
      </c>
      <c r="K32" s="332">
        <f>IF(K22=0,"",ROUND(LOOKUP(K22,'2409'!$D$19:$E$48,'2409'!$C$19:$C$48)*$C$32/1000,0))</f>
      </c>
      <c r="L32" s="332">
        <f>IF(L22=0,"",ROUND(LOOKUP(L22,'2409'!$D$19:$E$48,'2409'!$C$19:$C$48)*$C$32/1000,0))</f>
      </c>
      <c r="M32" s="332">
        <f>IF(M22=0,"",ROUND(LOOKUP(M22,'2409'!$D$19:$E$48,'2409'!$C$19:$C$48)*$C$32/1000,0))</f>
      </c>
      <c r="N32" s="785"/>
      <c r="O32" s="332">
        <f>IF(O22=0,"",ROUND(LOOKUP(O22,'2409'!$D$19:$E$48,'2409'!$C$19:$C$48)*$C$32/1000,0))</f>
      </c>
      <c r="P32" s="332">
        <f>IF(P22=0,"",ROUND(LOOKUP(P22,'2409'!$D$19:$E$48,'2409'!$C$19:$C$48)*$C$32/1000,0))</f>
      </c>
      <c r="Q32" s="332">
        <f>IF(Q22=0,"",ROUND(LOOKUP(Q22,'2409'!$D$19:$E$48,'2409'!$C$19:$C$48)*$C$32/1000,0))</f>
      </c>
      <c r="R32" s="571"/>
      <c r="S32" s="797">
        <f>IF(S22=0,"",ROUND(LOOKUP(S22,'2409'!$D$19:$E$48,'2409'!$C$19:$C$48)*$C$32/1000,0))</f>
      </c>
      <c r="T32" s="332">
        <f>IF(T22=0,"",ROUND(LOOKUP(T22,'2409'!$D$19:$E$48,'2409'!$C$19:$C$48)*$C$32/1000,0))</f>
      </c>
      <c r="U32" s="332">
        <f>IF(U22=0,"",ROUND(LOOKUP(U22,'2409'!$D$19:$E$48,'2409'!$C$19:$C$48)*$C$32/1000,0))</f>
      </c>
      <c r="V32" s="571"/>
      <c r="W32" s="332">
        <f>IF(W22=0,"",ROUND(LOOKUP(W22,'2409'!$D$19:$E$48,'2409'!$C$19:$C$48)*$C$32/1000,0))</f>
      </c>
      <c r="X32" s="1120">
        <f>IF(X22=0,"",ROUND(LOOKUP(X22,'2409'!$D$19:$E$48,'2409'!$C$19:$C$48)*$C$32/1000,0))</f>
      </c>
      <c r="Y32" s="549">
        <f t="shared" si="2"/>
        <v>0</v>
      </c>
    </row>
    <row r="33" spans="1:25" ht="17.25" customHeight="1" thickBot="1">
      <c r="A33" s="1190" t="s">
        <v>978</v>
      </c>
      <c r="B33" s="41" t="s">
        <v>101</v>
      </c>
      <c r="C33" s="537">
        <v>85.6</v>
      </c>
      <c r="D33" s="865"/>
      <c r="E33" s="571"/>
      <c r="F33" s="571"/>
      <c r="G33" s="571"/>
      <c r="H33" s="571"/>
      <c r="I33" s="571"/>
      <c r="J33" s="332">
        <f>IF(J22=0,"",ROUND(LOOKUP(J22,'2409'!$D$19:$E$48,'2409'!$C$19:$C$48)*$C$33/1000,0))</f>
      </c>
      <c r="K33" s="332">
        <f>IF(K22=0,"",ROUND(LOOKUP(K22,'2409'!$D$19:$E$48,'2409'!$C$19:$C$48)*$C$33/1000,0))</f>
      </c>
      <c r="L33" s="332">
        <f>IF(L22=0,"",ROUND(LOOKUP(L22,'2409'!$D$19:$E$48,'2409'!$C$19:$C$48)*$C$33/1000,0))</f>
      </c>
      <c r="M33" s="332">
        <f>IF(M22=0,"",ROUND(LOOKUP(M22,'2409'!$D$19:$E$48,'2409'!$C$19:$C$48)*$C$33/1000,0))</f>
      </c>
      <c r="N33" s="784">
        <f>IF(N20=0,"",ROUND((ROUNDDOWN(N20,-3)*$C$33/1000),0))</f>
      </c>
      <c r="O33" s="332">
        <f>IF(O22=0,"",ROUND(LOOKUP(O22,'2409'!$D$19:$E$48,'2409'!$C$19:$C$48)*$C$33/1000,0))</f>
      </c>
      <c r="P33" s="332">
        <f>IF(P22=0,"",ROUND(LOOKUP(P22,'2409'!$D$19:$E$48,'2409'!$C$19:$C$48)*$C$33/1000,0))</f>
      </c>
      <c r="Q33" s="332">
        <f>IF(Q22=0,"",ROUND(LOOKUP(Q22,'2409'!$D$19:$E$48,'2409'!$C$19:$C$48)*$C$33/1000,0))</f>
      </c>
      <c r="R33" s="332">
        <f>IF(R20=0,"",ROUND((ROUNDDOWN(R20,-3)*$C$33/1000),0))</f>
      </c>
      <c r="S33" s="797">
        <f>IF(S22=0,"",ROUND(LOOKUP(S22,'2409'!$D$19:$E$48,'2409'!$C$19:$C$48)*$C$33/1000,0))</f>
      </c>
      <c r="T33" s="332">
        <f>IF(T22=0,"",ROUND(LOOKUP(T22,'2409'!$D$19:$E$48,'2409'!$C$19:$C$48)*$C$33/1000,0))</f>
      </c>
      <c r="U33" s="332">
        <f>IF(U22=0,"",ROUND(LOOKUP(U22,'2409'!$D$19:$E$48,'2409'!$C$19:$C$48)*$C$33/1000,0))</f>
      </c>
      <c r="V33" s="332">
        <f>IF(V20=0,"",ROUND((ROUNDDOWN(V20,-3)*$C$33/1000),0))</f>
      </c>
      <c r="W33" s="332">
        <f>IF(W22=0,"",ROUND(LOOKUP(W22,'2409'!$D$19:$E$48,'2409'!$C$19:$C$48)*$C$33/1000,0))</f>
      </c>
      <c r="X33" s="1120">
        <f>IF(X22=0,"",ROUND(LOOKUP(X22,'2409'!$D$19:$E$48,'2409'!$C$19:$C$48)*$C$33/1000,0))</f>
      </c>
      <c r="Y33" s="549">
        <f t="shared" si="2"/>
        <v>0</v>
      </c>
    </row>
    <row r="34" spans="1:25" ht="17.25" customHeight="1" thickBot="1">
      <c r="A34" s="1191" t="s">
        <v>231</v>
      </c>
      <c r="B34" s="41" t="s">
        <v>101</v>
      </c>
      <c r="C34" s="540">
        <v>0</v>
      </c>
      <c r="D34" s="864">
        <f>IF(D21=0,"",ROUND(LOOKUP(D21,'2409'!$D$15:$E$61,'2409'!$C$15:$C$61)*$C$34/1000,0))</f>
      </c>
      <c r="E34" s="797">
        <f>IF(E21=0,"",ROUND(LOOKUP(E21,'2409'!$D$15:$E$61,'2409'!$C$15:$C$61)*$C$34/1000,0))</f>
      </c>
      <c r="F34" s="797">
        <f>IF(F21=0,"",ROUND(LOOKUP(F21,'2409'!$D$15:$E$61,'2409'!$C$15:$C$61)*$C$34/1000,0))</f>
      </c>
      <c r="G34" s="332">
        <f>IF(G20=0,"",ROUND((ROUNDDOWN(G20,-3)*$C$34/1000),0))</f>
      </c>
      <c r="H34" s="797">
        <f>IF(H21=0,"",ROUND(LOOKUP(H21,'2409'!$D$15:$E$61,'2409'!$C$15:$C$61)*$C$34/1000,0))</f>
      </c>
      <c r="I34" s="797">
        <f>IF(I21=0,"",ROUND(LOOKUP(I21,'2409'!$D$15:$E$61,'2409'!$C$15:$C$61)*$C$34/1000,0))</f>
      </c>
      <c r="J34" s="797">
        <f>IF(J21=0,"",ROUND(LOOKUP(J21,'2409'!$D$15:$E$61,'2409'!$C$15:$C$61)*$C$34/1000,0))</f>
      </c>
      <c r="K34" s="797">
        <f>IF(K21=0,"",ROUND(LOOKUP(K21,'2409'!$D$15:$E$61,'2409'!$C$15:$C$61)*$C$34/1000,0))</f>
      </c>
      <c r="L34" s="797">
        <f>IF(L21=0,"",ROUND(LOOKUP(L21,'2409'!$D$15:$E$61,'2409'!$C$15:$C$61)*$C$34/1000,0))</f>
      </c>
      <c r="M34" s="797">
        <f>IF(M21=0,"",ROUND(LOOKUP(M21,'2409'!$D$15:$E$61,'2409'!$C$15:$C$61)*$C$34/1000,0))</f>
      </c>
      <c r="N34" s="784">
        <f>IF(N20=0,"",ROUND((ROUNDDOWN(N20,-3)*$C$34/1000),0))</f>
      </c>
      <c r="O34" s="332">
        <f>IF(O21=0,"",ROUND(LOOKUP(O21,'2409'!$D$15:$E$61,'2409'!$C$15:$C$61)*$C$34/1000,0))</f>
      </c>
      <c r="P34" s="797">
        <f>IF(P21=0,"",ROUND(LOOKUP(P21,'2409'!$D$15:$E$61,'2409'!$C$15:$C$61)*$C$34/1000,0))</f>
      </c>
      <c r="Q34" s="571"/>
      <c r="R34" s="332"/>
      <c r="S34" s="798"/>
      <c r="T34" s="571"/>
      <c r="U34" s="571"/>
      <c r="V34" s="332"/>
      <c r="W34" s="571"/>
      <c r="X34" s="1121"/>
      <c r="Y34" s="549">
        <f t="shared" si="2"/>
        <v>0</v>
      </c>
    </row>
    <row r="35" spans="1:25" ht="17.25" customHeight="1" thickBot="1">
      <c r="A35" s="1191" t="s">
        <v>365</v>
      </c>
      <c r="B35" s="41" t="s">
        <v>101</v>
      </c>
      <c r="C35" s="540">
        <v>0</v>
      </c>
      <c r="D35" s="865"/>
      <c r="E35" s="571"/>
      <c r="F35" s="571"/>
      <c r="G35" s="571"/>
      <c r="H35" s="571"/>
      <c r="I35" s="571"/>
      <c r="J35" s="571"/>
      <c r="K35" s="571"/>
      <c r="L35" s="571"/>
      <c r="M35" s="571"/>
      <c r="N35" s="785"/>
      <c r="O35" s="571"/>
      <c r="P35" s="571"/>
      <c r="Q35" s="332">
        <f>IF(Q21=0,"",ROUND(LOOKUP(Q21,'2409'!$D$15:$E$61,'2409'!$C$15:$C$61)*$C$35/1000,0))</f>
      </c>
      <c r="R35" s="332">
        <f>IF(R20=0,"",ROUND((ROUNDDOWN(R20,-3)*$C$35/1000),0))</f>
      </c>
      <c r="S35" s="797">
        <f>IF(S21=0,"",ROUND(LOOKUP(S21,'2409'!$D$15:$E$61,'2409'!$C$15:$C$61)*$C$35/1000,0))</f>
      </c>
      <c r="T35" s="332">
        <f>IF(T21=0,"",ROUND(LOOKUP(T21,'2409'!$D$15:$E$61,'2409'!$C$15:$C$61)*$C$35/1000,0))</f>
      </c>
      <c r="U35" s="332">
        <f>IF(U21=0,"",ROUND(LOOKUP(U21,'2409'!$D$15:$E$61,'2409'!$C$15:$C$61)*$C$35/1000,0))</f>
      </c>
      <c r="V35" s="332">
        <f>IF(V20=0,"",ROUND((ROUNDDOWN(V20,-3)*$C$35/1000),0))</f>
      </c>
      <c r="W35" s="332">
        <f>IF(W21=0,"",ROUND(LOOKUP(W21,'2409'!$D$15:$E$61,'2409'!$C$15:$C$61)*$C$35/1000,0))</f>
      </c>
      <c r="X35" s="1120">
        <f>IF(X21=0,"",ROUND(LOOKUP(X21,'2409'!$D$15:$E$61,'2409'!$C$15:$C$61)*$C$35/1000,0))</f>
      </c>
      <c r="Y35" s="549">
        <f t="shared" si="2"/>
        <v>0</v>
      </c>
    </row>
    <row r="36" spans="1:25" ht="17.25" customHeight="1" thickBot="1">
      <c r="A36" s="1191" t="s">
        <v>102</v>
      </c>
      <c r="B36" s="41" t="s">
        <v>101</v>
      </c>
      <c r="C36" s="536">
        <v>0</v>
      </c>
      <c r="D36" s="864">
        <f aca="true" t="shared" si="3" ref="D36:T36">IF(D20=0,"",ROUND(D20*$C$36/1000,0))</f>
      </c>
      <c r="E36" s="332">
        <f t="shared" si="3"/>
      </c>
      <c r="F36" s="332">
        <f t="shared" si="3"/>
      </c>
      <c r="G36" s="332">
        <f t="shared" si="3"/>
      </c>
      <c r="H36" s="332">
        <f t="shared" si="3"/>
      </c>
      <c r="I36" s="332">
        <f t="shared" si="3"/>
      </c>
      <c r="J36" s="332">
        <f t="shared" si="3"/>
      </c>
      <c r="K36" s="332">
        <f t="shared" si="3"/>
      </c>
      <c r="L36" s="332">
        <f t="shared" si="3"/>
      </c>
      <c r="M36" s="332">
        <f t="shared" si="3"/>
      </c>
      <c r="N36" s="784">
        <f t="shared" si="3"/>
      </c>
      <c r="O36" s="332">
        <f t="shared" si="3"/>
      </c>
      <c r="P36" s="332">
        <f t="shared" si="3"/>
      </c>
      <c r="Q36" s="332">
        <f t="shared" si="3"/>
      </c>
      <c r="R36" s="332">
        <f>IF(R20=0,"",ROUND(R20*$C$36/1000,0))</f>
      </c>
      <c r="S36" s="797">
        <f t="shared" si="3"/>
      </c>
      <c r="T36" s="332">
        <f t="shared" si="3"/>
      </c>
      <c r="U36" s="332">
        <f>IF(U20=0,"",ROUND(U20*$C$36/1000,0))</f>
      </c>
      <c r="V36" s="332">
        <f>IF(V20=0,"",ROUND(V20*$C$36/1000,0))</f>
      </c>
      <c r="W36" s="332">
        <f>IF(W20=0,"",ROUND(W20*$C$36/1000,0))</f>
      </c>
      <c r="X36" s="1120">
        <f>IF(X20=0,"",ROUND(X20*$C$36/1000,0))</f>
      </c>
      <c r="Y36" s="549">
        <f t="shared" si="2"/>
        <v>0</v>
      </c>
    </row>
    <row r="37" spans="1:25" ht="17.25" customHeight="1" thickBot="1">
      <c r="A37" s="1191" t="s">
        <v>103</v>
      </c>
      <c r="B37" s="41" t="s">
        <v>101</v>
      </c>
      <c r="C37" s="540">
        <v>0</v>
      </c>
      <c r="D37" s="864">
        <f aca="true" t="shared" si="4" ref="D37:T37">IF(D20=0,"",ROUNDDOWN(D20*$C$37/1000,0))</f>
      </c>
      <c r="E37" s="332">
        <f t="shared" si="4"/>
      </c>
      <c r="F37" s="332">
        <f t="shared" si="4"/>
      </c>
      <c r="G37" s="332">
        <f t="shared" si="4"/>
      </c>
      <c r="H37" s="332">
        <f t="shared" si="4"/>
      </c>
      <c r="I37" s="332">
        <f t="shared" si="4"/>
      </c>
      <c r="J37" s="332">
        <f t="shared" si="4"/>
      </c>
      <c r="K37" s="332">
        <f t="shared" si="4"/>
      </c>
      <c r="L37" s="332">
        <f t="shared" si="4"/>
      </c>
      <c r="M37" s="332">
        <f t="shared" si="4"/>
      </c>
      <c r="N37" s="784">
        <f t="shared" si="4"/>
      </c>
      <c r="O37" s="332">
        <f t="shared" si="4"/>
      </c>
      <c r="P37" s="332">
        <f t="shared" si="4"/>
      </c>
      <c r="Q37" s="332">
        <f t="shared" si="4"/>
      </c>
      <c r="R37" s="332">
        <f>IF(R20=0,"",ROUNDDOWN(R20*$C$37/1000,0))</f>
      </c>
      <c r="S37" s="797">
        <f t="shared" si="4"/>
      </c>
      <c r="T37" s="332">
        <f t="shared" si="4"/>
      </c>
      <c r="U37" s="332">
        <f>IF(U20=0,"",ROUNDDOWN(U20*$C$37/1000,0))</f>
      </c>
      <c r="V37" s="332">
        <f>IF(V20=0,"",ROUNDDOWN(V20*$C$37/1000,0))</f>
      </c>
      <c r="W37" s="332">
        <f>IF(W20=0,"",ROUNDDOWN(W20*$C$37/1000,0))</f>
      </c>
      <c r="X37" s="1120">
        <f>IF(X20=0,"",ROUNDDOWN(X20*$C$37/1000,0))</f>
      </c>
      <c r="Y37" s="549">
        <f t="shared" si="2"/>
        <v>0</v>
      </c>
    </row>
    <row r="38" spans="1:25" ht="17.25" customHeight="1" thickBot="1">
      <c r="A38" s="1191" t="s">
        <v>103</v>
      </c>
      <c r="B38" s="41" t="s">
        <v>101</v>
      </c>
      <c r="C38" s="540">
        <v>0</v>
      </c>
      <c r="D38" s="864">
        <f aca="true" t="shared" si="5" ref="D38:N38">IF(D20=0,"",ROUNDDOWN(D20*$C$38/1000,0))</f>
      </c>
      <c r="E38" s="332">
        <f t="shared" si="5"/>
      </c>
      <c r="F38" s="332">
        <f t="shared" si="5"/>
      </c>
      <c r="G38" s="332">
        <f t="shared" si="5"/>
      </c>
      <c r="H38" s="332">
        <f t="shared" si="5"/>
      </c>
      <c r="I38" s="332">
        <f t="shared" si="5"/>
      </c>
      <c r="J38" s="332">
        <f t="shared" si="5"/>
      </c>
      <c r="K38" s="332">
        <f t="shared" si="5"/>
      </c>
      <c r="L38" s="332">
        <f t="shared" si="5"/>
      </c>
      <c r="M38" s="332">
        <f t="shared" si="5"/>
      </c>
      <c r="N38" s="784">
        <f t="shared" si="5"/>
      </c>
      <c r="O38" s="332">
        <f aca="true" t="shared" si="6" ref="O38:T38">IF(O20=0,"",ROUNDDOWN(O20*$C$38/1000,0))</f>
      </c>
      <c r="P38" s="332">
        <f t="shared" si="6"/>
      </c>
      <c r="Q38" s="332">
        <f t="shared" si="6"/>
      </c>
      <c r="R38" s="332">
        <f t="shared" si="6"/>
      </c>
      <c r="S38" s="797">
        <f t="shared" si="6"/>
      </c>
      <c r="T38" s="332">
        <f t="shared" si="6"/>
      </c>
      <c r="U38" s="332">
        <f>IF(U20=0,"",ROUNDDOWN(U20*$C$38/1000,0))</f>
      </c>
      <c r="V38" s="332">
        <f>IF(V20=0,"",ROUNDDOWN(V20*$C$38/1000,0))</f>
      </c>
      <c r="W38" s="332">
        <f>IF(W20=0,"",ROUNDDOWN(W20*$C$38/1000,0))</f>
      </c>
      <c r="X38" s="1120">
        <f>IF(X20=0,"",ROUNDDOWN(X20*$C$38/1000,0))</f>
      </c>
      <c r="Y38" s="549">
        <f t="shared" si="2"/>
        <v>0</v>
      </c>
    </row>
    <row r="39" spans="1:25" ht="17.25" customHeight="1" thickBot="1">
      <c r="A39" s="1192" t="s">
        <v>215</v>
      </c>
      <c r="B39" s="41" t="s">
        <v>101</v>
      </c>
      <c r="C39" s="540">
        <v>1.5</v>
      </c>
      <c r="D39" s="866">
        <f>IF(D22=0,"",ROUND(LOOKUP(D22,'2409'!$D$19:$E$48,'2409'!$C$19:$C$48)*$C$39/1000,0))</f>
      </c>
      <c r="E39" s="555">
        <f>IF(E22=0,"",ROUND(LOOKUP(E22,'2409'!$D$19:$E$48,'2409'!$C$19:$C$48)*$C$39/1000,0))</f>
      </c>
      <c r="F39" s="555">
        <f>IF(F22=0,"",ROUND(LOOKUP(F22,'2409'!$D$19:$E$48,'2409'!$C$19:$C$48)*$C$39/1000,0))</f>
      </c>
      <c r="G39" s="555">
        <f>IF(G20=0,"",ROUND((ROUNDDOWN(G20,-3)*$C$39/1000),0))</f>
      </c>
      <c r="H39" s="555">
        <f>IF(H22=0,"",ROUND(LOOKUP(H22,'2409'!$D$19:$E$48,'2409'!$C$19:$C$48)*$C$39/1000,0))</f>
      </c>
      <c r="I39" s="555">
        <f>IF(I22=0,"",ROUND(LOOKUP(I22,'2409'!$D$19:$E$48,'2409'!$C$19:$C$48)*$C$39/1000,0))</f>
      </c>
      <c r="J39" s="555">
        <f>IF(J22=0,"",ROUND(LOOKUP(J22,'2409'!$D$19:$E$48,'2409'!$C$19:$C$48)*$C$39/1000,0))</f>
      </c>
      <c r="K39" s="555">
        <f>IF(K22=0,"",ROUND(LOOKUP(K22,'2409'!$D$19:$E$48,'2409'!$C$19:$C$48)*$C$39/1000,0))</f>
      </c>
      <c r="L39" s="555">
        <f>IF(L22=0,"",ROUND(LOOKUP(L22,'2409'!$D$19:$E$48,'2409'!$C$19:$C$48)*$C$39/1000,0))</f>
      </c>
      <c r="M39" s="555">
        <f>IF(M22=0,"",ROUND(LOOKUP(M22,'2409'!$D$19:$E$48,'2409'!$C$19:$C$48)*$C$39/1000,0))</f>
      </c>
      <c r="N39" s="786">
        <f>IF(N20=0,"",ROUND((ROUNDDOWN(N20,-3)*$C$39/1000),0))</f>
      </c>
      <c r="O39" s="555">
        <f>IF(O22=0,"",ROUND(LOOKUP(O22,'2409'!$D$19:$E$48,'2409'!$C$19:$C$48)*$C$39/1000,0))</f>
      </c>
      <c r="P39" s="555">
        <f>IF(P22=0,"",ROUND(LOOKUP(P22,'2409'!$D$19:$E$48,'2409'!$C$19:$C$48)*$C$39/1000,0))</f>
      </c>
      <c r="Q39" s="555">
        <f>IF(Q22=0,"",ROUND(LOOKUP(Q22,'2409'!$D$19:$E$48,'2409'!$C$19:$C$48)*$C$39/1000,0))</f>
      </c>
      <c r="R39" s="555">
        <f>IF(R20=0,"",ROUND((ROUNDDOWN(R20,-3)*$C$39/1000),0))</f>
      </c>
      <c r="S39" s="1018">
        <f>IF(S22=0,"",ROUND(LOOKUP(S22,'2409'!$D$19:$E$48,'2409'!$C$19:$C$48)*$C$39/1000,0))</f>
      </c>
      <c r="T39" s="555">
        <f>IF(T22=0,"",ROUND(LOOKUP(T22,'2409'!$D$19:$E$48,'2409'!$C$19:$C$48)*$C$39/1000,0))</f>
      </c>
      <c r="U39" s="555">
        <f>IF(U22=0,"",ROUND(LOOKUP(U22,'2409'!$D$19:$E$48,'2409'!$C$19:$C$48)*$C$39/1000,0))</f>
      </c>
      <c r="V39" s="555">
        <f>IF(V20=0,"",ROUND((ROUNDDOWN(V20,-3)*$C$39/1000),0))</f>
      </c>
      <c r="W39" s="555">
        <f>IF(W22=0,"",ROUND(LOOKUP(W22,'2409'!$D$19:$E$48,'2409'!$C$19:$C$48)*$C$39/1000,0))</f>
      </c>
      <c r="X39" s="1122">
        <f>IF(X22=0,"",ROUND(LOOKUP(X22,'2409'!$D$19:$E$48,'2409'!$C$19:$C$48)*$C$39/1000,0))</f>
      </c>
      <c r="Y39" s="867">
        <f t="shared" si="2"/>
        <v>0</v>
      </c>
    </row>
    <row r="40" spans="1:26" ht="17.25" customHeight="1" thickBot="1">
      <c r="A40" s="807" t="s">
        <v>104</v>
      </c>
      <c r="B40" s="807"/>
      <c r="C40" s="799"/>
      <c r="D40" s="868">
        <f aca="true" t="shared" si="7" ref="D40:T40">SUM(D26:D39)</f>
        <v>0</v>
      </c>
      <c r="E40" s="554">
        <f t="shared" si="7"/>
        <v>0</v>
      </c>
      <c r="F40" s="554">
        <f t="shared" si="7"/>
        <v>0</v>
      </c>
      <c r="G40" s="554">
        <f>SUM(G26:G39)</f>
        <v>0</v>
      </c>
      <c r="H40" s="554">
        <f t="shared" si="7"/>
        <v>0</v>
      </c>
      <c r="I40" s="554">
        <f t="shared" si="7"/>
        <v>0</v>
      </c>
      <c r="J40" s="554">
        <f t="shared" si="7"/>
        <v>0</v>
      </c>
      <c r="K40" s="554">
        <f t="shared" si="7"/>
        <v>0</v>
      </c>
      <c r="L40" s="554">
        <f t="shared" si="7"/>
        <v>0</v>
      </c>
      <c r="M40" s="554">
        <f t="shared" si="7"/>
        <v>0</v>
      </c>
      <c r="N40" s="787">
        <f t="shared" si="7"/>
        <v>0</v>
      </c>
      <c r="O40" s="554">
        <f t="shared" si="7"/>
        <v>0</v>
      </c>
      <c r="P40" s="554">
        <f t="shared" si="7"/>
        <v>0</v>
      </c>
      <c r="Q40" s="554">
        <f t="shared" si="7"/>
        <v>0</v>
      </c>
      <c r="R40" s="554">
        <f t="shared" si="7"/>
        <v>0</v>
      </c>
      <c r="S40" s="1019">
        <f t="shared" si="7"/>
        <v>0</v>
      </c>
      <c r="T40" s="554">
        <f t="shared" si="7"/>
        <v>0</v>
      </c>
      <c r="U40" s="554">
        <f>SUM(U26:U39)</f>
        <v>0</v>
      </c>
      <c r="V40" s="554">
        <f>SUM(V26:V39)</f>
        <v>0</v>
      </c>
      <c r="W40" s="554">
        <f>SUM(W26:W39)</f>
        <v>0</v>
      </c>
      <c r="X40" s="1123">
        <f>SUM(X26:X39)</f>
        <v>0</v>
      </c>
      <c r="Y40" s="867">
        <f t="shared" si="2"/>
        <v>0</v>
      </c>
      <c r="Z40" s="19"/>
    </row>
    <row r="41" spans="1:37" ht="15" customHeight="1">
      <c r="A41" s="46"/>
      <c r="B41" s="702"/>
      <c r="C41" s="70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105</v>
      </c>
      <c r="B42" s="50"/>
      <c r="C42" s="50"/>
      <c r="D42" s="50"/>
      <c r="E42" s="1382"/>
      <c r="F42" s="1382"/>
      <c r="G42" s="1382"/>
      <c r="H42" s="1382"/>
      <c r="I42" s="1382"/>
      <c r="J42" s="1382"/>
      <c r="K42" s="50"/>
      <c r="L42" s="50"/>
      <c r="M42" s="806"/>
      <c r="N42" s="50"/>
      <c r="Q42" s="806"/>
      <c r="R42" s="1365" t="s">
        <v>106</v>
      </c>
      <c r="S42" s="1365"/>
      <c r="T42" s="50"/>
      <c r="U42" s="50"/>
      <c r="V42" s="50"/>
      <c r="W42" s="50"/>
      <c r="X42" s="50"/>
      <c r="Y42" s="806"/>
    </row>
    <row r="43" spans="1:29" ht="29.25" customHeight="1" thickBot="1">
      <c r="A43" s="50"/>
      <c r="B43" s="572"/>
      <c r="C43" s="572"/>
      <c r="D43" s="572"/>
      <c r="E43" s="572"/>
      <c r="F43" s="572"/>
      <c r="G43" s="572"/>
      <c r="H43" s="572"/>
      <c r="I43" s="50"/>
      <c r="J43" s="50"/>
      <c r="K43" s="806"/>
      <c r="L43" s="50"/>
      <c r="M43" s="50"/>
      <c r="N43" s="50"/>
      <c r="O43" s="50"/>
      <c r="P43" s="50"/>
      <c r="Q43" s="527"/>
      <c r="R43" s="1383">
        <f>'総労働時間算定表(1)'!H5</f>
        <v>1904</v>
      </c>
      <c r="S43" s="1384"/>
      <c r="T43" s="989" t="s">
        <v>445</v>
      </c>
      <c r="U43" s="989"/>
      <c r="V43" s="989"/>
      <c r="W43" s="989"/>
      <c r="X43" s="989"/>
      <c r="Y43" s="572"/>
      <c r="Z43" s="572"/>
      <c r="AA43" s="572"/>
      <c r="AB43" s="50"/>
      <c r="AC43" s="806"/>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107</v>
      </c>
      <c r="B45" s="50"/>
      <c r="C45" s="54"/>
      <c r="D45" s="54" t="s">
        <v>264</v>
      </c>
      <c r="E45" s="1379">
        <f>Y20</f>
        <v>0</v>
      </c>
      <c r="F45" s="1380"/>
      <c r="G45" s="1381"/>
      <c r="H45" s="54" t="s">
        <v>219</v>
      </c>
      <c r="I45" s="1379">
        <f>Y40</f>
        <v>0</v>
      </c>
      <c r="J45" s="1380"/>
      <c r="K45" s="1381"/>
      <c r="L45" s="573" t="s">
        <v>265</v>
      </c>
      <c r="M45" s="54" t="s">
        <v>220</v>
      </c>
      <c r="N45" s="1376">
        <f>R43</f>
        <v>1904</v>
      </c>
      <c r="O45" s="1377"/>
      <c r="P45" s="1378"/>
      <c r="Q45" s="535" t="s">
        <v>221</v>
      </c>
      <c r="R45" s="1374">
        <f>(ROUNDDOWN((E45+I45)/N45,0))</f>
        <v>0</v>
      </c>
      <c r="S45" s="1375"/>
      <c r="T45" s="989" t="s">
        <v>446</v>
      </c>
      <c r="U45" s="989"/>
      <c r="V45" s="989"/>
      <c r="W45" s="989"/>
      <c r="X45" s="989"/>
      <c r="Y45" s="573"/>
      <c r="Z45" s="573"/>
      <c r="AA45" s="54"/>
      <c r="AB45" s="54"/>
    </row>
    <row r="46" spans="2:25" ht="15" customHeight="1" thickBot="1">
      <c r="B46" s="50"/>
      <c r="C46" s="50"/>
      <c r="D46" s="50"/>
      <c r="E46" s="50"/>
      <c r="F46" s="51"/>
      <c r="G46" s="50"/>
      <c r="H46" s="50"/>
      <c r="I46" s="50"/>
      <c r="J46" s="50"/>
      <c r="K46" s="50"/>
      <c r="L46" s="50"/>
      <c r="M46" s="50"/>
      <c r="N46" s="50"/>
      <c r="O46" s="50"/>
      <c r="P46" s="51"/>
      <c r="Q46" s="50"/>
      <c r="R46" s="51" t="s">
        <v>108</v>
      </c>
      <c r="S46" s="50"/>
      <c r="T46" s="50"/>
      <c r="U46" s="50"/>
      <c r="V46" s="50"/>
      <c r="W46" s="50"/>
      <c r="X46" s="50"/>
      <c r="Y46" s="50"/>
    </row>
    <row r="47" spans="2:28" ht="15" customHeight="1">
      <c r="B47" s="50"/>
      <c r="C47" s="50"/>
      <c r="D47" s="50"/>
      <c r="E47" s="56"/>
      <c r="F47" s="574"/>
      <c r="G47" s="574"/>
      <c r="H47" s="56"/>
      <c r="I47" s="574"/>
      <c r="J47" s="574"/>
      <c r="K47" s="50"/>
      <c r="L47" s="50"/>
      <c r="M47" s="50"/>
      <c r="N47" s="50"/>
      <c r="O47" s="50"/>
      <c r="P47" s="1025" t="s">
        <v>475</v>
      </c>
      <c r="Q47" s="55"/>
      <c r="R47" s="1370">
        <f>IF((ROUNDDOWN((E45+I45)/N45,0))&gt;=5000,5000,R45)</f>
        <v>0</v>
      </c>
      <c r="S47" s="1371"/>
      <c r="T47" s="56"/>
      <c r="U47" s="56"/>
      <c r="V47" s="56"/>
      <c r="W47" s="56"/>
      <c r="X47" s="56"/>
      <c r="Y47" s="574"/>
      <c r="Z47" s="574"/>
      <c r="AA47" s="50"/>
      <c r="AB47" s="50"/>
    </row>
    <row r="48" spans="2:28" ht="15" customHeight="1" thickBot="1">
      <c r="B48" s="51" t="s">
        <v>1013</v>
      </c>
      <c r="C48" s="50"/>
      <c r="D48" s="50"/>
      <c r="E48" s="56"/>
      <c r="F48" s="574"/>
      <c r="G48" s="574"/>
      <c r="H48" s="56"/>
      <c r="I48" s="574"/>
      <c r="J48" s="574"/>
      <c r="K48" s="50"/>
      <c r="L48" s="50"/>
      <c r="M48" s="50"/>
      <c r="N48" s="50"/>
      <c r="O48" s="50"/>
      <c r="P48" s="1025" t="s">
        <v>474</v>
      </c>
      <c r="Q48" s="55"/>
      <c r="R48" s="1372"/>
      <c r="S48" s="1373"/>
      <c r="T48" s="989" t="s">
        <v>446</v>
      </c>
      <c r="U48" s="989"/>
      <c r="V48" s="989"/>
      <c r="W48" s="989"/>
      <c r="X48" s="989"/>
      <c r="Y48" s="574"/>
      <c r="Z48" s="574"/>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5"/>
    </row>
    <row r="51" spans="1:25" ht="17.25">
      <c r="A51" s="1212" t="s">
        <v>372</v>
      </c>
      <c r="B51" s="1385" t="s">
        <v>1028</v>
      </c>
      <c r="C51" s="1385"/>
      <c r="D51" s="1385"/>
      <c r="E51" s="53"/>
      <c r="F51" s="1033" t="str">
        <f>"名称(社名)　：　"&amp;'使い方'!E6</f>
        <v>名称(社名)　：　Ｂ金属株式会社</v>
      </c>
      <c r="G51" s="1021"/>
      <c r="H51" s="1021"/>
      <c r="J51" s="53"/>
      <c r="L51" s="57"/>
      <c r="M51" s="1031" t="str">
        <f>"部署・役職名　：　"&amp;'使い方'!F26</f>
        <v>部署・役職名　：　総務部長　経済洋子</v>
      </c>
      <c r="N51" s="50"/>
      <c r="O51" s="57"/>
      <c r="P51" s="57"/>
      <c r="Q51" s="53" t="s">
        <v>473</v>
      </c>
      <c r="R51" s="57"/>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S2:U2"/>
    <mergeCell ref="S4:U4"/>
    <mergeCell ref="S5:T5"/>
    <mergeCell ref="B7:C7"/>
    <mergeCell ref="B8:C8"/>
    <mergeCell ref="A5:B6"/>
    <mergeCell ref="S3:T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26" max="65535" man="1"/>
  </colBreaks>
  <ignoredErrors>
    <ignoredError sqref="D20 O20" formulaRange="1"/>
    <ignoredError sqref="G26:G30 N26:N30 R26:R30 G32:G39 N32:N39 R32:R39" formula="1"/>
    <ignoredError sqref="F51" unlockedFormula="1"/>
  </ignoredErrors>
</worksheet>
</file>

<file path=xl/worksheets/sheet32.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2.57421875" style="364" customWidth="1"/>
    <col min="2" max="2" width="5.140625" style="364" customWidth="1"/>
    <col min="3" max="3" width="7.8515625" style="524" customWidth="1"/>
    <col min="4" max="4" width="0.42578125" style="524" customWidth="1"/>
    <col min="5" max="5" width="6.8515625" style="364" customWidth="1"/>
    <col min="6" max="6" width="1.28515625" style="364" customWidth="1"/>
    <col min="7" max="7" width="8.140625" style="364" customWidth="1"/>
    <col min="8" max="8" width="2.421875" style="364" customWidth="1"/>
    <col min="9" max="9" width="8.140625" style="364" customWidth="1"/>
    <col min="10" max="10" width="8.7109375" style="364" customWidth="1"/>
    <col min="11" max="11" width="0.42578125" style="364" customWidth="1"/>
    <col min="12" max="12" width="8.7109375" style="364" customWidth="1"/>
    <col min="13" max="13" width="0.42578125" style="364" customWidth="1"/>
    <col min="14" max="14" width="8.7109375" style="525" customWidth="1"/>
    <col min="15" max="15" width="0.42578125" style="525" customWidth="1"/>
    <col min="16" max="16" width="8.7109375" style="525" customWidth="1"/>
    <col min="17" max="17" width="0.42578125" style="525" customWidth="1"/>
    <col min="18" max="18" width="8.7109375" style="525" customWidth="1"/>
    <col min="19" max="19" width="0.42578125" style="525" customWidth="1"/>
    <col min="20" max="20" width="8.7109375" style="525" customWidth="1"/>
    <col min="21" max="21" width="0.42578125" style="525" customWidth="1"/>
    <col min="22" max="22" width="8.7109375" style="525" customWidth="1"/>
    <col min="23" max="23" width="0.42578125" style="525" customWidth="1"/>
    <col min="24" max="24" width="8.7109375" style="525" customWidth="1"/>
    <col min="25" max="25" width="0.42578125" style="525" customWidth="1"/>
    <col min="26" max="26" width="0.71875" style="364" customWidth="1"/>
    <col min="27" max="16384" width="9.00390625" style="364" customWidth="1"/>
  </cols>
  <sheetData>
    <row r="1" spans="2:26" ht="16.5" customHeight="1">
      <c r="B1" s="1450" t="s">
        <v>223</v>
      </c>
      <c r="C1" s="1451"/>
      <c r="D1" s="1451"/>
      <c r="E1" s="1451"/>
      <c r="F1" s="1451"/>
      <c r="G1" s="1451"/>
      <c r="H1" s="1451"/>
      <c r="I1" s="1451"/>
      <c r="J1" s="1451"/>
      <c r="K1" s="1451"/>
      <c r="L1" s="1451"/>
      <c r="M1" s="1451"/>
      <c r="N1" s="1451"/>
      <c r="O1" s="1451"/>
      <c r="P1" s="1451"/>
      <c r="Q1" s="1451"/>
      <c r="R1" s="1451"/>
      <c r="S1" s="1451"/>
      <c r="T1" s="1451"/>
      <c r="U1" s="1451"/>
      <c r="V1" s="1451"/>
      <c r="W1" s="1451"/>
      <c r="X1" s="1451"/>
      <c r="Y1" s="1451"/>
      <c r="Z1" s="365"/>
    </row>
    <row r="2" spans="2:26" ht="16.5" customHeight="1">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365"/>
    </row>
    <row r="3" spans="2:26" ht="17.25" customHeight="1">
      <c r="B3" s="1452" t="s">
        <v>224</v>
      </c>
      <c r="C3" s="1452"/>
      <c r="D3" s="1452"/>
      <c r="E3" s="1452"/>
      <c r="F3" s="1452"/>
      <c r="G3" s="1452"/>
      <c r="H3" s="1452"/>
      <c r="I3" s="1452"/>
      <c r="J3" s="1452"/>
      <c r="K3" s="1452"/>
      <c r="L3" s="1452"/>
      <c r="M3" s="1452"/>
      <c r="N3" s="1452"/>
      <c r="O3" s="1452"/>
      <c r="P3" s="1452"/>
      <c r="Q3" s="1452"/>
      <c r="R3" s="1452"/>
      <c r="S3" s="1452"/>
      <c r="T3" s="1452"/>
      <c r="U3" s="1452"/>
      <c r="V3" s="1452"/>
      <c r="W3" s="1452"/>
      <c r="X3" s="1452"/>
      <c r="Y3" s="366"/>
      <c r="Z3" s="365"/>
    </row>
    <row r="4" spans="1:26" ht="24" customHeight="1">
      <c r="A4" s="367"/>
      <c r="B4" s="1452"/>
      <c r="C4" s="1452"/>
      <c r="D4" s="1452"/>
      <c r="E4" s="1452"/>
      <c r="F4" s="1452"/>
      <c r="G4" s="1452"/>
      <c r="H4" s="1452"/>
      <c r="I4" s="1452"/>
      <c r="J4" s="1452"/>
      <c r="K4" s="1452"/>
      <c r="L4" s="1452"/>
      <c r="M4" s="1452"/>
      <c r="N4" s="1452"/>
      <c r="O4" s="1452"/>
      <c r="P4" s="1452"/>
      <c r="Q4" s="1452"/>
      <c r="R4" s="1452"/>
      <c r="S4" s="1452"/>
      <c r="T4" s="1452"/>
      <c r="U4" s="1452"/>
      <c r="V4" s="1452"/>
      <c r="W4" s="1452"/>
      <c r="X4" s="1452"/>
      <c r="Y4" s="368"/>
      <c r="Z4" s="365"/>
    </row>
    <row r="5" spans="2:26" ht="15.75" customHeight="1" thickBot="1">
      <c r="B5" s="1453" t="s">
        <v>110</v>
      </c>
      <c r="C5" s="1453"/>
      <c r="D5" s="1453"/>
      <c r="E5" s="1453"/>
      <c r="F5" s="1453"/>
      <c r="G5" s="1453"/>
      <c r="H5" s="1453"/>
      <c r="I5" s="1453"/>
      <c r="J5" s="1453"/>
      <c r="K5" s="1453"/>
      <c r="L5" s="1453"/>
      <c r="M5" s="1453"/>
      <c r="N5" s="1453"/>
      <c r="O5" s="1453"/>
      <c r="P5" s="1453"/>
      <c r="Q5" s="1453"/>
      <c r="R5" s="369"/>
      <c r="S5" s="369"/>
      <c r="T5" s="369"/>
      <c r="U5" s="369"/>
      <c r="V5" s="369"/>
      <c r="W5" s="369"/>
      <c r="X5" s="370" t="s">
        <v>0</v>
      </c>
      <c r="Y5" s="369"/>
      <c r="Z5" s="365"/>
    </row>
    <row r="6" spans="2:25" s="371" customFormat="1" ht="18.75" customHeight="1" thickTop="1">
      <c r="B6" s="1454" t="s">
        <v>111</v>
      </c>
      <c r="C6" s="1455"/>
      <c r="D6" s="1455"/>
      <c r="E6" s="1455"/>
      <c r="F6" s="1456"/>
      <c r="G6" s="1455" t="s">
        <v>112</v>
      </c>
      <c r="H6" s="1455"/>
      <c r="I6" s="1455"/>
      <c r="J6" s="1460" t="s">
        <v>113</v>
      </c>
      <c r="K6" s="1461"/>
      <c r="L6" s="1461"/>
      <c r="M6" s="1461"/>
      <c r="N6" s="1461"/>
      <c r="O6" s="1461"/>
      <c r="P6" s="1461"/>
      <c r="Q6" s="1462"/>
      <c r="R6" s="1461" t="s">
        <v>114</v>
      </c>
      <c r="S6" s="1463"/>
      <c r="T6" s="1463"/>
      <c r="U6" s="1463"/>
      <c r="V6" s="1463"/>
      <c r="W6" s="1463"/>
      <c r="X6" s="1463"/>
      <c r="Y6" s="1464"/>
    </row>
    <row r="7" spans="2:25" s="371" customFormat="1" ht="13.5" customHeight="1">
      <c r="B7" s="1457"/>
      <c r="C7" s="1458"/>
      <c r="D7" s="1458"/>
      <c r="E7" s="1458"/>
      <c r="F7" s="1459"/>
      <c r="G7" s="1458"/>
      <c r="H7" s="1458"/>
      <c r="I7" s="1458"/>
      <c r="J7" s="1465" t="s">
        <v>115</v>
      </c>
      <c r="K7" s="1466"/>
      <c r="L7" s="1466"/>
      <c r="M7" s="1467"/>
      <c r="N7" s="1474" t="s">
        <v>116</v>
      </c>
      <c r="O7" s="1419"/>
      <c r="P7" s="1419"/>
      <c r="Q7" s="1420"/>
      <c r="R7" s="1479" t="s">
        <v>117</v>
      </c>
      <c r="S7" s="1419"/>
      <c r="T7" s="1419"/>
      <c r="U7" s="1480"/>
      <c r="V7" s="1418" t="s">
        <v>118</v>
      </c>
      <c r="W7" s="1419"/>
      <c r="X7" s="1419"/>
      <c r="Y7" s="1420"/>
    </row>
    <row r="8" spans="2:25" s="371" customFormat="1" ht="11.25">
      <c r="B8" s="1457"/>
      <c r="C8" s="1458"/>
      <c r="D8" s="1458"/>
      <c r="E8" s="1458"/>
      <c r="F8" s="1459"/>
      <c r="G8" s="1458"/>
      <c r="H8" s="1458"/>
      <c r="I8" s="1458"/>
      <c r="J8" s="1468"/>
      <c r="K8" s="1469"/>
      <c r="L8" s="1469"/>
      <c r="M8" s="1470"/>
      <c r="N8" s="1475"/>
      <c r="O8" s="1422"/>
      <c r="P8" s="1422"/>
      <c r="Q8" s="1423"/>
      <c r="R8" s="1481"/>
      <c r="S8" s="1422"/>
      <c r="T8" s="1422"/>
      <c r="U8" s="1482"/>
      <c r="V8" s="1421"/>
      <c r="W8" s="1422"/>
      <c r="X8" s="1422"/>
      <c r="Y8" s="1423"/>
    </row>
    <row r="9" spans="2:25" s="371" customFormat="1" ht="2.25" customHeight="1">
      <c r="B9" s="1457"/>
      <c r="C9" s="1458"/>
      <c r="D9" s="1458"/>
      <c r="E9" s="1458"/>
      <c r="F9" s="1459"/>
      <c r="G9" s="1458"/>
      <c r="H9" s="1458"/>
      <c r="I9" s="1458"/>
      <c r="J9" s="1471"/>
      <c r="K9" s="1472"/>
      <c r="L9" s="1472"/>
      <c r="M9" s="1473"/>
      <c r="N9" s="1476"/>
      <c r="O9" s="1477"/>
      <c r="P9" s="1477"/>
      <c r="Q9" s="1478"/>
      <c r="R9" s="1483"/>
      <c r="S9" s="1425"/>
      <c r="T9" s="1425"/>
      <c r="U9" s="1484"/>
      <c r="V9" s="1424"/>
      <c r="W9" s="1425"/>
      <c r="X9" s="1425"/>
      <c r="Y9" s="1426"/>
    </row>
    <row r="10" spans="2:25" s="371" customFormat="1" ht="13.5" customHeight="1">
      <c r="B10" s="1457"/>
      <c r="C10" s="1458"/>
      <c r="D10" s="1458"/>
      <c r="E10" s="1458"/>
      <c r="F10" s="1459"/>
      <c r="G10" s="1458"/>
      <c r="H10" s="1458"/>
      <c r="I10" s="1458"/>
      <c r="J10" s="1427">
        <v>0.0948</v>
      </c>
      <c r="K10" s="1428"/>
      <c r="L10" s="1428"/>
      <c r="M10" s="1429"/>
      <c r="N10" s="1427">
        <f>J10+0.0151</f>
        <v>0.1099</v>
      </c>
      <c r="O10" s="1433"/>
      <c r="P10" s="1433"/>
      <c r="Q10" s="1434"/>
      <c r="R10" s="1438">
        <v>0.16412</v>
      </c>
      <c r="S10" s="1438"/>
      <c r="T10" s="1438"/>
      <c r="U10" s="1439"/>
      <c r="V10" s="1438">
        <v>0.16944</v>
      </c>
      <c r="W10" s="1438"/>
      <c r="X10" s="1438"/>
      <c r="Y10" s="1440"/>
    </row>
    <row r="11" spans="2:25" s="371" customFormat="1" ht="5.25" customHeight="1">
      <c r="B11" s="1457"/>
      <c r="C11" s="1458"/>
      <c r="D11" s="1458"/>
      <c r="E11" s="1458"/>
      <c r="F11" s="1459"/>
      <c r="G11" s="1458"/>
      <c r="H11" s="1458"/>
      <c r="I11" s="1458"/>
      <c r="J11" s="1430"/>
      <c r="K11" s="1431"/>
      <c r="L11" s="1431"/>
      <c r="M11" s="1432"/>
      <c r="N11" s="1435"/>
      <c r="O11" s="1436"/>
      <c r="P11" s="1436"/>
      <c r="Q11" s="1437"/>
      <c r="R11" s="1438"/>
      <c r="S11" s="1438"/>
      <c r="T11" s="1438"/>
      <c r="U11" s="1439"/>
      <c r="V11" s="1438"/>
      <c r="W11" s="1438"/>
      <c r="X11" s="1438"/>
      <c r="Y11" s="1440"/>
    </row>
    <row r="12" spans="2:25" s="371" customFormat="1" ht="8.25" customHeight="1">
      <c r="B12" s="1441" t="s">
        <v>119</v>
      </c>
      <c r="C12" s="1443" t="s">
        <v>120</v>
      </c>
      <c r="D12" s="1444"/>
      <c r="E12" s="1403" t="s">
        <v>121</v>
      </c>
      <c r="F12" s="1447"/>
      <c r="G12" s="1458"/>
      <c r="H12" s="1458"/>
      <c r="I12" s="1458"/>
      <c r="J12" s="1403" t="s">
        <v>122</v>
      </c>
      <c r="K12" s="1404"/>
      <c r="L12" s="1407" t="s">
        <v>123</v>
      </c>
      <c r="M12" s="1415"/>
      <c r="N12" s="1403" t="s">
        <v>122</v>
      </c>
      <c r="O12" s="1404"/>
      <c r="P12" s="1407" t="s">
        <v>123</v>
      </c>
      <c r="Q12" s="1408"/>
      <c r="R12" s="1411" t="s">
        <v>124</v>
      </c>
      <c r="S12" s="1412"/>
      <c r="T12" s="1411" t="s">
        <v>125</v>
      </c>
      <c r="U12" s="1415"/>
      <c r="V12" s="1411" t="s">
        <v>124</v>
      </c>
      <c r="W12" s="1412"/>
      <c r="X12" s="1411" t="s">
        <v>125</v>
      </c>
      <c r="Y12" s="1408"/>
    </row>
    <row r="13" spans="2:25" s="371" customFormat="1" ht="8.25" customHeight="1">
      <c r="B13" s="1442"/>
      <c r="C13" s="1445"/>
      <c r="D13" s="1446"/>
      <c r="E13" s="1448"/>
      <c r="F13" s="1449"/>
      <c r="G13" s="1446"/>
      <c r="H13" s="1446"/>
      <c r="I13" s="1446"/>
      <c r="J13" s="1405"/>
      <c r="K13" s="1406"/>
      <c r="L13" s="1409"/>
      <c r="M13" s="1417"/>
      <c r="N13" s="1405"/>
      <c r="O13" s="1406"/>
      <c r="P13" s="1409"/>
      <c r="Q13" s="1410"/>
      <c r="R13" s="1413"/>
      <c r="S13" s="1414"/>
      <c r="T13" s="1416"/>
      <c r="U13" s="1417"/>
      <c r="V13" s="1413"/>
      <c r="W13" s="1414"/>
      <c r="X13" s="1416"/>
      <c r="Y13" s="1410"/>
    </row>
    <row r="14" spans="2:25" s="371" customFormat="1" ht="15" customHeight="1">
      <c r="B14" s="372"/>
      <c r="C14" s="373"/>
      <c r="D14" s="374"/>
      <c r="E14" s="373"/>
      <c r="F14" s="375"/>
      <c r="G14" s="376" t="s">
        <v>126</v>
      </c>
      <c r="H14" s="377"/>
      <c r="I14" s="376" t="s">
        <v>127</v>
      </c>
      <c r="J14" s="378"/>
      <c r="K14" s="379"/>
      <c r="L14" s="380"/>
      <c r="M14" s="381"/>
      <c r="N14" s="382"/>
      <c r="O14" s="383"/>
      <c r="P14" s="384"/>
      <c r="Q14" s="385"/>
      <c r="R14" s="379"/>
      <c r="S14" s="386"/>
      <c r="T14" s="379"/>
      <c r="U14" s="387"/>
      <c r="V14" s="379"/>
      <c r="W14" s="386"/>
      <c r="X14" s="379"/>
      <c r="Y14" s="388"/>
    </row>
    <row r="15" spans="2:26" s="371" customFormat="1" ht="12.75" customHeight="1">
      <c r="B15" s="389">
        <v>1</v>
      </c>
      <c r="C15" s="390">
        <v>58000</v>
      </c>
      <c r="D15" s="391"/>
      <c r="E15" s="390">
        <v>1930</v>
      </c>
      <c r="F15" s="392"/>
      <c r="G15" s="393"/>
      <c r="H15" s="394" t="s">
        <v>62</v>
      </c>
      <c r="I15" s="393">
        <v>63000</v>
      </c>
      <c r="J15" s="395">
        <f>C15*$J$10</f>
        <v>5498.4</v>
      </c>
      <c r="K15" s="396"/>
      <c r="L15" s="397">
        <f>J15/2</f>
        <v>2749.2</v>
      </c>
      <c r="M15" s="392"/>
      <c r="N15" s="395">
        <f>C15*$N$10</f>
        <v>6374.2</v>
      </c>
      <c r="O15" s="396"/>
      <c r="P15" s="397">
        <f>N15/2</f>
        <v>3187.1</v>
      </c>
      <c r="Q15" s="398"/>
      <c r="R15" s="394"/>
      <c r="S15" s="399"/>
      <c r="T15" s="394"/>
      <c r="U15" s="400"/>
      <c r="V15" s="394"/>
      <c r="W15" s="399"/>
      <c r="X15" s="394"/>
      <c r="Y15" s="398"/>
      <c r="Z15" s="401"/>
    </row>
    <row r="16" spans="2:26" s="371" customFormat="1" ht="12.75" customHeight="1">
      <c r="B16" s="402">
        <v>2</v>
      </c>
      <c r="C16" s="403">
        <v>68000</v>
      </c>
      <c r="D16" s="404"/>
      <c r="E16" s="403">
        <v>2270</v>
      </c>
      <c r="F16" s="405"/>
      <c r="G16" s="406">
        <v>63000</v>
      </c>
      <c r="H16" s="407" t="s">
        <v>62</v>
      </c>
      <c r="I16" s="406">
        <v>73000</v>
      </c>
      <c r="J16" s="408">
        <f aca="true" t="shared" si="0" ref="J16:J61">C16*$J$10</f>
        <v>6446.4</v>
      </c>
      <c r="K16" s="409"/>
      <c r="L16" s="410">
        <f aca="true" t="shared" si="1" ref="L16:L61">J16/2</f>
        <v>3223.2</v>
      </c>
      <c r="M16" s="411"/>
      <c r="N16" s="408">
        <f aca="true" t="shared" si="2" ref="N16:N61">C16*$N$10</f>
        <v>7473.2</v>
      </c>
      <c r="O16" s="409"/>
      <c r="P16" s="412">
        <f aca="true" t="shared" si="3" ref="P16:P61">N16/2</f>
        <v>3736.6</v>
      </c>
      <c r="Q16" s="413"/>
      <c r="R16" s="394"/>
      <c r="S16" s="399"/>
      <c r="T16" s="394"/>
      <c r="U16" s="400"/>
      <c r="V16" s="394"/>
      <c r="W16" s="399"/>
      <c r="X16" s="394"/>
      <c r="Y16" s="398"/>
      <c r="Z16" s="401"/>
    </row>
    <row r="17" spans="2:26" s="371" customFormat="1" ht="12.75" customHeight="1">
      <c r="B17" s="414">
        <v>3</v>
      </c>
      <c r="C17" s="415">
        <v>78000</v>
      </c>
      <c r="D17" s="416"/>
      <c r="E17" s="415">
        <v>2600</v>
      </c>
      <c r="F17" s="417"/>
      <c r="G17" s="418">
        <v>73000</v>
      </c>
      <c r="H17" s="419" t="s">
        <v>62</v>
      </c>
      <c r="I17" s="418">
        <v>83000</v>
      </c>
      <c r="J17" s="420">
        <f t="shared" si="0"/>
        <v>7394.4</v>
      </c>
      <c r="K17" s="421"/>
      <c r="L17" s="422">
        <f t="shared" si="1"/>
        <v>3697.2</v>
      </c>
      <c r="M17" s="423"/>
      <c r="N17" s="420">
        <f t="shared" si="2"/>
        <v>8572.2</v>
      </c>
      <c r="O17" s="421"/>
      <c r="P17" s="424">
        <f t="shared" si="3"/>
        <v>4286.1</v>
      </c>
      <c r="Q17" s="425"/>
      <c r="R17" s="394"/>
      <c r="S17" s="399"/>
      <c r="T17" s="394"/>
      <c r="U17" s="400"/>
      <c r="V17" s="394"/>
      <c r="W17" s="399"/>
      <c r="X17" s="394"/>
      <c r="Y17" s="398"/>
      <c r="Z17" s="401"/>
    </row>
    <row r="18" spans="2:26" s="371" customFormat="1" ht="12.75" customHeight="1">
      <c r="B18" s="402">
        <v>4</v>
      </c>
      <c r="C18" s="403">
        <v>88000</v>
      </c>
      <c r="D18" s="404"/>
      <c r="E18" s="403">
        <v>2930</v>
      </c>
      <c r="F18" s="405"/>
      <c r="G18" s="406">
        <v>83000</v>
      </c>
      <c r="H18" s="407" t="s">
        <v>62</v>
      </c>
      <c r="I18" s="406">
        <v>93000</v>
      </c>
      <c r="J18" s="408">
        <f t="shared" si="0"/>
        <v>8342.4</v>
      </c>
      <c r="K18" s="409"/>
      <c r="L18" s="410">
        <f t="shared" si="1"/>
        <v>4171.2</v>
      </c>
      <c r="M18" s="411"/>
      <c r="N18" s="408">
        <f>C18*$N$10</f>
        <v>9671.199999999999</v>
      </c>
      <c r="O18" s="409"/>
      <c r="P18" s="412">
        <f t="shared" si="3"/>
        <v>4835.599999999999</v>
      </c>
      <c r="Q18" s="413"/>
      <c r="R18" s="394"/>
      <c r="S18" s="399"/>
      <c r="T18" s="394"/>
      <c r="U18" s="400"/>
      <c r="V18" s="394"/>
      <c r="W18" s="399"/>
      <c r="X18" s="394"/>
      <c r="Y18" s="398"/>
      <c r="Z18" s="401"/>
    </row>
    <row r="19" spans="2:26" s="371" customFormat="1" ht="12.75" customHeight="1">
      <c r="B19" s="414" t="s">
        <v>128</v>
      </c>
      <c r="C19" s="415">
        <v>98000</v>
      </c>
      <c r="D19" s="416"/>
      <c r="E19" s="415">
        <v>3270</v>
      </c>
      <c r="F19" s="419"/>
      <c r="G19" s="426">
        <v>93000</v>
      </c>
      <c r="H19" s="419" t="s">
        <v>62</v>
      </c>
      <c r="I19" s="427">
        <v>101000</v>
      </c>
      <c r="J19" s="428">
        <f t="shared" si="0"/>
        <v>9290.4</v>
      </c>
      <c r="K19" s="429"/>
      <c r="L19" s="430">
        <f t="shared" si="1"/>
        <v>4645.2</v>
      </c>
      <c r="M19" s="431"/>
      <c r="N19" s="420">
        <f t="shared" si="2"/>
        <v>10770.199999999999</v>
      </c>
      <c r="O19" s="429"/>
      <c r="P19" s="424">
        <f t="shared" si="3"/>
        <v>5385.099999999999</v>
      </c>
      <c r="Q19" s="432"/>
      <c r="R19" s="433">
        <f>C19*$R$10</f>
        <v>16083.759999999998</v>
      </c>
      <c r="S19" s="434"/>
      <c r="T19" s="433">
        <f>R19/2</f>
        <v>8041.879999999999</v>
      </c>
      <c r="U19" s="435"/>
      <c r="V19" s="433">
        <f>C19*$V$10</f>
        <v>16605.12</v>
      </c>
      <c r="W19" s="434"/>
      <c r="X19" s="433">
        <f>V19/2</f>
        <v>8302.56</v>
      </c>
      <c r="Y19" s="436"/>
      <c r="Z19" s="437"/>
    </row>
    <row r="20" spans="2:27" s="371" customFormat="1" ht="12.75" customHeight="1">
      <c r="B20" s="402" t="s">
        <v>129</v>
      </c>
      <c r="C20" s="403">
        <v>104000</v>
      </c>
      <c r="D20" s="404"/>
      <c r="E20" s="403">
        <v>3470</v>
      </c>
      <c r="F20" s="407"/>
      <c r="G20" s="438">
        <v>101000</v>
      </c>
      <c r="H20" s="407" t="s">
        <v>62</v>
      </c>
      <c r="I20" s="439">
        <v>107000</v>
      </c>
      <c r="J20" s="440">
        <f t="shared" si="0"/>
        <v>9859.199999999999</v>
      </c>
      <c r="K20" s="441"/>
      <c r="L20" s="442">
        <f t="shared" si="1"/>
        <v>4929.599999999999</v>
      </c>
      <c r="M20" s="443"/>
      <c r="N20" s="408">
        <f t="shared" si="2"/>
        <v>11429.6</v>
      </c>
      <c r="O20" s="441"/>
      <c r="P20" s="412">
        <f t="shared" si="3"/>
        <v>5714.8</v>
      </c>
      <c r="Q20" s="444"/>
      <c r="R20" s="445">
        <f aca="true" t="shared" si="4" ref="R20:R48">C20*$R$10</f>
        <v>17068.48</v>
      </c>
      <c r="S20" s="446"/>
      <c r="T20" s="445">
        <f aca="true" t="shared" si="5" ref="T20:T48">R20/2</f>
        <v>8534.24</v>
      </c>
      <c r="U20" s="447"/>
      <c r="V20" s="445">
        <f aca="true" t="shared" si="6" ref="V20:V48">C20*$V$10</f>
        <v>17621.760000000002</v>
      </c>
      <c r="W20" s="446"/>
      <c r="X20" s="445">
        <f aca="true" t="shared" si="7" ref="X20:X48">V20/2</f>
        <v>8810.880000000001</v>
      </c>
      <c r="Y20" s="444"/>
      <c r="Z20" s="377"/>
      <c r="AA20" s="401"/>
    </row>
    <row r="21" spans="2:27" s="371" customFormat="1" ht="12.75" customHeight="1">
      <c r="B21" s="414" t="s">
        <v>130</v>
      </c>
      <c r="C21" s="415">
        <v>110000</v>
      </c>
      <c r="D21" s="416"/>
      <c r="E21" s="415">
        <v>3670</v>
      </c>
      <c r="F21" s="419"/>
      <c r="G21" s="426">
        <v>107000</v>
      </c>
      <c r="H21" s="419" t="s">
        <v>62</v>
      </c>
      <c r="I21" s="427">
        <v>114000</v>
      </c>
      <c r="J21" s="428">
        <f t="shared" si="0"/>
        <v>10428</v>
      </c>
      <c r="K21" s="429"/>
      <c r="L21" s="430">
        <f t="shared" si="1"/>
        <v>5214</v>
      </c>
      <c r="M21" s="431"/>
      <c r="N21" s="420">
        <f t="shared" si="2"/>
        <v>12089</v>
      </c>
      <c r="O21" s="429"/>
      <c r="P21" s="424">
        <f t="shared" si="3"/>
        <v>6044.5</v>
      </c>
      <c r="Q21" s="432"/>
      <c r="R21" s="448">
        <f t="shared" si="4"/>
        <v>18053.199999999997</v>
      </c>
      <c r="S21" s="449"/>
      <c r="T21" s="448">
        <f t="shared" si="5"/>
        <v>9026.599999999999</v>
      </c>
      <c r="U21" s="450"/>
      <c r="V21" s="448">
        <f t="shared" si="6"/>
        <v>18638.4</v>
      </c>
      <c r="W21" s="449"/>
      <c r="X21" s="448">
        <f t="shared" si="7"/>
        <v>9319.2</v>
      </c>
      <c r="Y21" s="432"/>
      <c r="Z21" s="377"/>
      <c r="AA21" s="401"/>
    </row>
    <row r="22" spans="2:27" s="371" customFormat="1" ht="12.75" customHeight="1">
      <c r="B22" s="402" t="s">
        <v>131</v>
      </c>
      <c r="C22" s="403">
        <v>118000</v>
      </c>
      <c r="D22" s="404"/>
      <c r="E22" s="403">
        <v>3930</v>
      </c>
      <c r="F22" s="407"/>
      <c r="G22" s="438">
        <v>114000</v>
      </c>
      <c r="H22" s="407" t="s">
        <v>62</v>
      </c>
      <c r="I22" s="439">
        <v>122000</v>
      </c>
      <c r="J22" s="440">
        <f t="shared" si="0"/>
        <v>11186.4</v>
      </c>
      <c r="K22" s="441"/>
      <c r="L22" s="442">
        <f t="shared" si="1"/>
        <v>5593.2</v>
      </c>
      <c r="M22" s="443"/>
      <c r="N22" s="408">
        <f t="shared" si="2"/>
        <v>12968.199999999999</v>
      </c>
      <c r="O22" s="441"/>
      <c r="P22" s="412">
        <f t="shared" si="3"/>
        <v>6484.099999999999</v>
      </c>
      <c r="Q22" s="444"/>
      <c r="R22" s="445">
        <f t="shared" si="4"/>
        <v>19366.16</v>
      </c>
      <c r="S22" s="446"/>
      <c r="T22" s="445">
        <f t="shared" si="5"/>
        <v>9683.08</v>
      </c>
      <c r="U22" s="447"/>
      <c r="V22" s="445">
        <f t="shared" si="6"/>
        <v>19993.920000000002</v>
      </c>
      <c r="W22" s="446"/>
      <c r="X22" s="445">
        <f t="shared" si="7"/>
        <v>9996.960000000001</v>
      </c>
      <c r="Y22" s="444"/>
      <c r="Z22" s="377"/>
      <c r="AA22" s="401"/>
    </row>
    <row r="23" spans="2:27" s="371" customFormat="1" ht="12.75" customHeight="1">
      <c r="B23" s="414" t="s">
        <v>132</v>
      </c>
      <c r="C23" s="415">
        <v>126000</v>
      </c>
      <c r="D23" s="416"/>
      <c r="E23" s="415">
        <v>4200</v>
      </c>
      <c r="F23" s="419"/>
      <c r="G23" s="426">
        <v>122000</v>
      </c>
      <c r="H23" s="419" t="s">
        <v>62</v>
      </c>
      <c r="I23" s="427">
        <v>130000</v>
      </c>
      <c r="J23" s="428">
        <f t="shared" si="0"/>
        <v>11944.8</v>
      </c>
      <c r="K23" s="429"/>
      <c r="L23" s="430">
        <f t="shared" si="1"/>
        <v>5972.4</v>
      </c>
      <c r="M23" s="431"/>
      <c r="N23" s="420">
        <f t="shared" si="2"/>
        <v>13847.4</v>
      </c>
      <c r="O23" s="429"/>
      <c r="P23" s="424">
        <f t="shared" si="3"/>
        <v>6923.7</v>
      </c>
      <c r="Q23" s="432"/>
      <c r="R23" s="448">
        <f t="shared" si="4"/>
        <v>20679.12</v>
      </c>
      <c r="S23" s="449"/>
      <c r="T23" s="448">
        <f t="shared" si="5"/>
        <v>10339.56</v>
      </c>
      <c r="U23" s="450"/>
      <c r="V23" s="448">
        <f t="shared" si="6"/>
        <v>21349.440000000002</v>
      </c>
      <c r="W23" s="449"/>
      <c r="X23" s="448">
        <f t="shared" si="7"/>
        <v>10674.720000000001</v>
      </c>
      <c r="Y23" s="432"/>
      <c r="Z23" s="377"/>
      <c r="AA23" s="401"/>
    </row>
    <row r="24" spans="2:27" s="371" customFormat="1" ht="12.75" customHeight="1">
      <c r="B24" s="402" t="s">
        <v>133</v>
      </c>
      <c r="C24" s="451">
        <v>134000</v>
      </c>
      <c r="D24" s="452"/>
      <c r="E24" s="451">
        <v>4470</v>
      </c>
      <c r="F24" s="453"/>
      <c r="G24" s="454">
        <v>130000</v>
      </c>
      <c r="H24" s="453" t="s">
        <v>62</v>
      </c>
      <c r="I24" s="455">
        <v>138000</v>
      </c>
      <c r="J24" s="456">
        <f t="shared" si="0"/>
        <v>12703.199999999999</v>
      </c>
      <c r="K24" s="457"/>
      <c r="L24" s="458">
        <f t="shared" si="1"/>
        <v>6351.599999999999</v>
      </c>
      <c r="M24" s="459"/>
      <c r="N24" s="408">
        <f t="shared" si="2"/>
        <v>14726.6</v>
      </c>
      <c r="O24" s="457"/>
      <c r="P24" s="412">
        <f t="shared" si="3"/>
        <v>7363.3</v>
      </c>
      <c r="Q24" s="460"/>
      <c r="R24" s="445">
        <f t="shared" si="4"/>
        <v>21992.079999999998</v>
      </c>
      <c r="S24" s="446"/>
      <c r="T24" s="445">
        <f t="shared" si="5"/>
        <v>10996.039999999999</v>
      </c>
      <c r="U24" s="447"/>
      <c r="V24" s="445">
        <f t="shared" si="6"/>
        <v>22704.960000000003</v>
      </c>
      <c r="W24" s="446"/>
      <c r="X24" s="445">
        <f t="shared" si="7"/>
        <v>11352.480000000001</v>
      </c>
      <c r="Y24" s="444"/>
      <c r="Z24" s="377"/>
      <c r="AA24" s="401"/>
    </row>
    <row r="25" spans="2:27" s="371" customFormat="1" ht="12.75" customHeight="1">
      <c r="B25" s="414" t="s">
        <v>134</v>
      </c>
      <c r="C25" s="461">
        <v>142000</v>
      </c>
      <c r="D25" s="462"/>
      <c r="E25" s="461">
        <v>4730</v>
      </c>
      <c r="F25" s="463"/>
      <c r="G25" s="464">
        <v>138000</v>
      </c>
      <c r="H25" s="463" t="s">
        <v>62</v>
      </c>
      <c r="I25" s="465">
        <v>146000</v>
      </c>
      <c r="J25" s="466">
        <f t="shared" si="0"/>
        <v>13461.599999999999</v>
      </c>
      <c r="K25" s="467"/>
      <c r="L25" s="468">
        <f t="shared" si="1"/>
        <v>6730.799999999999</v>
      </c>
      <c r="M25" s="469"/>
      <c r="N25" s="420">
        <f t="shared" si="2"/>
        <v>15605.8</v>
      </c>
      <c r="O25" s="467"/>
      <c r="P25" s="424">
        <f t="shared" si="3"/>
        <v>7802.9</v>
      </c>
      <c r="Q25" s="470"/>
      <c r="R25" s="448">
        <f t="shared" si="4"/>
        <v>23305.039999999997</v>
      </c>
      <c r="S25" s="449"/>
      <c r="T25" s="448">
        <f t="shared" si="5"/>
        <v>11652.519999999999</v>
      </c>
      <c r="U25" s="450"/>
      <c r="V25" s="448">
        <f t="shared" si="6"/>
        <v>24060.48</v>
      </c>
      <c r="W25" s="449"/>
      <c r="X25" s="448">
        <f t="shared" si="7"/>
        <v>12030.24</v>
      </c>
      <c r="Y25" s="432"/>
      <c r="Z25" s="377"/>
      <c r="AA25" s="401"/>
    </row>
    <row r="26" spans="2:27" s="371" customFormat="1" ht="12.75" customHeight="1">
      <c r="B26" s="402" t="s">
        <v>135</v>
      </c>
      <c r="C26" s="451">
        <v>150000</v>
      </c>
      <c r="D26" s="471"/>
      <c r="E26" s="451">
        <v>5000</v>
      </c>
      <c r="F26" s="472"/>
      <c r="G26" s="473">
        <v>146000</v>
      </c>
      <c r="H26" s="472" t="s">
        <v>62</v>
      </c>
      <c r="I26" s="455">
        <v>155000</v>
      </c>
      <c r="J26" s="456">
        <f t="shared" si="0"/>
        <v>14220</v>
      </c>
      <c r="K26" s="457"/>
      <c r="L26" s="458">
        <f t="shared" si="1"/>
        <v>7110</v>
      </c>
      <c r="M26" s="459"/>
      <c r="N26" s="408">
        <f t="shared" si="2"/>
        <v>16485</v>
      </c>
      <c r="O26" s="457"/>
      <c r="P26" s="412">
        <f t="shared" si="3"/>
        <v>8242.5</v>
      </c>
      <c r="Q26" s="460"/>
      <c r="R26" s="445">
        <f t="shared" si="4"/>
        <v>24618</v>
      </c>
      <c r="S26" s="446"/>
      <c r="T26" s="445">
        <f t="shared" si="5"/>
        <v>12309</v>
      </c>
      <c r="U26" s="447"/>
      <c r="V26" s="445">
        <f t="shared" si="6"/>
        <v>25416</v>
      </c>
      <c r="W26" s="446"/>
      <c r="X26" s="445">
        <f t="shared" si="7"/>
        <v>12708</v>
      </c>
      <c r="Y26" s="444"/>
      <c r="Z26" s="377"/>
      <c r="AA26" s="401"/>
    </row>
    <row r="27" spans="2:27" s="371" customFormat="1" ht="12.75" customHeight="1">
      <c r="B27" s="414" t="s">
        <v>136</v>
      </c>
      <c r="C27" s="461">
        <v>160000</v>
      </c>
      <c r="D27" s="462"/>
      <c r="E27" s="461">
        <v>5330</v>
      </c>
      <c r="F27" s="463"/>
      <c r="G27" s="464">
        <v>155000</v>
      </c>
      <c r="H27" s="463" t="s">
        <v>62</v>
      </c>
      <c r="I27" s="465">
        <v>165000</v>
      </c>
      <c r="J27" s="466">
        <f t="shared" si="0"/>
        <v>15168</v>
      </c>
      <c r="K27" s="467"/>
      <c r="L27" s="468">
        <f t="shared" si="1"/>
        <v>7584</v>
      </c>
      <c r="M27" s="469"/>
      <c r="N27" s="420">
        <f t="shared" si="2"/>
        <v>17584</v>
      </c>
      <c r="O27" s="467"/>
      <c r="P27" s="424">
        <f t="shared" si="3"/>
        <v>8792</v>
      </c>
      <c r="Q27" s="470"/>
      <c r="R27" s="448">
        <f t="shared" si="4"/>
        <v>26259.199999999997</v>
      </c>
      <c r="S27" s="449"/>
      <c r="T27" s="448">
        <f t="shared" si="5"/>
        <v>13129.599999999999</v>
      </c>
      <c r="U27" s="450"/>
      <c r="V27" s="448">
        <f t="shared" si="6"/>
        <v>27110.4</v>
      </c>
      <c r="W27" s="449"/>
      <c r="X27" s="448">
        <f t="shared" si="7"/>
        <v>13555.2</v>
      </c>
      <c r="Y27" s="432"/>
      <c r="Z27" s="377"/>
      <c r="AA27" s="401"/>
    </row>
    <row r="28" spans="2:27" s="371" customFormat="1" ht="12.75" customHeight="1">
      <c r="B28" s="402" t="s">
        <v>137</v>
      </c>
      <c r="C28" s="451">
        <v>170000</v>
      </c>
      <c r="D28" s="471"/>
      <c r="E28" s="451">
        <v>5670</v>
      </c>
      <c r="F28" s="472"/>
      <c r="G28" s="473">
        <v>165000</v>
      </c>
      <c r="H28" s="472" t="s">
        <v>62</v>
      </c>
      <c r="I28" s="455">
        <v>175000</v>
      </c>
      <c r="J28" s="456">
        <f t="shared" si="0"/>
        <v>16116</v>
      </c>
      <c r="K28" s="457"/>
      <c r="L28" s="458">
        <f t="shared" si="1"/>
        <v>8058</v>
      </c>
      <c r="M28" s="459"/>
      <c r="N28" s="408">
        <f t="shared" si="2"/>
        <v>18683</v>
      </c>
      <c r="O28" s="457"/>
      <c r="P28" s="412">
        <f t="shared" si="3"/>
        <v>9341.5</v>
      </c>
      <c r="Q28" s="460"/>
      <c r="R28" s="445">
        <f t="shared" si="4"/>
        <v>27900.399999999998</v>
      </c>
      <c r="S28" s="446"/>
      <c r="T28" s="445">
        <f t="shared" si="5"/>
        <v>13950.199999999999</v>
      </c>
      <c r="U28" s="447"/>
      <c r="V28" s="445">
        <f t="shared" si="6"/>
        <v>28804.800000000003</v>
      </c>
      <c r="W28" s="446"/>
      <c r="X28" s="445">
        <f t="shared" si="7"/>
        <v>14402.400000000001</v>
      </c>
      <c r="Y28" s="444"/>
      <c r="Z28" s="377"/>
      <c r="AA28" s="401"/>
    </row>
    <row r="29" spans="2:27" s="371" customFormat="1" ht="12.75" customHeight="1">
      <c r="B29" s="414" t="s">
        <v>138</v>
      </c>
      <c r="C29" s="461">
        <v>180000</v>
      </c>
      <c r="D29" s="462"/>
      <c r="E29" s="461">
        <v>6000</v>
      </c>
      <c r="F29" s="463"/>
      <c r="G29" s="464">
        <v>175000</v>
      </c>
      <c r="H29" s="463" t="s">
        <v>62</v>
      </c>
      <c r="I29" s="465">
        <v>185000</v>
      </c>
      <c r="J29" s="466">
        <f t="shared" si="0"/>
        <v>17064</v>
      </c>
      <c r="K29" s="467"/>
      <c r="L29" s="468">
        <f t="shared" si="1"/>
        <v>8532</v>
      </c>
      <c r="M29" s="469"/>
      <c r="N29" s="420">
        <f t="shared" si="2"/>
        <v>19782</v>
      </c>
      <c r="O29" s="467"/>
      <c r="P29" s="424">
        <f t="shared" si="3"/>
        <v>9891</v>
      </c>
      <c r="Q29" s="470"/>
      <c r="R29" s="448">
        <f t="shared" si="4"/>
        <v>29541.6</v>
      </c>
      <c r="S29" s="449"/>
      <c r="T29" s="448">
        <f t="shared" si="5"/>
        <v>14770.8</v>
      </c>
      <c r="U29" s="450"/>
      <c r="V29" s="448">
        <f t="shared" si="6"/>
        <v>30499.2</v>
      </c>
      <c r="W29" s="449"/>
      <c r="X29" s="448">
        <f t="shared" si="7"/>
        <v>15249.6</v>
      </c>
      <c r="Y29" s="432"/>
      <c r="Z29" s="377"/>
      <c r="AA29" s="401"/>
    </row>
    <row r="30" spans="2:27" s="371" customFormat="1" ht="12.75" customHeight="1">
      <c r="B30" s="402" t="s">
        <v>139</v>
      </c>
      <c r="C30" s="451">
        <v>190000</v>
      </c>
      <c r="D30" s="471"/>
      <c r="E30" s="451">
        <v>6330</v>
      </c>
      <c r="F30" s="472"/>
      <c r="G30" s="473">
        <v>185000</v>
      </c>
      <c r="H30" s="472" t="s">
        <v>62</v>
      </c>
      <c r="I30" s="455">
        <v>195000</v>
      </c>
      <c r="J30" s="456">
        <f t="shared" si="0"/>
        <v>18012</v>
      </c>
      <c r="K30" s="457"/>
      <c r="L30" s="458">
        <f t="shared" si="1"/>
        <v>9006</v>
      </c>
      <c r="M30" s="459"/>
      <c r="N30" s="408">
        <f t="shared" si="2"/>
        <v>20881</v>
      </c>
      <c r="O30" s="457"/>
      <c r="P30" s="412">
        <f t="shared" si="3"/>
        <v>10440.5</v>
      </c>
      <c r="Q30" s="460"/>
      <c r="R30" s="445">
        <f t="shared" si="4"/>
        <v>31182.8</v>
      </c>
      <c r="S30" s="446"/>
      <c r="T30" s="445">
        <f t="shared" si="5"/>
        <v>15591.4</v>
      </c>
      <c r="U30" s="447"/>
      <c r="V30" s="445">
        <f t="shared" si="6"/>
        <v>32193.600000000002</v>
      </c>
      <c r="W30" s="446"/>
      <c r="X30" s="445">
        <f t="shared" si="7"/>
        <v>16096.800000000001</v>
      </c>
      <c r="Y30" s="444"/>
      <c r="Z30" s="377"/>
      <c r="AA30" s="401"/>
    </row>
    <row r="31" spans="2:27" s="371" customFormat="1" ht="12.75" customHeight="1">
      <c r="B31" s="414" t="s">
        <v>140</v>
      </c>
      <c r="C31" s="461">
        <v>200000</v>
      </c>
      <c r="D31" s="462"/>
      <c r="E31" s="461">
        <v>6670</v>
      </c>
      <c r="F31" s="463"/>
      <c r="G31" s="464">
        <v>195000</v>
      </c>
      <c r="H31" s="463" t="s">
        <v>62</v>
      </c>
      <c r="I31" s="465">
        <v>210000</v>
      </c>
      <c r="J31" s="466">
        <f t="shared" si="0"/>
        <v>18960</v>
      </c>
      <c r="K31" s="474"/>
      <c r="L31" s="475">
        <f t="shared" si="1"/>
        <v>9480</v>
      </c>
      <c r="M31" s="469"/>
      <c r="N31" s="420">
        <f t="shared" si="2"/>
        <v>21980</v>
      </c>
      <c r="O31" s="467"/>
      <c r="P31" s="424">
        <f t="shared" si="3"/>
        <v>10990</v>
      </c>
      <c r="Q31" s="470"/>
      <c r="R31" s="448">
        <f t="shared" si="4"/>
        <v>32824</v>
      </c>
      <c r="S31" s="449"/>
      <c r="T31" s="448">
        <f t="shared" si="5"/>
        <v>16412</v>
      </c>
      <c r="U31" s="450"/>
      <c r="V31" s="448">
        <f t="shared" si="6"/>
        <v>33888</v>
      </c>
      <c r="W31" s="449"/>
      <c r="X31" s="448">
        <f t="shared" si="7"/>
        <v>16944</v>
      </c>
      <c r="Y31" s="432"/>
      <c r="Z31" s="377"/>
      <c r="AA31" s="401"/>
    </row>
    <row r="32" spans="2:27" s="371" customFormat="1" ht="12.75" customHeight="1">
      <c r="B32" s="402" t="s">
        <v>141</v>
      </c>
      <c r="C32" s="451">
        <v>220000</v>
      </c>
      <c r="D32" s="471"/>
      <c r="E32" s="451">
        <v>7330</v>
      </c>
      <c r="F32" s="472"/>
      <c r="G32" s="473">
        <v>210000</v>
      </c>
      <c r="H32" s="472" t="s">
        <v>62</v>
      </c>
      <c r="I32" s="455">
        <v>230000</v>
      </c>
      <c r="J32" s="456">
        <f t="shared" si="0"/>
        <v>20856</v>
      </c>
      <c r="K32" s="476"/>
      <c r="L32" s="477">
        <f t="shared" si="1"/>
        <v>10428</v>
      </c>
      <c r="M32" s="459"/>
      <c r="N32" s="408">
        <f t="shared" si="2"/>
        <v>24178</v>
      </c>
      <c r="O32" s="457"/>
      <c r="P32" s="412">
        <f t="shared" si="3"/>
        <v>12089</v>
      </c>
      <c r="Q32" s="460"/>
      <c r="R32" s="445">
        <f t="shared" si="4"/>
        <v>36106.399999999994</v>
      </c>
      <c r="S32" s="446"/>
      <c r="T32" s="445">
        <f t="shared" si="5"/>
        <v>18053.199999999997</v>
      </c>
      <c r="U32" s="447"/>
      <c r="V32" s="445">
        <f t="shared" si="6"/>
        <v>37276.8</v>
      </c>
      <c r="W32" s="446"/>
      <c r="X32" s="445">
        <f t="shared" si="7"/>
        <v>18638.4</v>
      </c>
      <c r="Y32" s="444"/>
      <c r="Z32" s="377"/>
      <c r="AA32" s="401"/>
    </row>
    <row r="33" spans="2:27" s="371" customFormat="1" ht="12.75" customHeight="1">
      <c r="B33" s="414" t="s">
        <v>142</v>
      </c>
      <c r="C33" s="461">
        <v>240000</v>
      </c>
      <c r="D33" s="462"/>
      <c r="E33" s="461">
        <v>8000</v>
      </c>
      <c r="F33" s="463"/>
      <c r="G33" s="464">
        <v>230000</v>
      </c>
      <c r="H33" s="463" t="s">
        <v>62</v>
      </c>
      <c r="I33" s="465">
        <v>250000</v>
      </c>
      <c r="J33" s="466">
        <f t="shared" si="0"/>
        <v>22752</v>
      </c>
      <c r="K33" s="474"/>
      <c r="L33" s="475">
        <f t="shared" si="1"/>
        <v>11376</v>
      </c>
      <c r="M33" s="469"/>
      <c r="N33" s="420">
        <f t="shared" si="2"/>
        <v>26376</v>
      </c>
      <c r="O33" s="467"/>
      <c r="P33" s="424">
        <f t="shared" si="3"/>
        <v>13188</v>
      </c>
      <c r="Q33" s="470"/>
      <c r="R33" s="448">
        <f t="shared" si="4"/>
        <v>39388.799999999996</v>
      </c>
      <c r="S33" s="449"/>
      <c r="T33" s="448">
        <f t="shared" si="5"/>
        <v>19694.399999999998</v>
      </c>
      <c r="U33" s="450"/>
      <c r="V33" s="448">
        <f t="shared" si="6"/>
        <v>40665.6</v>
      </c>
      <c r="W33" s="449"/>
      <c r="X33" s="448">
        <f t="shared" si="7"/>
        <v>20332.8</v>
      </c>
      <c r="Y33" s="432"/>
      <c r="Z33" s="377"/>
      <c r="AA33" s="401"/>
    </row>
    <row r="34" spans="2:27" s="371" customFormat="1" ht="12.75" customHeight="1">
      <c r="B34" s="402" t="s">
        <v>143</v>
      </c>
      <c r="C34" s="451">
        <v>260000</v>
      </c>
      <c r="D34" s="471"/>
      <c r="E34" s="451">
        <v>8670</v>
      </c>
      <c r="F34" s="472"/>
      <c r="G34" s="473">
        <v>250000</v>
      </c>
      <c r="H34" s="472" t="s">
        <v>62</v>
      </c>
      <c r="I34" s="455">
        <v>270000</v>
      </c>
      <c r="J34" s="456">
        <f t="shared" si="0"/>
        <v>24648</v>
      </c>
      <c r="K34" s="476"/>
      <c r="L34" s="477">
        <f t="shared" si="1"/>
        <v>12324</v>
      </c>
      <c r="M34" s="459"/>
      <c r="N34" s="408">
        <f t="shared" si="2"/>
        <v>28574</v>
      </c>
      <c r="O34" s="457"/>
      <c r="P34" s="412">
        <f t="shared" si="3"/>
        <v>14287</v>
      </c>
      <c r="Q34" s="460"/>
      <c r="R34" s="445">
        <f t="shared" si="4"/>
        <v>42671.2</v>
      </c>
      <c r="S34" s="446"/>
      <c r="T34" s="445">
        <f t="shared" si="5"/>
        <v>21335.6</v>
      </c>
      <c r="U34" s="447"/>
      <c r="V34" s="445">
        <f t="shared" si="6"/>
        <v>44054.4</v>
      </c>
      <c r="W34" s="446"/>
      <c r="X34" s="445">
        <f t="shared" si="7"/>
        <v>22027.2</v>
      </c>
      <c r="Y34" s="444"/>
      <c r="Z34" s="377"/>
      <c r="AA34" s="401"/>
    </row>
    <row r="35" spans="2:27" s="371" customFormat="1" ht="12.75" customHeight="1">
      <c r="B35" s="414" t="s">
        <v>144</v>
      </c>
      <c r="C35" s="461">
        <v>280000</v>
      </c>
      <c r="D35" s="478"/>
      <c r="E35" s="461">
        <v>9330</v>
      </c>
      <c r="F35" s="479"/>
      <c r="G35" s="464">
        <v>270000</v>
      </c>
      <c r="H35" s="479" t="s">
        <v>62</v>
      </c>
      <c r="I35" s="465">
        <v>290000</v>
      </c>
      <c r="J35" s="466">
        <f t="shared" si="0"/>
        <v>26544</v>
      </c>
      <c r="K35" s="474"/>
      <c r="L35" s="475">
        <f t="shared" si="1"/>
        <v>13272</v>
      </c>
      <c r="M35" s="469"/>
      <c r="N35" s="420">
        <f t="shared" si="2"/>
        <v>30772</v>
      </c>
      <c r="O35" s="467"/>
      <c r="P35" s="424">
        <f t="shared" si="3"/>
        <v>15386</v>
      </c>
      <c r="Q35" s="470"/>
      <c r="R35" s="448">
        <f t="shared" si="4"/>
        <v>45953.6</v>
      </c>
      <c r="S35" s="449"/>
      <c r="T35" s="448">
        <f t="shared" si="5"/>
        <v>22976.8</v>
      </c>
      <c r="U35" s="450"/>
      <c r="V35" s="448">
        <f t="shared" si="6"/>
        <v>47443.200000000004</v>
      </c>
      <c r="W35" s="449"/>
      <c r="X35" s="448">
        <f t="shared" si="7"/>
        <v>23721.600000000002</v>
      </c>
      <c r="Y35" s="432"/>
      <c r="Z35" s="377"/>
      <c r="AA35" s="401"/>
    </row>
    <row r="36" spans="2:27" s="371" customFormat="1" ht="12.75" customHeight="1">
      <c r="B36" s="402" t="s">
        <v>145</v>
      </c>
      <c r="C36" s="451">
        <v>300000</v>
      </c>
      <c r="D36" s="471"/>
      <c r="E36" s="451">
        <v>10000</v>
      </c>
      <c r="F36" s="472"/>
      <c r="G36" s="473">
        <v>290000</v>
      </c>
      <c r="H36" s="472" t="s">
        <v>62</v>
      </c>
      <c r="I36" s="455">
        <v>310000</v>
      </c>
      <c r="J36" s="456">
        <f t="shared" si="0"/>
        <v>28440</v>
      </c>
      <c r="K36" s="476"/>
      <c r="L36" s="477">
        <f t="shared" si="1"/>
        <v>14220</v>
      </c>
      <c r="M36" s="459"/>
      <c r="N36" s="408">
        <f t="shared" si="2"/>
        <v>32970</v>
      </c>
      <c r="O36" s="457"/>
      <c r="P36" s="412">
        <f t="shared" si="3"/>
        <v>16485</v>
      </c>
      <c r="Q36" s="460"/>
      <c r="R36" s="445">
        <f t="shared" si="4"/>
        <v>49236</v>
      </c>
      <c r="S36" s="446"/>
      <c r="T36" s="445">
        <f t="shared" si="5"/>
        <v>24618</v>
      </c>
      <c r="U36" s="447"/>
      <c r="V36" s="445">
        <f t="shared" si="6"/>
        <v>50832</v>
      </c>
      <c r="W36" s="446"/>
      <c r="X36" s="445">
        <f t="shared" si="7"/>
        <v>25416</v>
      </c>
      <c r="Y36" s="444"/>
      <c r="Z36" s="377"/>
      <c r="AA36" s="401"/>
    </row>
    <row r="37" spans="2:27" s="371" customFormat="1" ht="12.75" customHeight="1">
      <c r="B37" s="414" t="s">
        <v>146</v>
      </c>
      <c r="C37" s="461">
        <v>320000</v>
      </c>
      <c r="D37" s="462"/>
      <c r="E37" s="461">
        <v>10670</v>
      </c>
      <c r="F37" s="463"/>
      <c r="G37" s="464">
        <v>310000</v>
      </c>
      <c r="H37" s="463" t="s">
        <v>62</v>
      </c>
      <c r="I37" s="465">
        <v>330000</v>
      </c>
      <c r="J37" s="466">
        <f t="shared" si="0"/>
        <v>30336</v>
      </c>
      <c r="K37" s="474"/>
      <c r="L37" s="475">
        <f t="shared" si="1"/>
        <v>15168</v>
      </c>
      <c r="M37" s="469"/>
      <c r="N37" s="420">
        <f t="shared" si="2"/>
        <v>35168</v>
      </c>
      <c r="O37" s="467"/>
      <c r="P37" s="424">
        <f t="shared" si="3"/>
        <v>17584</v>
      </c>
      <c r="Q37" s="470"/>
      <c r="R37" s="448">
        <f t="shared" si="4"/>
        <v>52518.399999999994</v>
      </c>
      <c r="S37" s="449"/>
      <c r="T37" s="448">
        <f t="shared" si="5"/>
        <v>26259.199999999997</v>
      </c>
      <c r="U37" s="450"/>
      <c r="V37" s="448">
        <f t="shared" si="6"/>
        <v>54220.8</v>
      </c>
      <c r="W37" s="449"/>
      <c r="X37" s="448">
        <f t="shared" si="7"/>
        <v>27110.4</v>
      </c>
      <c r="Y37" s="432"/>
      <c r="Z37" s="377"/>
      <c r="AA37" s="401"/>
    </row>
    <row r="38" spans="2:27" s="371" customFormat="1" ht="12.75" customHeight="1">
      <c r="B38" s="402" t="s">
        <v>147</v>
      </c>
      <c r="C38" s="451">
        <v>340000</v>
      </c>
      <c r="D38" s="471"/>
      <c r="E38" s="451">
        <v>11330</v>
      </c>
      <c r="F38" s="472"/>
      <c r="G38" s="473">
        <v>330000</v>
      </c>
      <c r="H38" s="472" t="s">
        <v>62</v>
      </c>
      <c r="I38" s="455">
        <v>350000</v>
      </c>
      <c r="J38" s="456">
        <f t="shared" si="0"/>
        <v>32232</v>
      </c>
      <c r="K38" s="476"/>
      <c r="L38" s="477">
        <f t="shared" si="1"/>
        <v>16116</v>
      </c>
      <c r="M38" s="459"/>
      <c r="N38" s="408">
        <f t="shared" si="2"/>
        <v>37366</v>
      </c>
      <c r="O38" s="457"/>
      <c r="P38" s="412">
        <f t="shared" si="3"/>
        <v>18683</v>
      </c>
      <c r="Q38" s="460"/>
      <c r="R38" s="445">
        <f t="shared" si="4"/>
        <v>55800.799999999996</v>
      </c>
      <c r="S38" s="446"/>
      <c r="T38" s="445">
        <f t="shared" si="5"/>
        <v>27900.399999999998</v>
      </c>
      <c r="U38" s="447"/>
      <c r="V38" s="445">
        <f t="shared" si="6"/>
        <v>57609.600000000006</v>
      </c>
      <c r="W38" s="446"/>
      <c r="X38" s="445">
        <f t="shared" si="7"/>
        <v>28804.800000000003</v>
      </c>
      <c r="Y38" s="444"/>
      <c r="Z38" s="377"/>
      <c r="AA38" s="401"/>
    </row>
    <row r="39" spans="2:27" s="371" customFormat="1" ht="12.75" customHeight="1">
      <c r="B39" s="414" t="s">
        <v>148</v>
      </c>
      <c r="C39" s="461">
        <v>360000</v>
      </c>
      <c r="D39" s="462"/>
      <c r="E39" s="461">
        <v>12000</v>
      </c>
      <c r="F39" s="463"/>
      <c r="G39" s="464">
        <v>350000</v>
      </c>
      <c r="H39" s="463" t="s">
        <v>62</v>
      </c>
      <c r="I39" s="465">
        <v>370000</v>
      </c>
      <c r="J39" s="466">
        <f t="shared" si="0"/>
        <v>34128</v>
      </c>
      <c r="K39" s="474"/>
      <c r="L39" s="475">
        <f t="shared" si="1"/>
        <v>17064</v>
      </c>
      <c r="M39" s="469"/>
      <c r="N39" s="420">
        <f t="shared" si="2"/>
        <v>39564</v>
      </c>
      <c r="O39" s="467"/>
      <c r="P39" s="424">
        <f t="shared" si="3"/>
        <v>19782</v>
      </c>
      <c r="Q39" s="470"/>
      <c r="R39" s="448">
        <f t="shared" si="4"/>
        <v>59083.2</v>
      </c>
      <c r="S39" s="449"/>
      <c r="T39" s="448">
        <f t="shared" si="5"/>
        <v>29541.6</v>
      </c>
      <c r="U39" s="450"/>
      <c r="V39" s="448">
        <f t="shared" si="6"/>
        <v>60998.4</v>
      </c>
      <c r="W39" s="449"/>
      <c r="X39" s="448">
        <f t="shared" si="7"/>
        <v>30499.2</v>
      </c>
      <c r="Y39" s="432"/>
      <c r="Z39" s="377"/>
      <c r="AA39" s="401"/>
    </row>
    <row r="40" spans="2:27" s="371" customFormat="1" ht="12.75" customHeight="1">
      <c r="B40" s="402" t="s">
        <v>149</v>
      </c>
      <c r="C40" s="451">
        <v>380000</v>
      </c>
      <c r="D40" s="471"/>
      <c r="E40" s="451">
        <v>12670</v>
      </c>
      <c r="F40" s="472"/>
      <c r="G40" s="473">
        <v>370000</v>
      </c>
      <c r="H40" s="472" t="s">
        <v>62</v>
      </c>
      <c r="I40" s="455">
        <v>395000</v>
      </c>
      <c r="J40" s="456">
        <f t="shared" si="0"/>
        <v>36024</v>
      </c>
      <c r="K40" s="476"/>
      <c r="L40" s="477">
        <f t="shared" si="1"/>
        <v>18012</v>
      </c>
      <c r="M40" s="459"/>
      <c r="N40" s="408">
        <f t="shared" si="2"/>
        <v>41762</v>
      </c>
      <c r="O40" s="457"/>
      <c r="P40" s="412">
        <f t="shared" si="3"/>
        <v>20881</v>
      </c>
      <c r="Q40" s="460"/>
      <c r="R40" s="445">
        <f t="shared" si="4"/>
        <v>62365.6</v>
      </c>
      <c r="S40" s="446"/>
      <c r="T40" s="445">
        <f t="shared" si="5"/>
        <v>31182.8</v>
      </c>
      <c r="U40" s="447"/>
      <c r="V40" s="445">
        <f t="shared" si="6"/>
        <v>64387.200000000004</v>
      </c>
      <c r="W40" s="446"/>
      <c r="X40" s="445">
        <f t="shared" si="7"/>
        <v>32193.600000000002</v>
      </c>
      <c r="Y40" s="444"/>
      <c r="Z40" s="377"/>
      <c r="AA40" s="401"/>
    </row>
    <row r="41" spans="2:27" s="371" customFormat="1" ht="12.75" customHeight="1">
      <c r="B41" s="414" t="s">
        <v>150</v>
      </c>
      <c r="C41" s="461">
        <v>410000</v>
      </c>
      <c r="D41" s="462"/>
      <c r="E41" s="461">
        <v>13670</v>
      </c>
      <c r="F41" s="463"/>
      <c r="G41" s="464">
        <v>395000</v>
      </c>
      <c r="H41" s="463" t="s">
        <v>62</v>
      </c>
      <c r="I41" s="465">
        <v>425000</v>
      </c>
      <c r="J41" s="466">
        <f t="shared" si="0"/>
        <v>38868</v>
      </c>
      <c r="K41" s="474"/>
      <c r="L41" s="475">
        <f t="shared" si="1"/>
        <v>19434</v>
      </c>
      <c r="M41" s="469"/>
      <c r="N41" s="420">
        <f t="shared" si="2"/>
        <v>45059</v>
      </c>
      <c r="O41" s="467"/>
      <c r="P41" s="424">
        <f t="shared" si="3"/>
        <v>22529.5</v>
      </c>
      <c r="Q41" s="470"/>
      <c r="R41" s="448">
        <f t="shared" si="4"/>
        <v>67289.2</v>
      </c>
      <c r="S41" s="449"/>
      <c r="T41" s="448">
        <f t="shared" si="5"/>
        <v>33644.6</v>
      </c>
      <c r="U41" s="450"/>
      <c r="V41" s="448">
        <f t="shared" si="6"/>
        <v>69470.40000000001</v>
      </c>
      <c r="W41" s="449"/>
      <c r="X41" s="448">
        <f t="shared" si="7"/>
        <v>34735.200000000004</v>
      </c>
      <c r="Y41" s="432"/>
      <c r="Z41" s="377"/>
      <c r="AA41" s="401"/>
    </row>
    <row r="42" spans="2:27" s="371" customFormat="1" ht="12.75" customHeight="1">
      <c r="B42" s="402" t="s">
        <v>151</v>
      </c>
      <c r="C42" s="451">
        <v>440000</v>
      </c>
      <c r="D42" s="471"/>
      <c r="E42" s="451">
        <v>14670</v>
      </c>
      <c r="F42" s="472"/>
      <c r="G42" s="473">
        <v>425000</v>
      </c>
      <c r="H42" s="472" t="s">
        <v>62</v>
      </c>
      <c r="I42" s="455">
        <v>455000</v>
      </c>
      <c r="J42" s="456">
        <f t="shared" si="0"/>
        <v>41712</v>
      </c>
      <c r="K42" s="476"/>
      <c r="L42" s="477">
        <f t="shared" si="1"/>
        <v>20856</v>
      </c>
      <c r="M42" s="459"/>
      <c r="N42" s="408">
        <f t="shared" si="2"/>
        <v>48356</v>
      </c>
      <c r="O42" s="457"/>
      <c r="P42" s="412">
        <f t="shared" si="3"/>
        <v>24178</v>
      </c>
      <c r="Q42" s="460"/>
      <c r="R42" s="445">
        <f t="shared" si="4"/>
        <v>72212.79999999999</v>
      </c>
      <c r="S42" s="446"/>
      <c r="T42" s="445">
        <f t="shared" si="5"/>
        <v>36106.399999999994</v>
      </c>
      <c r="U42" s="447"/>
      <c r="V42" s="445">
        <f t="shared" si="6"/>
        <v>74553.6</v>
      </c>
      <c r="W42" s="446"/>
      <c r="X42" s="445">
        <f t="shared" si="7"/>
        <v>37276.8</v>
      </c>
      <c r="Y42" s="444"/>
      <c r="Z42" s="377"/>
      <c r="AA42" s="401"/>
    </row>
    <row r="43" spans="2:27" s="371" customFormat="1" ht="12.75" customHeight="1">
      <c r="B43" s="414" t="s">
        <v>152</v>
      </c>
      <c r="C43" s="461">
        <v>470000</v>
      </c>
      <c r="D43" s="462"/>
      <c r="E43" s="461">
        <v>15670</v>
      </c>
      <c r="F43" s="463"/>
      <c r="G43" s="464">
        <v>455000</v>
      </c>
      <c r="H43" s="463" t="s">
        <v>62</v>
      </c>
      <c r="I43" s="465">
        <v>485000</v>
      </c>
      <c r="J43" s="466">
        <f t="shared" si="0"/>
        <v>44556</v>
      </c>
      <c r="K43" s="474"/>
      <c r="L43" s="475">
        <f t="shared" si="1"/>
        <v>22278</v>
      </c>
      <c r="M43" s="469"/>
      <c r="N43" s="420">
        <f t="shared" si="2"/>
        <v>51653</v>
      </c>
      <c r="O43" s="467"/>
      <c r="P43" s="424">
        <f t="shared" si="3"/>
        <v>25826.5</v>
      </c>
      <c r="Q43" s="470"/>
      <c r="R43" s="448">
        <f t="shared" si="4"/>
        <v>77136.4</v>
      </c>
      <c r="S43" s="449"/>
      <c r="T43" s="448">
        <f t="shared" si="5"/>
        <v>38568.2</v>
      </c>
      <c r="U43" s="450"/>
      <c r="V43" s="448">
        <f t="shared" si="6"/>
        <v>79636.8</v>
      </c>
      <c r="W43" s="449"/>
      <c r="X43" s="448">
        <f t="shared" si="7"/>
        <v>39818.4</v>
      </c>
      <c r="Y43" s="432"/>
      <c r="Z43" s="377"/>
      <c r="AA43" s="401"/>
    </row>
    <row r="44" spans="2:27" s="371" customFormat="1" ht="12.75" customHeight="1">
      <c r="B44" s="402" t="s">
        <v>153</v>
      </c>
      <c r="C44" s="451">
        <v>500000</v>
      </c>
      <c r="D44" s="471"/>
      <c r="E44" s="451">
        <v>16670</v>
      </c>
      <c r="F44" s="472"/>
      <c r="G44" s="473">
        <v>485000</v>
      </c>
      <c r="H44" s="472" t="s">
        <v>62</v>
      </c>
      <c r="I44" s="455">
        <v>515000</v>
      </c>
      <c r="J44" s="456">
        <f t="shared" si="0"/>
        <v>47400</v>
      </c>
      <c r="K44" s="476"/>
      <c r="L44" s="477">
        <f t="shared" si="1"/>
        <v>23700</v>
      </c>
      <c r="M44" s="459"/>
      <c r="N44" s="408">
        <f t="shared" si="2"/>
        <v>54950</v>
      </c>
      <c r="O44" s="457"/>
      <c r="P44" s="412">
        <f t="shared" si="3"/>
        <v>27475</v>
      </c>
      <c r="Q44" s="480"/>
      <c r="R44" s="445">
        <f t="shared" si="4"/>
        <v>82060</v>
      </c>
      <c r="S44" s="446"/>
      <c r="T44" s="445">
        <f t="shared" si="5"/>
        <v>41030</v>
      </c>
      <c r="U44" s="447"/>
      <c r="V44" s="445">
        <f t="shared" si="6"/>
        <v>84720</v>
      </c>
      <c r="W44" s="446"/>
      <c r="X44" s="445">
        <f t="shared" si="7"/>
        <v>42360</v>
      </c>
      <c r="Y44" s="444"/>
      <c r="Z44" s="377"/>
      <c r="AA44" s="401"/>
    </row>
    <row r="45" spans="2:27" s="371" customFormat="1" ht="12.75" customHeight="1">
      <c r="B45" s="414" t="s">
        <v>154</v>
      </c>
      <c r="C45" s="461">
        <v>530000</v>
      </c>
      <c r="D45" s="462"/>
      <c r="E45" s="461">
        <v>17670</v>
      </c>
      <c r="F45" s="463"/>
      <c r="G45" s="464">
        <v>515000</v>
      </c>
      <c r="H45" s="463" t="s">
        <v>62</v>
      </c>
      <c r="I45" s="465">
        <v>545000</v>
      </c>
      <c r="J45" s="466">
        <f t="shared" si="0"/>
        <v>50244</v>
      </c>
      <c r="K45" s="474"/>
      <c r="L45" s="475">
        <f t="shared" si="1"/>
        <v>25122</v>
      </c>
      <c r="M45" s="469"/>
      <c r="N45" s="420">
        <f t="shared" si="2"/>
        <v>58247</v>
      </c>
      <c r="O45" s="467"/>
      <c r="P45" s="424">
        <f t="shared" si="3"/>
        <v>29123.5</v>
      </c>
      <c r="Q45" s="481"/>
      <c r="R45" s="448">
        <f t="shared" si="4"/>
        <v>86983.59999999999</v>
      </c>
      <c r="S45" s="449"/>
      <c r="T45" s="448">
        <f t="shared" si="5"/>
        <v>43491.799999999996</v>
      </c>
      <c r="U45" s="450"/>
      <c r="V45" s="448">
        <f t="shared" si="6"/>
        <v>89803.2</v>
      </c>
      <c r="W45" s="449"/>
      <c r="X45" s="448">
        <f t="shared" si="7"/>
        <v>44901.6</v>
      </c>
      <c r="Y45" s="432"/>
      <c r="Z45" s="377"/>
      <c r="AA45" s="401"/>
    </row>
    <row r="46" spans="2:27" s="371" customFormat="1" ht="12.75" customHeight="1">
      <c r="B46" s="402" t="s">
        <v>155</v>
      </c>
      <c r="C46" s="451">
        <v>560000</v>
      </c>
      <c r="D46" s="471"/>
      <c r="E46" s="451">
        <v>18670</v>
      </c>
      <c r="F46" s="472"/>
      <c r="G46" s="473">
        <v>545000</v>
      </c>
      <c r="H46" s="472" t="s">
        <v>62</v>
      </c>
      <c r="I46" s="455">
        <v>575000</v>
      </c>
      <c r="J46" s="456">
        <f t="shared" si="0"/>
        <v>53088</v>
      </c>
      <c r="K46" s="476"/>
      <c r="L46" s="477">
        <f t="shared" si="1"/>
        <v>26544</v>
      </c>
      <c r="M46" s="459"/>
      <c r="N46" s="408">
        <f t="shared" si="2"/>
        <v>61544</v>
      </c>
      <c r="O46" s="457"/>
      <c r="P46" s="412">
        <f t="shared" si="3"/>
        <v>30772</v>
      </c>
      <c r="Q46" s="482"/>
      <c r="R46" s="445">
        <f t="shared" si="4"/>
        <v>91907.2</v>
      </c>
      <c r="S46" s="446"/>
      <c r="T46" s="445">
        <f t="shared" si="5"/>
        <v>45953.6</v>
      </c>
      <c r="U46" s="447"/>
      <c r="V46" s="445">
        <f t="shared" si="6"/>
        <v>94886.40000000001</v>
      </c>
      <c r="W46" s="446"/>
      <c r="X46" s="445">
        <f t="shared" si="7"/>
        <v>47443.200000000004</v>
      </c>
      <c r="Y46" s="444"/>
      <c r="Z46" s="377"/>
      <c r="AA46" s="401"/>
    </row>
    <row r="47" spans="2:27" s="371" customFormat="1" ht="12.75" customHeight="1">
      <c r="B47" s="414" t="s">
        <v>156</v>
      </c>
      <c r="C47" s="461">
        <v>590000</v>
      </c>
      <c r="D47" s="462"/>
      <c r="E47" s="461">
        <v>19670</v>
      </c>
      <c r="F47" s="463"/>
      <c r="G47" s="464">
        <v>575000</v>
      </c>
      <c r="H47" s="463" t="s">
        <v>62</v>
      </c>
      <c r="I47" s="465">
        <v>605000</v>
      </c>
      <c r="J47" s="466">
        <f t="shared" si="0"/>
        <v>55932</v>
      </c>
      <c r="K47" s="474"/>
      <c r="L47" s="475">
        <f t="shared" si="1"/>
        <v>27966</v>
      </c>
      <c r="M47" s="469"/>
      <c r="N47" s="420">
        <f t="shared" si="2"/>
        <v>64841</v>
      </c>
      <c r="O47" s="467"/>
      <c r="P47" s="424">
        <f t="shared" si="3"/>
        <v>32420.5</v>
      </c>
      <c r="Q47" s="481"/>
      <c r="R47" s="448">
        <f t="shared" si="4"/>
        <v>96830.79999999999</v>
      </c>
      <c r="S47" s="449"/>
      <c r="T47" s="448">
        <f t="shared" si="5"/>
        <v>48415.399999999994</v>
      </c>
      <c r="U47" s="450"/>
      <c r="V47" s="448">
        <f t="shared" si="6"/>
        <v>99969.6</v>
      </c>
      <c r="W47" s="449"/>
      <c r="X47" s="448">
        <f t="shared" si="7"/>
        <v>49984.8</v>
      </c>
      <c r="Y47" s="432"/>
      <c r="Z47" s="377"/>
      <c r="AA47" s="401"/>
    </row>
    <row r="48" spans="2:27" s="371" customFormat="1" ht="12.75" customHeight="1" thickBot="1">
      <c r="B48" s="402" t="s">
        <v>157</v>
      </c>
      <c r="C48" s="451">
        <v>620000</v>
      </c>
      <c r="D48" s="471"/>
      <c r="E48" s="451">
        <v>20670</v>
      </c>
      <c r="F48" s="472"/>
      <c r="G48" s="473">
        <v>605000</v>
      </c>
      <c r="H48" s="472" t="s">
        <v>62</v>
      </c>
      <c r="I48" s="455">
        <v>635000</v>
      </c>
      <c r="J48" s="456">
        <f t="shared" si="0"/>
        <v>58776</v>
      </c>
      <c r="K48" s="476"/>
      <c r="L48" s="477">
        <f t="shared" si="1"/>
        <v>29388</v>
      </c>
      <c r="M48" s="459"/>
      <c r="N48" s="408">
        <f t="shared" si="2"/>
        <v>68138</v>
      </c>
      <c r="O48" s="457"/>
      <c r="P48" s="412">
        <f t="shared" si="3"/>
        <v>34069</v>
      </c>
      <c r="Q48" s="480"/>
      <c r="R48" s="483">
        <f t="shared" si="4"/>
        <v>101754.4</v>
      </c>
      <c r="S48" s="484"/>
      <c r="T48" s="483">
        <f t="shared" si="5"/>
        <v>50877.2</v>
      </c>
      <c r="U48" s="485"/>
      <c r="V48" s="483">
        <f t="shared" si="6"/>
        <v>105052.8</v>
      </c>
      <c r="W48" s="484"/>
      <c r="X48" s="483">
        <f t="shared" si="7"/>
        <v>52526.4</v>
      </c>
      <c r="Y48" s="486"/>
      <c r="Z48" s="377"/>
      <c r="AA48" s="401"/>
    </row>
    <row r="49" spans="2:27" s="371" customFormat="1" ht="12.75" customHeight="1" thickTop="1">
      <c r="B49" s="487">
        <v>35</v>
      </c>
      <c r="C49" s="461">
        <v>650000</v>
      </c>
      <c r="D49" s="462"/>
      <c r="E49" s="461">
        <v>21670</v>
      </c>
      <c r="F49" s="463"/>
      <c r="G49" s="464">
        <v>635000</v>
      </c>
      <c r="H49" s="463" t="s">
        <v>62</v>
      </c>
      <c r="I49" s="465">
        <v>665000</v>
      </c>
      <c r="J49" s="466">
        <f t="shared" si="0"/>
        <v>61620</v>
      </c>
      <c r="K49" s="474"/>
      <c r="L49" s="475">
        <f t="shared" si="1"/>
        <v>30810</v>
      </c>
      <c r="M49" s="469"/>
      <c r="N49" s="420">
        <f t="shared" si="2"/>
        <v>71435</v>
      </c>
      <c r="O49" s="467"/>
      <c r="P49" s="424">
        <f t="shared" si="3"/>
        <v>35717.5</v>
      </c>
      <c r="Q49" s="488"/>
      <c r="R49" s="1396" t="s">
        <v>225</v>
      </c>
      <c r="S49" s="1397"/>
      <c r="T49" s="1397"/>
      <c r="U49" s="1397"/>
      <c r="V49" s="1397"/>
      <c r="W49" s="1397"/>
      <c r="X49" s="1397"/>
      <c r="Y49" s="1397"/>
      <c r="Z49" s="401"/>
      <c r="AA49" s="401"/>
    </row>
    <row r="50" spans="2:27" s="371" customFormat="1" ht="12.75" customHeight="1">
      <c r="B50" s="489">
        <v>36</v>
      </c>
      <c r="C50" s="451">
        <v>680000</v>
      </c>
      <c r="D50" s="471"/>
      <c r="E50" s="451">
        <v>22670</v>
      </c>
      <c r="F50" s="472"/>
      <c r="G50" s="473">
        <v>665000</v>
      </c>
      <c r="H50" s="472" t="s">
        <v>62</v>
      </c>
      <c r="I50" s="455">
        <v>695000</v>
      </c>
      <c r="J50" s="456">
        <f t="shared" si="0"/>
        <v>64464</v>
      </c>
      <c r="K50" s="476"/>
      <c r="L50" s="477">
        <f t="shared" si="1"/>
        <v>32232</v>
      </c>
      <c r="M50" s="459"/>
      <c r="N50" s="408">
        <f t="shared" si="2"/>
        <v>74732</v>
      </c>
      <c r="O50" s="457"/>
      <c r="P50" s="412">
        <f t="shared" si="3"/>
        <v>37366</v>
      </c>
      <c r="Q50" s="482"/>
      <c r="R50" s="1398"/>
      <c r="S50" s="1398"/>
      <c r="T50" s="1398"/>
      <c r="U50" s="1398"/>
      <c r="V50" s="1398"/>
      <c r="W50" s="1398"/>
      <c r="X50" s="1398"/>
      <c r="Y50" s="1398"/>
      <c r="Z50" s="401"/>
      <c r="AA50" s="401"/>
    </row>
    <row r="51" spans="2:26" s="371" customFormat="1" ht="12.75" customHeight="1">
      <c r="B51" s="487">
        <v>37</v>
      </c>
      <c r="C51" s="461">
        <v>710000</v>
      </c>
      <c r="D51" s="462"/>
      <c r="E51" s="461">
        <v>23670</v>
      </c>
      <c r="F51" s="463"/>
      <c r="G51" s="464">
        <v>695000</v>
      </c>
      <c r="H51" s="463" t="s">
        <v>62</v>
      </c>
      <c r="I51" s="465">
        <v>730000</v>
      </c>
      <c r="J51" s="466">
        <f t="shared" si="0"/>
        <v>67308</v>
      </c>
      <c r="K51" s="474"/>
      <c r="L51" s="475">
        <f t="shared" si="1"/>
        <v>33654</v>
      </c>
      <c r="M51" s="469"/>
      <c r="N51" s="420">
        <f t="shared" si="2"/>
        <v>78029</v>
      </c>
      <c r="O51" s="467"/>
      <c r="P51" s="424">
        <f t="shared" si="3"/>
        <v>39014.5</v>
      </c>
      <c r="Q51" s="481"/>
      <c r="R51" s="1398"/>
      <c r="S51" s="1398"/>
      <c r="T51" s="1398"/>
      <c r="U51" s="1398"/>
      <c r="V51" s="1398"/>
      <c r="W51" s="1398"/>
      <c r="X51" s="1398"/>
      <c r="Y51" s="1398"/>
      <c r="Z51" s="401"/>
    </row>
    <row r="52" spans="2:26" s="371" customFormat="1" ht="12.75" customHeight="1">
      <c r="B52" s="489">
        <v>38</v>
      </c>
      <c r="C52" s="451">
        <v>750000</v>
      </c>
      <c r="D52" s="471"/>
      <c r="E52" s="451">
        <v>25000</v>
      </c>
      <c r="F52" s="472"/>
      <c r="G52" s="473">
        <v>730000</v>
      </c>
      <c r="H52" s="472" t="s">
        <v>62</v>
      </c>
      <c r="I52" s="455">
        <v>770000</v>
      </c>
      <c r="J52" s="456">
        <f t="shared" si="0"/>
        <v>71100</v>
      </c>
      <c r="K52" s="476"/>
      <c r="L52" s="477">
        <f t="shared" si="1"/>
        <v>35550</v>
      </c>
      <c r="M52" s="459"/>
      <c r="N52" s="408">
        <f t="shared" si="2"/>
        <v>82425</v>
      </c>
      <c r="O52" s="457"/>
      <c r="P52" s="412">
        <f t="shared" si="3"/>
        <v>41212.5</v>
      </c>
      <c r="Q52" s="482"/>
      <c r="R52" s="1398"/>
      <c r="S52" s="1398"/>
      <c r="T52" s="1398"/>
      <c r="U52" s="1398"/>
      <c r="V52" s="1398"/>
      <c r="W52" s="1398"/>
      <c r="X52" s="1398"/>
      <c r="Y52" s="1398"/>
      <c r="Z52" s="401"/>
    </row>
    <row r="53" spans="2:26" s="371" customFormat="1" ht="12.75" customHeight="1">
      <c r="B53" s="487">
        <v>39</v>
      </c>
      <c r="C53" s="461">
        <v>790000</v>
      </c>
      <c r="D53" s="462"/>
      <c r="E53" s="461">
        <v>26330</v>
      </c>
      <c r="F53" s="463"/>
      <c r="G53" s="464">
        <v>770000</v>
      </c>
      <c r="H53" s="463" t="s">
        <v>62</v>
      </c>
      <c r="I53" s="465">
        <v>810000</v>
      </c>
      <c r="J53" s="466">
        <f t="shared" si="0"/>
        <v>74892</v>
      </c>
      <c r="K53" s="474"/>
      <c r="L53" s="475">
        <f t="shared" si="1"/>
        <v>37446</v>
      </c>
      <c r="M53" s="469"/>
      <c r="N53" s="420">
        <f t="shared" si="2"/>
        <v>86821</v>
      </c>
      <c r="O53" s="467"/>
      <c r="P53" s="424">
        <f t="shared" si="3"/>
        <v>43410.5</v>
      </c>
      <c r="Q53" s="481"/>
      <c r="R53" s="1398"/>
      <c r="S53" s="1398"/>
      <c r="T53" s="1398"/>
      <c r="U53" s="1398"/>
      <c r="V53" s="1398"/>
      <c r="W53" s="1398"/>
      <c r="X53" s="1398"/>
      <c r="Y53" s="1398"/>
      <c r="Z53" s="401"/>
    </row>
    <row r="54" spans="2:26" s="371" customFormat="1" ht="12.75" customHeight="1">
      <c r="B54" s="489">
        <v>40</v>
      </c>
      <c r="C54" s="451">
        <v>830000</v>
      </c>
      <c r="D54" s="471"/>
      <c r="E54" s="451">
        <v>27670</v>
      </c>
      <c r="F54" s="472"/>
      <c r="G54" s="473">
        <v>810000</v>
      </c>
      <c r="H54" s="472" t="s">
        <v>62</v>
      </c>
      <c r="I54" s="455">
        <v>855000</v>
      </c>
      <c r="J54" s="456">
        <f t="shared" si="0"/>
        <v>78684</v>
      </c>
      <c r="K54" s="476"/>
      <c r="L54" s="477">
        <f t="shared" si="1"/>
        <v>39342</v>
      </c>
      <c r="M54" s="459"/>
      <c r="N54" s="408">
        <f t="shared" si="2"/>
        <v>91217</v>
      </c>
      <c r="O54" s="457"/>
      <c r="P54" s="412">
        <f t="shared" si="3"/>
        <v>45608.5</v>
      </c>
      <c r="Q54" s="482"/>
      <c r="R54" s="1398"/>
      <c r="S54" s="1398"/>
      <c r="T54" s="1398"/>
      <c r="U54" s="1398"/>
      <c r="V54" s="1398"/>
      <c r="W54" s="1398"/>
      <c r="X54" s="1398"/>
      <c r="Y54" s="1398"/>
      <c r="Z54" s="401"/>
    </row>
    <row r="55" spans="2:26" s="371" customFormat="1" ht="12.75" customHeight="1">
      <c r="B55" s="487">
        <v>41</v>
      </c>
      <c r="C55" s="390">
        <v>880000</v>
      </c>
      <c r="D55" s="490"/>
      <c r="E55" s="390">
        <v>29330</v>
      </c>
      <c r="F55" s="491"/>
      <c r="G55" s="492">
        <v>855000</v>
      </c>
      <c r="H55" s="491" t="s">
        <v>62</v>
      </c>
      <c r="I55" s="493">
        <v>905000</v>
      </c>
      <c r="J55" s="494">
        <f t="shared" si="0"/>
        <v>83424</v>
      </c>
      <c r="K55" s="393"/>
      <c r="L55" s="495">
        <f t="shared" si="1"/>
        <v>41712</v>
      </c>
      <c r="M55" s="496"/>
      <c r="N55" s="420">
        <f t="shared" si="2"/>
        <v>96712</v>
      </c>
      <c r="O55" s="497"/>
      <c r="P55" s="424">
        <f t="shared" si="3"/>
        <v>48356</v>
      </c>
      <c r="Q55" s="498"/>
      <c r="R55" s="1398"/>
      <c r="S55" s="1398"/>
      <c r="T55" s="1398"/>
      <c r="U55" s="1398"/>
      <c r="V55" s="1398"/>
      <c r="W55" s="1398"/>
      <c r="X55" s="1398"/>
      <c r="Y55" s="1398"/>
      <c r="Z55" s="401"/>
    </row>
    <row r="56" spans="2:26" s="371" customFormat="1" ht="12.75" customHeight="1">
      <c r="B56" s="489">
        <v>42</v>
      </c>
      <c r="C56" s="403">
        <v>930000</v>
      </c>
      <c r="D56" s="404"/>
      <c r="E56" s="403">
        <v>31000</v>
      </c>
      <c r="F56" s="407"/>
      <c r="G56" s="438">
        <v>905000</v>
      </c>
      <c r="H56" s="407" t="s">
        <v>62</v>
      </c>
      <c r="I56" s="439">
        <v>955000</v>
      </c>
      <c r="J56" s="440">
        <f t="shared" si="0"/>
        <v>88164</v>
      </c>
      <c r="K56" s="406"/>
      <c r="L56" s="499">
        <f t="shared" si="1"/>
        <v>44082</v>
      </c>
      <c r="M56" s="443"/>
      <c r="N56" s="408">
        <f t="shared" si="2"/>
        <v>102207</v>
      </c>
      <c r="O56" s="441"/>
      <c r="P56" s="412">
        <f t="shared" si="3"/>
        <v>51103.5</v>
      </c>
      <c r="Q56" s="500"/>
      <c r="R56" s="1398"/>
      <c r="S56" s="1398"/>
      <c r="T56" s="1398"/>
      <c r="U56" s="1398"/>
      <c r="V56" s="1398"/>
      <c r="W56" s="1398"/>
      <c r="X56" s="1398"/>
      <c r="Y56" s="1398"/>
      <c r="Z56" s="401"/>
    </row>
    <row r="57" spans="2:49" s="371" customFormat="1" ht="12.75" customHeight="1">
      <c r="B57" s="501">
        <v>43</v>
      </c>
      <c r="C57" s="415">
        <v>980000</v>
      </c>
      <c r="D57" s="416"/>
      <c r="E57" s="415">
        <v>32670</v>
      </c>
      <c r="F57" s="419"/>
      <c r="G57" s="426">
        <v>955000</v>
      </c>
      <c r="H57" s="419" t="s">
        <v>62</v>
      </c>
      <c r="I57" s="427">
        <v>1005000</v>
      </c>
      <c r="J57" s="428">
        <f t="shared" si="0"/>
        <v>92904</v>
      </c>
      <c r="K57" s="429"/>
      <c r="L57" s="430">
        <f t="shared" si="1"/>
        <v>46452</v>
      </c>
      <c r="M57" s="431"/>
      <c r="N57" s="420">
        <f t="shared" si="2"/>
        <v>107702</v>
      </c>
      <c r="O57" s="429"/>
      <c r="P57" s="424">
        <f t="shared" si="3"/>
        <v>53851</v>
      </c>
      <c r="Q57" s="502"/>
      <c r="R57" s="1398"/>
      <c r="S57" s="1398"/>
      <c r="T57" s="1398"/>
      <c r="U57" s="1398"/>
      <c r="V57" s="1398"/>
      <c r="W57" s="1398"/>
      <c r="X57" s="1398"/>
      <c r="Y57" s="1398"/>
      <c r="Z57" s="37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row>
    <row r="58" spans="2:49" s="371" customFormat="1" ht="12.75" customHeight="1">
      <c r="B58" s="503">
        <v>44</v>
      </c>
      <c r="C58" s="406">
        <v>1030000</v>
      </c>
      <c r="D58" s="443"/>
      <c r="E58" s="406">
        <v>34330</v>
      </c>
      <c r="F58" s="411"/>
      <c r="G58" s="406">
        <v>1005000</v>
      </c>
      <c r="H58" s="407" t="s">
        <v>62</v>
      </c>
      <c r="I58" s="405">
        <v>1055000</v>
      </c>
      <c r="J58" s="440">
        <f t="shared" si="0"/>
        <v>97644</v>
      </c>
      <c r="K58" s="441"/>
      <c r="L58" s="442">
        <f t="shared" si="1"/>
        <v>48822</v>
      </c>
      <c r="M58" s="443"/>
      <c r="N58" s="408">
        <f t="shared" si="2"/>
        <v>113197</v>
      </c>
      <c r="O58" s="441"/>
      <c r="P58" s="412">
        <f t="shared" si="3"/>
        <v>56598.5</v>
      </c>
      <c r="Q58" s="500"/>
      <c r="R58" s="1398"/>
      <c r="S58" s="1398"/>
      <c r="T58" s="1398"/>
      <c r="U58" s="1398"/>
      <c r="V58" s="1398"/>
      <c r="W58" s="1398"/>
      <c r="X58" s="1398"/>
      <c r="Y58" s="1398"/>
      <c r="Z58" s="37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row>
    <row r="59" spans="2:49" s="371" customFormat="1" ht="12.75" customHeight="1">
      <c r="B59" s="504">
        <v>45</v>
      </c>
      <c r="C59" s="418">
        <v>1090000</v>
      </c>
      <c r="D59" s="431"/>
      <c r="E59" s="418">
        <v>36330</v>
      </c>
      <c r="F59" s="423"/>
      <c r="G59" s="418">
        <v>1055000</v>
      </c>
      <c r="H59" s="419" t="s">
        <v>62</v>
      </c>
      <c r="I59" s="417">
        <v>1115000</v>
      </c>
      <c r="J59" s="428">
        <f t="shared" si="0"/>
        <v>103332</v>
      </c>
      <c r="K59" s="429"/>
      <c r="L59" s="430">
        <f t="shared" si="1"/>
        <v>51666</v>
      </c>
      <c r="M59" s="431"/>
      <c r="N59" s="420">
        <f t="shared" si="2"/>
        <v>119791</v>
      </c>
      <c r="O59" s="429"/>
      <c r="P59" s="424">
        <f t="shared" si="3"/>
        <v>59895.5</v>
      </c>
      <c r="Q59" s="502"/>
      <c r="R59" s="1398"/>
      <c r="S59" s="1398"/>
      <c r="T59" s="1398"/>
      <c r="U59" s="1398"/>
      <c r="V59" s="1398"/>
      <c r="W59" s="1398"/>
      <c r="X59" s="1398"/>
      <c r="Y59" s="1398"/>
      <c r="Z59" s="37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row>
    <row r="60" spans="2:49" s="371" customFormat="1" ht="12.75" customHeight="1">
      <c r="B60" s="503">
        <v>46</v>
      </c>
      <c r="C60" s="406">
        <v>1150000</v>
      </c>
      <c r="D60" s="443"/>
      <c r="E60" s="406">
        <v>38330</v>
      </c>
      <c r="F60" s="411"/>
      <c r="G60" s="406">
        <v>1115000</v>
      </c>
      <c r="H60" s="407" t="s">
        <v>62</v>
      </c>
      <c r="I60" s="405">
        <v>1175000</v>
      </c>
      <c r="J60" s="440">
        <f t="shared" si="0"/>
        <v>109020</v>
      </c>
      <c r="K60" s="441"/>
      <c r="L60" s="442">
        <f t="shared" si="1"/>
        <v>54510</v>
      </c>
      <c r="M60" s="443"/>
      <c r="N60" s="408">
        <f t="shared" si="2"/>
        <v>126385</v>
      </c>
      <c r="O60" s="441"/>
      <c r="P60" s="412">
        <f t="shared" si="3"/>
        <v>63192.5</v>
      </c>
      <c r="Q60" s="444"/>
      <c r="R60" s="1398"/>
      <c r="S60" s="1398"/>
      <c r="T60" s="1398"/>
      <c r="U60" s="1398"/>
      <c r="V60" s="1398"/>
      <c r="W60" s="1398"/>
      <c r="X60" s="1398"/>
      <c r="Y60" s="1398"/>
      <c r="Z60" s="37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row>
    <row r="61" spans="2:49" s="371" customFormat="1" ht="12.75" customHeight="1" thickBot="1">
      <c r="B61" s="505">
        <v>47</v>
      </c>
      <c r="C61" s="506">
        <v>1210000</v>
      </c>
      <c r="D61" s="507"/>
      <c r="E61" s="506">
        <v>40330</v>
      </c>
      <c r="F61" s="508"/>
      <c r="G61" s="506">
        <v>1175000</v>
      </c>
      <c r="H61" s="509" t="s">
        <v>62</v>
      </c>
      <c r="I61" s="510"/>
      <c r="J61" s="511">
        <f t="shared" si="0"/>
        <v>114708</v>
      </c>
      <c r="K61" s="512"/>
      <c r="L61" s="513">
        <f t="shared" si="1"/>
        <v>57354</v>
      </c>
      <c r="M61" s="507"/>
      <c r="N61" s="514">
        <f t="shared" si="2"/>
        <v>132979</v>
      </c>
      <c r="O61" s="512"/>
      <c r="P61" s="515">
        <f t="shared" si="3"/>
        <v>66489.5</v>
      </c>
      <c r="Q61" s="516"/>
      <c r="R61" s="1398"/>
      <c r="S61" s="1398"/>
      <c r="T61" s="1398"/>
      <c r="U61" s="1398"/>
      <c r="V61" s="1398"/>
      <c r="W61" s="1398"/>
      <c r="X61" s="1398"/>
      <c r="Y61" s="1398"/>
      <c r="Z61" s="37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row>
    <row r="62" spans="2:26" s="371" customFormat="1" ht="5.25" customHeight="1" thickTop="1">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row>
    <row r="63" spans="1:26" s="371" customFormat="1" ht="12.75" customHeight="1">
      <c r="A63" s="1399">
        <f>J10</f>
        <v>0.0948</v>
      </c>
      <c r="B63" s="1399"/>
      <c r="C63" s="1399"/>
      <c r="D63" s="1399"/>
      <c r="E63" s="1399"/>
      <c r="F63" s="1399"/>
      <c r="G63" s="1399"/>
      <c r="H63" s="1399"/>
      <c r="I63" s="1399"/>
      <c r="J63" s="1399"/>
      <c r="K63" s="1399"/>
      <c r="L63" s="1399"/>
      <c r="M63" s="1399"/>
      <c r="N63" s="1399"/>
      <c r="O63" s="1399"/>
      <c r="P63" s="1399"/>
      <c r="Q63" s="1399"/>
      <c r="R63" s="1399"/>
      <c r="S63" s="1399"/>
      <c r="T63" s="1399"/>
      <c r="U63" s="1399"/>
      <c r="V63" s="1399"/>
      <c r="W63" s="1399"/>
      <c r="X63" s="1399"/>
      <c r="Y63" s="1399"/>
      <c r="Z63" s="1399"/>
    </row>
    <row r="64" spans="1:26" s="371" customFormat="1" ht="3" customHeight="1">
      <c r="A64" s="518"/>
      <c r="B64" s="519" t="s">
        <v>52</v>
      </c>
      <c r="C64" s="519"/>
      <c r="D64" s="519"/>
      <c r="E64" s="519"/>
      <c r="F64" s="519"/>
      <c r="G64" s="519"/>
      <c r="H64" s="519"/>
      <c r="I64" s="519"/>
      <c r="J64" s="519"/>
      <c r="K64" s="519"/>
      <c r="L64" s="519"/>
      <c r="M64" s="519"/>
      <c r="N64" s="519"/>
      <c r="O64" s="519"/>
      <c r="P64" s="519"/>
      <c r="Q64" s="519"/>
      <c r="R64" s="519"/>
      <c r="S64" s="519"/>
      <c r="T64" s="519"/>
      <c r="U64" s="519"/>
      <c r="V64" s="519"/>
      <c r="W64" s="519"/>
      <c r="X64" s="519"/>
      <c r="Y64" s="519"/>
      <c r="Z64" s="519"/>
    </row>
    <row r="65" spans="1:26" s="371" customFormat="1" ht="12.75" customHeight="1">
      <c r="A65" s="1393" t="s">
        <v>159</v>
      </c>
      <c r="B65" s="1393"/>
      <c r="C65" s="1393"/>
      <c r="D65" s="1393"/>
      <c r="E65" s="1393"/>
      <c r="F65" s="1393"/>
      <c r="G65" s="1393"/>
      <c r="H65" s="1393"/>
      <c r="I65" s="1393"/>
      <c r="J65" s="1393"/>
      <c r="K65" s="1393"/>
      <c r="L65" s="1393"/>
      <c r="M65" s="1393"/>
      <c r="N65" s="1393"/>
      <c r="O65" s="1393"/>
      <c r="P65" s="1393"/>
      <c r="Q65" s="1393"/>
      <c r="R65" s="1393"/>
      <c r="S65" s="1393"/>
      <c r="T65" s="1393"/>
      <c r="U65" s="1393"/>
      <c r="V65" s="1393"/>
      <c r="W65" s="1393"/>
      <c r="X65" s="1393"/>
      <c r="Y65" s="1393"/>
      <c r="Z65" s="519"/>
    </row>
    <row r="66" spans="1:26" s="371" customFormat="1" ht="12.75" customHeight="1">
      <c r="A66" s="1400" t="s">
        <v>160</v>
      </c>
      <c r="B66" s="1400"/>
      <c r="C66" s="1400"/>
      <c r="D66" s="1400"/>
      <c r="E66" s="1400"/>
      <c r="F66" s="1400"/>
      <c r="G66" s="1400"/>
      <c r="H66" s="1400"/>
      <c r="I66" s="1400"/>
      <c r="J66" s="1400"/>
      <c r="K66" s="1400"/>
      <c r="L66" s="1400"/>
      <c r="M66" s="1400"/>
      <c r="N66" s="1400"/>
      <c r="O66" s="1400"/>
      <c r="P66" s="1400"/>
      <c r="Q66" s="1400"/>
      <c r="R66" s="1400"/>
      <c r="S66" s="1400"/>
      <c r="T66" s="1400"/>
      <c r="U66" s="1400"/>
      <c r="V66" s="1400"/>
      <c r="W66" s="1400"/>
      <c r="X66" s="1400"/>
      <c r="Y66" s="1400"/>
      <c r="Z66" s="519"/>
    </row>
    <row r="67" spans="1:26" s="371" customFormat="1" ht="12.75" customHeight="1">
      <c r="A67" s="1401" t="s">
        <v>161</v>
      </c>
      <c r="B67" s="1402"/>
      <c r="C67" s="1402"/>
      <c r="D67" s="1402"/>
      <c r="E67" s="1402"/>
      <c r="F67" s="1402"/>
      <c r="G67" s="1402"/>
      <c r="H67" s="1402"/>
      <c r="I67" s="1402"/>
      <c r="J67" s="1402"/>
      <c r="K67" s="1402"/>
      <c r="L67" s="1402"/>
      <c r="M67" s="1402"/>
      <c r="N67" s="1402"/>
      <c r="O67" s="1402"/>
      <c r="P67" s="1402"/>
      <c r="Q67" s="1402"/>
      <c r="R67" s="1402"/>
      <c r="S67" s="1402"/>
      <c r="T67" s="1402"/>
      <c r="U67" s="1402"/>
      <c r="V67" s="1402"/>
      <c r="W67" s="1402"/>
      <c r="X67" s="1402"/>
      <c r="Y67" s="1402"/>
      <c r="Z67" s="519"/>
    </row>
    <row r="68" spans="1:26" s="371" customFormat="1" ht="3" customHeight="1">
      <c r="A68" s="518"/>
      <c r="B68" s="519" t="s">
        <v>52</v>
      </c>
      <c r="C68" s="519"/>
      <c r="D68" s="519"/>
      <c r="E68" s="519"/>
      <c r="F68" s="519"/>
      <c r="G68" s="519"/>
      <c r="H68" s="519"/>
      <c r="I68" s="519"/>
      <c r="J68" s="519"/>
      <c r="K68" s="519"/>
      <c r="L68" s="519"/>
      <c r="M68" s="519"/>
      <c r="N68" s="519"/>
      <c r="O68" s="519"/>
      <c r="P68" s="519"/>
      <c r="Q68" s="519"/>
      <c r="R68" s="519"/>
      <c r="S68" s="519"/>
      <c r="T68" s="519"/>
      <c r="U68" s="519"/>
      <c r="V68" s="519"/>
      <c r="W68" s="519"/>
      <c r="X68" s="519"/>
      <c r="Y68" s="519"/>
      <c r="Z68" s="519"/>
    </row>
    <row r="69" spans="1:26" s="371" customFormat="1" ht="12.75" customHeight="1">
      <c r="A69" s="1393" t="s">
        <v>226</v>
      </c>
      <c r="B69" s="1393"/>
      <c r="C69" s="1393"/>
      <c r="D69" s="1393"/>
      <c r="E69" s="1393"/>
      <c r="F69" s="1393"/>
      <c r="G69" s="1393"/>
      <c r="H69" s="1393"/>
      <c r="I69" s="1393"/>
      <c r="J69" s="1393"/>
      <c r="K69" s="1393"/>
      <c r="L69" s="1393"/>
      <c r="M69" s="1393"/>
      <c r="N69" s="1393"/>
      <c r="O69" s="1393"/>
      <c r="P69" s="1393"/>
      <c r="Q69" s="1393"/>
      <c r="R69" s="1393"/>
      <c r="S69" s="1393"/>
      <c r="T69" s="1393"/>
      <c r="U69" s="1393"/>
      <c r="V69" s="1393"/>
      <c r="W69" s="1393"/>
      <c r="X69" s="1393"/>
      <c r="Y69" s="1393"/>
      <c r="Z69" s="519"/>
    </row>
    <row r="70" spans="1:26" s="371" customFormat="1" ht="3" customHeight="1">
      <c r="A70" s="518"/>
      <c r="B70" s="519"/>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9"/>
    </row>
    <row r="71" spans="1:26" s="371" customFormat="1" ht="12.75" customHeight="1">
      <c r="A71" s="1393" t="s">
        <v>163</v>
      </c>
      <c r="B71" s="1395"/>
      <c r="C71" s="1395"/>
      <c r="D71" s="1395"/>
      <c r="E71" s="1395"/>
      <c r="F71" s="1395"/>
      <c r="G71" s="1395"/>
      <c r="H71" s="1395"/>
      <c r="I71" s="1395"/>
      <c r="J71" s="1395"/>
      <c r="K71" s="1395"/>
      <c r="L71" s="1395"/>
      <c r="M71" s="1395"/>
      <c r="N71" s="1395"/>
      <c r="O71" s="1395"/>
      <c r="P71" s="1395"/>
      <c r="Q71" s="1395"/>
      <c r="R71" s="520"/>
      <c r="S71" s="520"/>
      <c r="T71" s="520"/>
      <c r="U71" s="520"/>
      <c r="V71" s="520"/>
      <c r="W71" s="520"/>
      <c r="X71" s="520"/>
      <c r="Y71" s="520"/>
      <c r="Z71" s="518"/>
    </row>
    <row r="72" spans="1:25" s="371" customFormat="1" ht="12.75" customHeight="1">
      <c r="A72" s="1389" t="s">
        <v>164</v>
      </c>
      <c r="B72" s="1389"/>
      <c r="C72" s="1389"/>
      <c r="D72" s="1389"/>
      <c r="E72" s="1389"/>
      <c r="F72" s="1389"/>
      <c r="G72" s="1389"/>
      <c r="H72" s="1389"/>
      <c r="I72" s="1389"/>
      <c r="J72" s="1389"/>
      <c r="K72" s="1389"/>
      <c r="L72" s="1389"/>
      <c r="M72" s="1389"/>
      <c r="N72" s="1389"/>
      <c r="O72" s="1389"/>
      <c r="P72" s="1389"/>
      <c r="Q72" s="1389"/>
      <c r="R72" s="1389"/>
      <c r="S72" s="1389"/>
      <c r="T72" s="1389"/>
      <c r="U72" s="1389"/>
      <c r="V72" s="1394"/>
      <c r="W72" s="1394"/>
      <c r="X72" s="1394"/>
      <c r="Y72" s="1394"/>
    </row>
    <row r="73" spans="1:25" s="371" customFormat="1" ht="12.75" customHeight="1">
      <c r="A73" s="1389" t="s">
        <v>165</v>
      </c>
      <c r="B73" s="1389"/>
      <c r="C73" s="1389"/>
      <c r="D73" s="1389"/>
      <c r="E73" s="1389"/>
      <c r="F73" s="1389"/>
      <c r="G73" s="1389"/>
      <c r="H73" s="1389"/>
      <c r="I73" s="1389"/>
      <c r="J73" s="1389"/>
      <c r="K73" s="1389"/>
      <c r="L73" s="1389"/>
      <c r="M73" s="1389"/>
      <c r="N73" s="1389"/>
      <c r="O73" s="1389"/>
      <c r="P73" s="1389"/>
      <c r="Q73" s="1389"/>
      <c r="R73" s="1389"/>
      <c r="S73" s="1389"/>
      <c r="T73" s="1389"/>
      <c r="U73" s="1389"/>
      <c r="V73" s="1394"/>
      <c r="W73" s="1394"/>
      <c r="X73" s="1394"/>
      <c r="Y73" s="1394"/>
    </row>
    <row r="74" spans="1:25" s="371" customFormat="1" ht="12.75" customHeight="1">
      <c r="A74" s="1389" t="s">
        <v>166</v>
      </c>
      <c r="B74" s="1389"/>
      <c r="C74" s="1389"/>
      <c r="D74" s="1389"/>
      <c r="E74" s="1389"/>
      <c r="F74" s="1389"/>
      <c r="G74" s="1389"/>
      <c r="H74" s="1389"/>
      <c r="I74" s="1389"/>
      <c r="J74" s="1389"/>
      <c r="K74" s="1389"/>
      <c r="L74" s="1389"/>
      <c r="M74" s="1389"/>
      <c r="N74" s="1389"/>
      <c r="O74" s="1389"/>
      <c r="P74" s="1389"/>
      <c r="Q74" s="1389"/>
      <c r="R74" s="1389"/>
      <c r="S74" s="1389"/>
      <c r="T74" s="1389"/>
      <c r="U74" s="1389"/>
      <c r="V74" s="1394"/>
      <c r="W74" s="1394"/>
      <c r="X74" s="1394"/>
      <c r="Y74" s="1394"/>
    </row>
    <row r="75" spans="1:25" s="371" customFormat="1" ht="3.75" customHeight="1">
      <c r="A75" s="1390"/>
      <c r="B75" s="1390"/>
      <c r="C75" s="1390"/>
      <c r="D75" s="1390"/>
      <c r="E75" s="1390"/>
      <c r="F75" s="1390"/>
      <c r="G75" s="1390"/>
      <c r="H75" s="1390"/>
      <c r="I75" s="1390"/>
      <c r="J75" s="1390"/>
      <c r="K75" s="1390"/>
      <c r="L75" s="1390"/>
      <c r="M75" s="1390"/>
      <c r="N75" s="1390"/>
      <c r="O75" s="1390"/>
      <c r="P75" s="1390"/>
      <c r="Q75" s="1390"/>
      <c r="R75" s="521"/>
      <c r="S75" s="521"/>
      <c r="T75" s="521"/>
      <c r="U75" s="521"/>
      <c r="V75" s="521"/>
      <c r="W75" s="521"/>
      <c r="X75" s="521"/>
      <c r="Y75" s="521"/>
    </row>
    <row r="76" spans="1:25" s="371" customFormat="1" ht="12.75" customHeight="1">
      <c r="A76" s="1393" t="s">
        <v>167</v>
      </c>
      <c r="B76" s="1393"/>
      <c r="C76" s="1393"/>
      <c r="D76" s="1393"/>
      <c r="E76" s="1393"/>
      <c r="F76" s="1393"/>
      <c r="G76" s="1393"/>
      <c r="H76" s="1393"/>
      <c r="I76" s="1393"/>
      <c r="J76" s="1393"/>
      <c r="K76" s="1393"/>
      <c r="L76" s="1393"/>
      <c r="M76" s="1393"/>
      <c r="N76" s="1393"/>
      <c r="O76" s="1393"/>
      <c r="P76" s="1393"/>
      <c r="Q76" s="1393"/>
      <c r="R76" s="1393"/>
      <c r="S76" s="1393"/>
      <c r="T76" s="1393"/>
      <c r="U76" s="1393"/>
      <c r="V76" s="1393"/>
      <c r="W76" s="1393"/>
      <c r="X76" s="1393"/>
      <c r="Y76" s="521"/>
    </row>
    <row r="77" spans="1:25" s="371" customFormat="1" ht="12.75" customHeight="1">
      <c r="A77" s="1391" t="s">
        <v>168</v>
      </c>
      <c r="B77" s="1391"/>
      <c r="C77" s="1391"/>
      <c r="D77" s="1391"/>
      <c r="E77" s="1391"/>
      <c r="F77" s="1391"/>
      <c r="G77" s="1391"/>
      <c r="H77" s="1391"/>
      <c r="I77" s="1391"/>
      <c r="J77" s="1391"/>
      <c r="K77" s="1391"/>
      <c r="L77" s="1391"/>
      <c r="M77" s="1391"/>
      <c r="N77" s="1391"/>
      <c r="O77" s="1391"/>
      <c r="P77" s="1391"/>
      <c r="Q77" s="1391"/>
      <c r="R77" s="1391"/>
      <c r="S77" s="1391"/>
      <c r="T77" s="1391"/>
      <c r="U77" s="1391"/>
      <c r="V77" s="1392"/>
      <c r="W77" s="1392"/>
      <c r="X77" s="1392"/>
      <c r="Y77" s="521"/>
    </row>
    <row r="78" spans="1:25" s="371" customFormat="1" ht="3.75" customHeight="1">
      <c r="A78" s="521"/>
      <c r="B78" s="521"/>
      <c r="C78" s="521"/>
      <c r="D78" s="521"/>
      <c r="E78" s="521"/>
      <c r="F78" s="521"/>
      <c r="G78" s="521"/>
      <c r="H78" s="521"/>
      <c r="I78" s="521"/>
      <c r="J78" s="521"/>
      <c r="K78" s="521"/>
      <c r="L78" s="521"/>
      <c r="M78" s="521"/>
      <c r="N78" s="521"/>
      <c r="O78" s="521"/>
      <c r="P78" s="521"/>
      <c r="Q78" s="521"/>
      <c r="R78" s="521"/>
      <c r="S78" s="521"/>
      <c r="T78" s="521"/>
      <c r="U78" s="521"/>
      <c r="V78" s="521"/>
      <c r="W78" s="521"/>
      <c r="X78" s="521"/>
      <c r="Y78" s="521"/>
    </row>
    <row r="79" spans="1:25" s="371" customFormat="1" ht="12.75" customHeight="1">
      <c r="A79" s="1393" t="s">
        <v>169</v>
      </c>
      <c r="B79" s="1393"/>
      <c r="C79" s="1393"/>
      <c r="D79" s="1393"/>
      <c r="E79" s="1393"/>
      <c r="F79" s="1393"/>
      <c r="G79" s="1393"/>
      <c r="H79" s="1393"/>
      <c r="I79" s="1393"/>
      <c r="J79" s="1393"/>
      <c r="K79" s="1393"/>
      <c r="L79" s="1393"/>
      <c r="M79" s="1393"/>
      <c r="N79" s="1393"/>
      <c r="O79" s="1393"/>
      <c r="P79" s="1393"/>
      <c r="Q79" s="1393"/>
      <c r="R79" s="521"/>
      <c r="S79" s="521"/>
      <c r="T79" s="521"/>
      <c r="U79" s="521"/>
      <c r="V79" s="521"/>
      <c r="W79" s="521"/>
      <c r="X79" s="521"/>
      <c r="Y79" s="521"/>
    </row>
    <row r="80" spans="1:25" s="371" customFormat="1" ht="12.75" customHeight="1">
      <c r="A80" s="1389" t="s">
        <v>170</v>
      </c>
      <c r="B80" s="1389"/>
      <c r="C80" s="1389"/>
      <c r="D80" s="1389"/>
      <c r="E80" s="1389"/>
      <c r="F80" s="1389"/>
      <c r="G80" s="1389"/>
      <c r="H80" s="1389"/>
      <c r="I80" s="1389"/>
      <c r="J80" s="1389"/>
      <c r="K80" s="1389"/>
      <c r="L80" s="1389"/>
      <c r="M80" s="1389"/>
      <c r="N80" s="1389"/>
      <c r="O80" s="1389"/>
      <c r="P80" s="1389"/>
      <c r="Q80" s="1389"/>
      <c r="R80" s="1389"/>
      <c r="S80" s="1389"/>
      <c r="T80" s="1389"/>
      <c r="U80" s="1389"/>
      <c r="V80" s="1394"/>
      <c r="W80" s="521"/>
      <c r="X80" s="521"/>
      <c r="Y80" s="521"/>
    </row>
    <row r="81" spans="1:25" s="371" customFormat="1" ht="12.75" customHeight="1">
      <c r="A81" s="1391" t="s">
        <v>171</v>
      </c>
      <c r="B81" s="1392"/>
      <c r="C81" s="1392"/>
      <c r="D81" s="1392"/>
      <c r="E81" s="1392"/>
      <c r="F81" s="1392"/>
      <c r="G81" s="1392"/>
      <c r="H81" s="1392"/>
      <c r="I81" s="1392"/>
      <c r="J81" s="1392"/>
      <c r="K81" s="1392"/>
      <c r="L81" s="1392"/>
      <c r="M81" s="1392"/>
      <c r="N81" s="1392"/>
      <c r="O81" s="1392"/>
      <c r="P81" s="1392"/>
      <c r="Q81" s="1392"/>
      <c r="R81" s="1392"/>
      <c r="S81" s="1392"/>
      <c r="T81" s="1392"/>
      <c r="U81" s="1392"/>
      <c r="V81" s="1392"/>
      <c r="W81" s="1392"/>
      <c r="X81" s="1392"/>
      <c r="Y81" s="1392"/>
    </row>
    <row r="82" spans="1:25" s="371" customFormat="1" ht="3" customHeight="1">
      <c r="A82" s="521"/>
      <c r="B82" s="521"/>
      <c r="C82" s="521"/>
      <c r="D82" s="521"/>
      <c r="E82" s="521"/>
      <c r="F82" s="521"/>
      <c r="G82" s="521"/>
      <c r="H82" s="521"/>
      <c r="I82" s="521"/>
      <c r="J82" s="521"/>
      <c r="K82" s="521"/>
      <c r="L82" s="521"/>
      <c r="M82" s="521"/>
      <c r="N82" s="521"/>
      <c r="O82" s="521"/>
      <c r="P82" s="521"/>
      <c r="Q82" s="521"/>
      <c r="R82" s="521"/>
      <c r="S82" s="521"/>
      <c r="T82" s="521"/>
      <c r="U82" s="521"/>
      <c r="V82" s="521"/>
      <c r="W82" s="521"/>
      <c r="X82" s="521"/>
      <c r="Y82" s="521"/>
    </row>
    <row r="83" spans="1:25" s="371" customFormat="1" ht="12" customHeight="1">
      <c r="A83" s="1393" t="s">
        <v>172</v>
      </c>
      <c r="B83" s="1393"/>
      <c r="C83" s="1393"/>
      <c r="D83" s="1393"/>
      <c r="E83" s="1393"/>
      <c r="F83" s="1393"/>
      <c r="G83" s="1393"/>
      <c r="H83" s="1393"/>
      <c r="I83" s="1393"/>
      <c r="J83" s="1393"/>
      <c r="K83" s="1393"/>
      <c r="L83" s="1393"/>
      <c r="M83" s="1393"/>
      <c r="N83" s="1393"/>
      <c r="O83" s="1393"/>
      <c r="P83" s="1393"/>
      <c r="Q83" s="1393"/>
      <c r="R83" s="1393"/>
      <c r="S83" s="1393"/>
      <c r="T83" s="1393"/>
      <c r="U83" s="1393"/>
      <c r="V83" s="1393"/>
      <c r="W83" s="521"/>
      <c r="X83" s="521"/>
      <c r="Y83" s="521"/>
    </row>
    <row r="84" spans="1:25" s="371" customFormat="1" ht="12" customHeight="1">
      <c r="A84" s="1391" t="s">
        <v>227</v>
      </c>
      <c r="B84" s="1391"/>
      <c r="C84" s="1391"/>
      <c r="D84" s="1391"/>
      <c r="E84" s="1391"/>
      <c r="F84" s="1391"/>
      <c r="G84" s="1391"/>
      <c r="H84" s="1391"/>
      <c r="I84" s="1391"/>
      <c r="J84" s="1391"/>
      <c r="K84" s="1391"/>
      <c r="L84" s="1391"/>
      <c r="M84" s="1391"/>
      <c r="N84" s="1391"/>
      <c r="O84" s="1391"/>
      <c r="P84" s="1391"/>
      <c r="Q84" s="1391"/>
      <c r="R84" s="1391"/>
      <c r="S84" s="1391"/>
      <c r="T84" s="1391"/>
      <c r="U84" s="1391"/>
      <c r="V84" s="1391"/>
      <c r="W84" s="1391"/>
      <c r="X84" s="1391"/>
      <c r="Y84" s="1391"/>
    </row>
    <row r="85" spans="1:25" s="371" customFormat="1" ht="12" customHeight="1">
      <c r="A85" s="1389" t="s">
        <v>228</v>
      </c>
      <c r="B85" s="1389"/>
      <c r="C85" s="1389"/>
      <c r="D85" s="1389"/>
      <c r="E85" s="1389"/>
      <c r="F85" s="1389"/>
      <c r="G85" s="1389"/>
      <c r="H85" s="1389"/>
      <c r="I85" s="1389"/>
      <c r="J85" s="1389"/>
      <c r="K85" s="1389"/>
      <c r="L85" s="1389"/>
      <c r="M85" s="1389"/>
      <c r="N85" s="1389"/>
      <c r="O85" s="1389"/>
      <c r="P85" s="1389"/>
      <c r="Q85" s="1389"/>
      <c r="R85" s="1389"/>
      <c r="S85" s="1389"/>
      <c r="T85" s="1389"/>
      <c r="U85" s="1389"/>
      <c r="V85" s="1389"/>
      <c r="W85" s="1389"/>
      <c r="X85" s="1389"/>
      <c r="Y85" s="1389"/>
    </row>
    <row r="86" spans="1:25" s="371" customFormat="1" ht="2.25" customHeight="1">
      <c r="A86" s="1390"/>
      <c r="B86" s="1390"/>
      <c r="C86" s="1390"/>
      <c r="D86" s="1390"/>
      <c r="E86" s="1390"/>
      <c r="F86" s="1390"/>
      <c r="G86" s="1390"/>
      <c r="H86" s="1390"/>
      <c r="I86" s="1390"/>
      <c r="J86" s="1390"/>
      <c r="K86" s="1390"/>
      <c r="L86" s="1390"/>
      <c r="M86" s="1390"/>
      <c r="N86" s="1390"/>
      <c r="O86" s="1390"/>
      <c r="P86" s="1390"/>
      <c r="Q86" s="1390"/>
      <c r="R86" s="521"/>
      <c r="S86" s="521"/>
      <c r="T86" s="521"/>
      <c r="U86" s="521"/>
      <c r="V86" s="521"/>
      <c r="W86" s="521"/>
      <c r="X86" s="521"/>
      <c r="Y86" s="521"/>
    </row>
    <row r="87" spans="3:25" s="371" customFormat="1" ht="11.25">
      <c r="C87" s="522"/>
      <c r="D87" s="522"/>
      <c r="N87" s="523"/>
      <c r="O87" s="523"/>
      <c r="P87" s="523"/>
      <c r="Q87" s="523"/>
      <c r="R87" s="523"/>
      <c r="S87" s="523"/>
      <c r="T87" s="523"/>
      <c r="U87" s="523"/>
      <c r="V87" s="523"/>
      <c r="W87" s="523"/>
      <c r="X87" s="523"/>
      <c r="Y87" s="523"/>
    </row>
    <row r="88" spans="3:25" s="371" customFormat="1" ht="11.25">
      <c r="C88" s="522"/>
      <c r="D88" s="522"/>
      <c r="N88" s="523"/>
      <c r="O88" s="523"/>
      <c r="P88" s="523"/>
      <c r="Q88" s="523"/>
      <c r="R88" s="523"/>
      <c r="S88" s="523"/>
      <c r="T88" s="523"/>
      <c r="U88" s="523"/>
      <c r="V88" s="523"/>
      <c r="W88" s="523"/>
      <c r="X88" s="523"/>
      <c r="Y88" s="523"/>
    </row>
    <row r="89" spans="3:25" s="371" customFormat="1" ht="11.25">
      <c r="C89" s="522"/>
      <c r="D89" s="522"/>
      <c r="N89" s="523"/>
      <c r="O89" s="523"/>
      <c r="P89" s="523"/>
      <c r="Q89" s="523"/>
      <c r="R89" s="523"/>
      <c r="S89" s="523"/>
      <c r="T89" s="523"/>
      <c r="U89" s="523"/>
      <c r="V89" s="523"/>
      <c r="W89" s="523"/>
      <c r="X89" s="523"/>
      <c r="Y89" s="523"/>
    </row>
    <row r="90" spans="3:25" s="371" customFormat="1" ht="11.25">
      <c r="C90" s="522"/>
      <c r="D90" s="522"/>
      <c r="N90" s="523"/>
      <c r="O90" s="523"/>
      <c r="P90" s="523"/>
      <c r="Q90" s="523"/>
      <c r="R90" s="523"/>
      <c r="S90" s="523"/>
      <c r="T90" s="523"/>
      <c r="U90" s="523"/>
      <c r="V90" s="523"/>
      <c r="W90" s="523"/>
      <c r="X90" s="523"/>
      <c r="Y90" s="523"/>
    </row>
    <row r="91" spans="3:25" s="371" customFormat="1" ht="11.25">
      <c r="C91" s="522"/>
      <c r="D91" s="522"/>
      <c r="N91" s="523"/>
      <c r="O91" s="523"/>
      <c r="P91" s="523"/>
      <c r="Q91" s="523"/>
      <c r="R91" s="523"/>
      <c r="S91" s="523"/>
      <c r="T91" s="523"/>
      <c r="U91" s="523"/>
      <c r="V91" s="523"/>
      <c r="W91" s="523"/>
      <c r="X91" s="523"/>
      <c r="Y91" s="523"/>
    </row>
    <row r="92" spans="3:25" s="371" customFormat="1" ht="11.25">
      <c r="C92" s="522"/>
      <c r="D92" s="522"/>
      <c r="N92" s="523"/>
      <c r="O92" s="523"/>
      <c r="P92" s="523"/>
      <c r="Q92" s="523"/>
      <c r="R92" s="523"/>
      <c r="S92" s="523"/>
      <c r="T92" s="523"/>
      <c r="U92" s="523"/>
      <c r="V92" s="523"/>
      <c r="W92" s="523"/>
      <c r="X92" s="523"/>
      <c r="Y92" s="523"/>
    </row>
    <row r="93" spans="3:25" s="371" customFormat="1" ht="11.25">
      <c r="C93" s="522"/>
      <c r="D93" s="522"/>
      <c r="N93" s="523"/>
      <c r="O93" s="523"/>
      <c r="P93" s="523"/>
      <c r="Q93" s="523"/>
      <c r="R93" s="523"/>
      <c r="S93" s="523"/>
      <c r="T93" s="523"/>
      <c r="U93" s="523"/>
      <c r="V93" s="523"/>
      <c r="W93" s="523"/>
      <c r="X93" s="523"/>
      <c r="Y93" s="523"/>
    </row>
    <row r="94" spans="3:25" s="371" customFormat="1" ht="11.25">
      <c r="C94" s="522"/>
      <c r="D94" s="522"/>
      <c r="N94" s="523"/>
      <c r="O94" s="523"/>
      <c r="P94" s="523"/>
      <c r="Q94" s="523"/>
      <c r="R94" s="523"/>
      <c r="S94" s="523"/>
      <c r="T94" s="523"/>
      <c r="U94" s="523"/>
      <c r="V94" s="523"/>
      <c r="W94" s="523"/>
      <c r="X94" s="523"/>
      <c r="Y94" s="523"/>
    </row>
    <row r="95" spans="3:25" s="371" customFormat="1" ht="11.25">
      <c r="C95" s="522"/>
      <c r="D95" s="522"/>
      <c r="N95" s="523"/>
      <c r="O95" s="523"/>
      <c r="P95" s="523"/>
      <c r="Q95" s="523"/>
      <c r="R95" s="523"/>
      <c r="S95" s="523"/>
      <c r="T95" s="523"/>
      <c r="U95" s="523"/>
      <c r="V95" s="523"/>
      <c r="W95" s="523"/>
      <c r="X95" s="523"/>
      <c r="Y95" s="523"/>
    </row>
    <row r="96" spans="3:25" s="371" customFormat="1" ht="11.25">
      <c r="C96" s="522"/>
      <c r="D96" s="522"/>
      <c r="N96" s="523"/>
      <c r="O96" s="523"/>
      <c r="P96" s="523"/>
      <c r="Q96" s="523"/>
      <c r="R96" s="523"/>
      <c r="S96" s="523"/>
      <c r="T96" s="523"/>
      <c r="U96" s="523"/>
      <c r="V96" s="523"/>
      <c r="W96" s="523"/>
      <c r="X96" s="523"/>
      <c r="Y96" s="523"/>
    </row>
    <row r="97" spans="3:25" s="371" customFormat="1" ht="11.25">
      <c r="C97" s="522"/>
      <c r="D97" s="522"/>
      <c r="N97" s="523"/>
      <c r="O97" s="523"/>
      <c r="P97" s="523"/>
      <c r="Q97" s="523"/>
      <c r="R97" s="523"/>
      <c r="S97" s="523"/>
      <c r="T97" s="523"/>
      <c r="U97" s="523"/>
      <c r="V97" s="523"/>
      <c r="W97" s="523"/>
      <c r="X97" s="523"/>
      <c r="Y97" s="523"/>
    </row>
    <row r="98" spans="3:25" s="371" customFormat="1" ht="11.25">
      <c r="C98" s="522"/>
      <c r="D98" s="522"/>
      <c r="N98" s="523"/>
      <c r="O98" s="523"/>
      <c r="P98" s="523"/>
      <c r="Q98" s="523"/>
      <c r="R98" s="523"/>
      <c r="S98" s="523"/>
      <c r="T98" s="523"/>
      <c r="U98" s="523"/>
      <c r="V98" s="523"/>
      <c r="W98" s="523"/>
      <c r="X98" s="523"/>
      <c r="Y98" s="523"/>
    </row>
    <row r="99" spans="3:25" s="371" customFormat="1" ht="11.25">
      <c r="C99" s="522"/>
      <c r="D99" s="522"/>
      <c r="N99" s="523"/>
      <c r="O99" s="523"/>
      <c r="P99" s="523"/>
      <c r="Q99" s="523"/>
      <c r="R99" s="523"/>
      <c r="S99" s="523"/>
      <c r="T99" s="523"/>
      <c r="U99" s="523"/>
      <c r="V99" s="523"/>
      <c r="W99" s="523"/>
      <c r="X99" s="523"/>
      <c r="Y99" s="523"/>
    </row>
    <row r="100" spans="3:25" s="371" customFormat="1" ht="11.25">
      <c r="C100" s="522"/>
      <c r="D100" s="522"/>
      <c r="N100" s="523"/>
      <c r="O100" s="523"/>
      <c r="P100" s="523"/>
      <c r="Q100" s="523"/>
      <c r="R100" s="523"/>
      <c r="S100" s="523"/>
      <c r="T100" s="523"/>
      <c r="U100" s="523"/>
      <c r="V100" s="523"/>
      <c r="W100" s="523"/>
      <c r="X100" s="523"/>
      <c r="Y100" s="523"/>
    </row>
    <row r="101" spans="3:25" s="371" customFormat="1" ht="11.25">
      <c r="C101" s="522"/>
      <c r="D101" s="522"/>
      <c r="N101" s="523"/>
      <c r="O101" s="523"/>
      <c r="P101" s="523"/>
      <c r="Q101" s="523"/>
      <c r="R101" s="523"/>
      <c r="S101" s="523"/>
      <c r="T101" s="523"/>
      <c r="U101" s="523"/>
      <c r="V101" s="523"/>
      <c r="W101" s="523"/>
      <c r="X101" s="523"/>
      <c r="Y101" s="523"/>
    </row>
    <row r="102" spans="3:25" s="371" customFormat="1" ht="11.25">
      <c r="C102" s="522"/>
      <c r="D102" s="522"/>
      <c r="N102" s="523"/>
      <c r="O102" s="523"/>
      <c r="P102" s="523"/>
      <c r="Q102" s="523"/>
      <c r="R102" s="523"/>
      <c r="S102" s="523"/>
      <c r="T102" s="523"/>
      <c r="U102" s="523"/>
      <c r="V102" s="523"/>
      <c r="W102" s="523"/>
      <c r="X102" s="523"/>
      <c r="Y102" s="523"/>
    </row>
    <row r="103" spans="3:25" s="371" customFormat="1" ht="11.25">
      <c r="C103" s="522"/>
      <c r="D103" s="522"/>
      <c r="N103" s="523"/>
      <c r="O103" s="523"/>
      <c r="P103" s="523"/>
      <c r="Q103" s="523"/>
      <c r="R103" s="523"/>
      <c r="S103" s="523"/>
      <c r="T103" s="523"/>
      <c r="U103" s="523"/>
      <c r="V103" s="523"/>
      <c r="W103" s="523"/>
      <c r="X103" s="523"/>
      <c r="Y103" s="523"/>
    </row>
    <row r="104" spans="3:25" s="371" customFormat="1" ht="11.25">
      <c r="C104" s="522"/>
      <c r="D104" s="522"/>
      <c r="N104" s="523"/>
      <c r="O104" s="523"/>
      <c r="P104" s="523"/>
      <c r="Q104" s="523"/>
      <c r="R104" s="523"/>
      <c r="S104" s="523"/>
      <c r="T104" s="523"/>
      <c r="U104" s="523"/>
      <c r="V104" s="523"/>
      <c r="W104" s="523"/>
      <c r="X104" s="523"/>
      <c r="Y104" s="523"/>
    </row>
    <row r="105" spans="3:25" s="371" customFormat="1" ht="11.25">
      <c r="C105" s="522"/>
      <c r="D105" s="522"/>
      <c r="N105" s="523"/>
      <c r="O105" s="523"/>
      <c r="P105" s="523"/>
      <c r="Q105" s="523"/>
      <c r="R105" s="523"/>
      <c r="S105" s="523"/>
      <c r="T105" s="523"/>
      <c r="U105" s="523"/>
      <c r="V105" s="523"/>
      <c r="W105" s="523"/>
      <c r="X105" s="523"/>
      <c r="Y105" s="523"/>
    </row>
    <row r="106" spans="3:25" s="371" customFormat="1" ht="11.25">
      <c r="C106" s="522"/>
      <c r="D106" s="522"/>
      <c r="N106" s="523"/>
      <c r="O106" s="523"/>
      <c r="P106" s="523"/>
      <c r="Q106" s="523"/>
      <c r="R106" s="523"/>
      <c r="S106" s="523"/>
      <c r="T106" s="523"/>
      <c r="U106" s="523"/>
      <c r="V106" s="523"/>
      <c r="W106" s="523"/>
      <c r="X106" s="523"/>
      <c r="Y106" s="523"/>
    </row>
    <row r="107" spans="3:25" s="371" customFormat="1" ht="11.25">
      <c r="C107" s="522"/>
      <c r="D107" s="522"/>
      <c r="N107" s="523"/>
      <c r="O107" s="523"/>
      <c r="P107" s="523"/>
      <c r="Q107" s="523"/>
      <c r="R107" s="523"/>
      <c r="S107" s="523"/>
      <c r="T107" s="523"/>
      <c r="U107" s="523"/>
      <c r="V107" s="523"/>
      <c r="W107" s="523"/>
      <c r="X107" s="523"/>
      <c r="Y107" s="523"/>
    </row>
    <row r="108" spans="3:25" s="371" customFormat="1" ht="11.25">
      <c r="C108" s="522"/>
      <c r="D108" s="522"/>
      <c r="N108" s="523"/>
      <c r="O108" s="523"/>
      <c r="P108" s="523"/>
      <c r="Q108" s="523"/>
      <c r="R108" s="523"/>
      <c r="S108" s="523"/>
      <c r="T108" s="523"/>
      <c r="U108" s="523"/>
      <c r="V108" s="523"/>
      <c r="W108" s="523"/>
      <c r="X108" s="523"/>
      <c r="Y108" s="523"/>
    </row>
    <row r="109" spans="3:25" s="371" customFormat="1" ht="11.25">
      <c r="C109" s="522"/>
      <c r="D109" s="522"/>
      <c r="N109" s="523"/>
      <c r="O109" s="523"/>
      <c r="P109" s="523"/>
      <c r="Q109" s="523"/>
      <c r="R109" s="523"/>
      <c r="S109" s="523"/>
      <c r="T109" s="523"/>
      <c r="U109" s="523"/>
      <c r="V109" s="523"/>
      <c r="W109" s="523"/>
      <c r="X109" s="523"/>
      <c r="Y109" s="523"/>
    </row>
    <row r="110" spans="3:25" s="371" customFormat="1" ht="11.25">
      <c r="C110" s="522"/>
      <c r="D110" s="522"/>
      <c r="N110" s="523"/>
      <c r="O110" s="523"/>
      <c r="P110" s="523"/>
      <c r="Q110" s="523"/>
      <c r="R110" s="523"/>
      <c r="S110" s="523"/>
      <c r="T110" s="523"/>
      <c r="U110" s="523"/>
      <c r="V110" s="523"/>
      <c r="W110" s="523"/>
      <c r="X110" s="523"/>
      <c r="Y110" s="523"/>
    </row>
    <row r="111" spans="3:25" s="371" customFormat="1" ht="11.25">
      <c r="C111" s="522"/>
      <c r="D111" s="522"/>
      <c r="N111" s="523"/>
      <c r="O111" s="523"/>
      <c r="P111" s="523"/>
      <c r="Q111" s="523"/>
      <c r="R111" s="523"/>
      <c r="S111" s="523"/>
      <c r="T111" s="523"/>
      <c r="U111" s="523"/>
      <c r="V111" s="523"/>
      <c r="W111" s="523"/>
      <c r="X111" s="523"/>
      <c r="Y111" s="523"/>
    </row>
    <row r="112" spans="3:25" s="371" customFormat="1" ht="11.25">
      <c r="C112" s="522"/>
      <c r="D112" s="522"/>
      <c r="N112" s="523"/>
      <c r="O112" s="523"/>
      <c r="P112" s="523"/>
      <c r="Q112" s="523"/>
      <c r="R112" s="523"/>
      <c r="S112" s="523"/>
      <c r="T112" s="523"/>
      <c r="U112" s="523"/>
      <c r="V112" s="523"/>
      <c r="W112" s="523"/>
      <c r="X112" s="523"/>
      <c r="Y112" s="523"/>
    </row>
    <row r="113" spans="3:25" s="371" customFormat="1" ht="11.25">
      <c r="C113" s="522"/>
      <c r="D113" s="522"/>
      <c r="N113" s="523"/>
      <c r="O113" s="523"/>
      <c r="P113" s="523"/>
      <c r="Q113" s="523"/>
      <c r="R113" s="523"/>
      <c r="S113" s="523"/>
      <c r="T113" s="523"/>
      <c r="U113" s="523"/>
      <c r="V113" s="523"/>
      <c r="W113" s="523"/>
      <c r="X113" s="523"/>
      <c r="Y113" s="523"/>
    </row>
    <row r="114" spans="3:25" s="371" customFormat="1" ht="11.25">
      <c r="C114" s="522"/>
      <c r="D114" s="522"/>
      <c r="N114" s="523"/>
      <c r="O114" s="523"/>
      <c r="P114" s="523"/>
      <c r="Q114" s="523"/>
      <c r="R114" s="523"/>
      <c r="S114" s="523"/>
      <c r="T114" s="523"/>
      <c r="U114" s="523"/>
      <c r="V114" s="523"/>
      <c r="W114" s="523"/>
      <c r="X114" s="523"/>
      <c r="Y114" s="523"/>
    </row>
    <row r="115" spans="3:25" s="371" customFormat="1" ht="11.25">
      <c r="C115" s="522"/>
      <c r="D115" s="522"/>
      <c r="N115" s="523"/>
      <c r="O115" s="523"/>
      <c r="P115" s="523"/>
      <c r="Q115" s="523"/>
      <c r="R115" s="523"/>
      <c r="S115" s="523"/>
      <c r="T115" s="523"/>
      <c r="U115" s="523"/>
      <c r="V115" s="523"/>
      <c r="W115" s="523"/>
      <c r="X115" s="523"/>
      <c r="Y115" s="523"/>
    </row>
    <row r="116" spans="3:25" s="371" customFormat="1" ht="11.25">
      <c r="C116" s="522"/>
      <c r="D116" s="522"/>
      <c r="N116" s="523"/>
      <c r="O116" s="523"/>
      <c r="P116" s="523"/>
      <c r="Q116" s="523"/>
      <c r="R116" s="523"/>
      <c r="S116" s="523"/>
      <c r="T116" s="523"/>
      <c r="U116" s="523"/>
      <c r="V116" s="523"/>
      <c r="W116" s="523"/>
      <c r="X116" s="523"/>
      <c r="Y116" s="523"/>
    </row>
    <row r="117" spans="3:25" s="371" customFormat="1" ht="11.25">
      <c r="C117" s="522"/>
      <c r="D117" s="522"/>
      <c r="N117" s="523"/>
      <c r="O117" s="523"/>
      <c r="P117" s="523"/>
      <c r="Q117" s="523"/>
      <c r="R117" s="523"/>
      <c r="S117" s="523"/>
      <c r="T117" s="523"/>
      <c r="U117" s="523"/>
      <c r="V117" s="523"/>
      <c r="W117" s="523"/>
      <c r="X117" s="523"/>
      <c r="Y117" s="523"/>
    </row>
    <row r="118" spans="3:25" s="371" customFormat="1" ht="11.25">
      <c r="C118" s="522"/>
      <c r="D118" s="522"/>
      <c r="N118" s="523"/>
      <c r="O118" s="523"/>
      <c r="P118" s="523"/>
      <c r="Q118" s="523"/>
      <c r="R118" s="523"/>
      <c r="S118" s="523"/>
      <c r="T118" s="523"/>
      <c r="U118" s="523"/>
      <c r="V118" s="523"/>
      <c r="W118" s="523"/>
      <c r="X118" s="523"/>
      <c r="Y118" s="523"/>
    </row>
    <row r="119" spans="3:25" s="371" customFormat="1" ht="11.25">
      <c r="C119" s="522"/>
      <c r="D119" s="522"/>
      <c r="N119" s="523"/>
      <c r="O119" s="523"/>
      <c r="P119" s="523"/>
      <c r="Q119" s="523"/>
      <c r="R119" s="523"/>
      <c r="S119" s="523"/>
      <c r="T119" s="523"/>
      <c r="U119" s="523"/>
      <c r="V119" s="523"/>
      <c r="W119" s="523"/>
      <c r="X119" s="523"/>
      <c r="Y119" s="523"/>
    </row>
    <row r="120" spans="3:25" s="371" customFormat="1" ht="11.25">
      <c r="C120" s="522"/>
      <c r="D120" s="522"/>
      <c r="N120" s="523"/>
      <c r="O120" s="523"/>
      <c r="P120" s="523"/>
      <c r="Q120" s="523"/>
      <c r="R120" s="523"/>
      <c r="S120" s="523"/>
      <c r="T120" s="523"/>
      <c r="U120" s="523"/>
      <c r="V120" s="523"/>
      <c r="W120" s="523"/>
      <c r="X120" s="523"/>
      <c r="Y120" s="523"/>
    </row>
    <row r="121" spans="3:25" s="371" customFormat="1" ht="11.25">
      <c r="C121" s="522"/>
      <c r="D121" s="522"/>
      <c r="N121" s="523"/>
      <c r="O121" s="523"/>
      <c r="P121" s="523"/>
      <c r="Q121" s="523"/>
      <c r="R121" s="523"/>
      <c r="S121" s="523"/>
      <c r="T121" s="523"/>
      <c r="U121" s="523"/>
      <c r="V121" s="523"/>
      <c r="W121" s="523"/>
      <c r="X121" s="523"/>
      <c r="Y121" s="523"/>
    </row>
    <row r="122" spans="3:25" s="371" customFormat="1" ht="11.25">
      <c r="C122" s="522"/>
      <c r="D122" s="522"/>
      <c r="N122" s="523"/>
      <c r="O122" s="523"/>
      <c r="P122" s="523"/>
      <c r="Q122" s="523"/>
      <c r="R122" s="523"/>
      <c r="S122" s="523"/>
      <c r="T122" s="523"/>
      <c r="U122" s="523"/>
      <c r="V122" s="523"/>
      <c r="W122" s="523"/>
      <c r="X122" s="523"/>
      <c r="Y122" s="523"/>
    </row>
    <row r="123" spans="3:25" s="371" customFormat="1" ht="11.25">
      <c r="C123" s="522"/>
      <c r="D123" s="522"/>
      <c r="N123" s="523"/>
      <c r="O123" s="523"/>
      <c r="P123" s="523"/>
      <c r="Q123" s="523"/>
      <c r="R123" s="523"/>
      <c r="S123" s="523"/>
      <c r="T123" s="523"/>
      <c r="U123" s="523"/>
      <c r="V123" s="523"/>
      <c r="W123" s="523"/>
      <c r="X123" s="523"/>
      <c r="Y123" s="523"/>
    </row>
    <row r="124" spans="3:25" s="371" customFormat="1" ht="11.25">
      <c r="C124" s="522"/>
      <c r="D124" s="522"/>
      <c r="N124" s="523"/>
      <c r="O124" s="523"/>
      <c r="P124" s="523"/>
      <c r="Q124" s="523"/>
      <c r="R124" s="523"/>
      <c r="S124" s="523"/>
      <c r="T124" s="523"/>
      <c r="U124" s="523"/>
      <c r="V124" s="523"/>
      <c r="W124" s="523"/>
      <c r="X124" s="523"/>
      <c r="Y124" s="523"/>
    </row>
    <row r="125" spans="3:25" s="371" customFormat="1" ht="11.25">
      <c r="C125" s="522"/>
      <c r="D125" s="522"/>
      <c r="N125" s="523"/>
      <c r="O125" s="523"/>
      <c r="P125" s="523"/>
      <c r="Q125" s="523"/>
      <c r="R125" s="523"/>
      <c r="S125" s="523"/>
      <c r="T125" s="523"/>
      <c r="U125" s="523"/>
      <c r="V125" s="523"/>
      <c r="W125" s="523"/>
      <c r="X125" s="523"/>
      <c r="Y125" s="523"/>
    </row>
    <row r="126" spans="3:25" s="371" customFormat="1" ht="11.25">
      <c r="C126" s="522"/>
      <c r="D126" s="522"/>
      <c r="N126" s="523"/>
      <c r="O126" s="523"/>
      <c r="P126" s="523"/>
      <c r="Q126" s="523"/>
      <c r="R126" s="523"/>
      <c r="S126" s="523"/>
      <c r="T126" s="523"/>
      <c r="U126" s="523"/>
      <c r="V126" s="523"/>
      <c r="W126" s="523"/>
      <c r="X126" s="523"/>
      <c r="Y126" s="523"/>
    </row>
    <row r="127" spans="3:25" s="371" customFormat="1" ht="11.25">
      <c r="C127" s="522"/>
      <c r="D127" s="522"/>
      <c r="N127" s="523"/>
      <c r="O127" s="523"/>
      <c r="P127" s="523"/>
      <c r="Q127" s="523"/>
      <c r="R127" s="523"/>
      <c r="S127" s="523"/>
      <c r="T127" s="523"/>
      <c r="U127" s="523"/>
      <c r="V127" s="523"/>
      <c r="W127" s="523"/>
      <c r="X127" s="523"/>
      <c r="Y127" s="523"/>
    </row>
    <row r="128" spans="3:25" s="371" customFormat="1" ht="11.25">
      <c r="C128" s="522"/>
      <c r="D128" s="522"/>
      <c r="N128" s="523"/>
      <c r="O128" s="523"/>
      <c r="P128" s="523"/>
      <c r="Q128" s="523"/>
      <c r="R128" s="523"/>
      <c r="S128" s="523"/>
      <c r="T128" s="523"/>
      <c r="U128" s="523"/>
      <c r="V128" s="523"/>
      <c r="W128" s="523"/>
      <c r="X128" s="523"/>
      <c r="Y128" s="523"/>
    </row>
    <row r="129" spans="3:25" s="371" customFormat="1" ht="11.25">
      <c r="C129" s="522"/>
      <c r="D129" s="522"/>
      <c r="N129" s="523"/>
      <c r="O129" s="523"/>
      <c r="P129" s="523"/>
      <c r="Q129" s="523"/>
      <c r="R129" s="523"/>
      <c r="S129" s="523"/>
      <c r="T129" s="523"/>
      <c r="U129" s="523"/>
      <c r="V129" s="523"/>
      <c r="W129" s="523"/>
      <c r="X129" s="523"/>
      <c r="Y129" s="523"/>
    </row>
    <row r="130" spans="3:25" s="371" customFormat="1" ht="11.25">
      <c r="C130" s="522"/>
      <c r="D130" s="522"/>
      <c r="N130" s="523"/>
      <c r="O130" s="523"/>
      <c r="P130" s="523"/>
      <c r="Q130" s="523"/>
      <c r="R130" s="523"/>
      <c r="S130" s="523"/>
      <c r="T130" s="523"/>
      <c r="U130" s="523"/>
      <c r="V130" s="523"/>
      <c r="W130" s="523"/>
      <c r="X130" s="523"/>
      <c r="Y130" s="523"/>
    </row>
    <row r="131" spans="3:25" s="371" customFormat="1" ht="11.25">
      <c r="C131" s="522"/>
      <c r="D131" s="522"/>
      <c r="N131" s="523"/>
      <c r="O131" s="523"/>
      <c r="P131" s="523"/>
      <c r="Q131" s="523"/>
      <c r="R131" s="523"/>
      <c r="S131" s="523"/>
      <c r="T131" s="523"/>
      <c r="U131" s="523"/>
      <c r="V131" s="523"/>
      <c r="W131" s="523"/>
      <c r="X131" s="523"/>
      <c r="Y131" s="523"/>
    </row>
    <row r="132" spans="3:25" s="371" customFormat="1" ht="11.25">
      <c r="C132" s="522"/>
      <c r="D132" s="522"/>
      <c r="N132" s="523"/>
      <c r="O132" s="523"/>
      <c r="P132" s="523"/>
      <c r="Q132" s="523"/>
      <c r="R132" s="523"/>
      <c r="S132" s="523"/>
      <c r="T132" s="523"/>
      <c r="U132" s="523"/>
      <c r="V132" s="523"/>
      <c r="W132" s="523"/>
      <c r="X132" s="523"/>
      <c r="Y132" s="523"/>
    </row>
    <row r="133" spans="3:25" s="371" customFormat="1" ht="11.25">
      <c r="C133" s="522"/>
      <c r="D133" s="522"/>
      <c r="N133" s="523"/>
      <c r="O133" s="523"/>
      <c r="P133" s="523"/>
      <c r="Q133" s="523"/>
      <c r="R133" s="523"/>
      <c r="S133" s="523"/>
      <c r="T133" s="523"/>
      <c r="U133" s="523"/>
      <c r="V133" s="523"/>
      <c r="W133" s="523"/>
      <c r="X133" s="523"/>
      <c r="Y133" s="523"/>
    </row>
    <row r="134" spans="3:25" s="371" customFormat="1" ht="11.25">
      <c r="C134" s="522"/>
      <c r="D134" s="522"/>
      <c r="N134" s="523"/>
      <c r="O134" s="523"/>
      <c r="P134" s="523"/>
      <c r="Q134" s="523"/>
      <c r="R134" s="523"/>
      <c r="S134" s="523"/>
      <c r="T134" s="523"/>
      <c r="U134" s="523"/>
      <c r="V134" s="523"/>
      <c r="W134" s="523"/>
      <c r="X134" s="523"/>
      <c r="Y134" s="523"/>
    </row>
    <row r="135" spans="3:25" s="371" customFormat="1" ht="11.25">
      <c r="C135" s="522"/>
      <c r="D135" s="522"/>
      <c r="N135" s="523"/>
      <c r="O135" s="523"/>
      <c r="P135" s="523"/>
      <c r="Q135" s="523"/>
      <c r="R135" s="523"/>
      <c r="S135" s="523"/>
      <c r="T135" s="523"/>
      <c r="U135" s="523"/>
      <c r="V135" s="523"/>
      <c r="W135" s="523"/>
      <c r="X135" s="523"/>
      <c r="Y135" s="523"/>
    </row>
    <row r="136" spans="2:26" ht="13.5">
      <c r="B136" s="371"/>
      <c r="C136" s="522"/>
      <c r="D136" s="522"/>
      <c r="E136" s="371"/>
      <c r="F136" s="371"/>
      <c r="G136" s="371"/>
      <c r="H136" s="371"/>
      <c r="I136" s="371"/>
      <c r="J136" s="371"/>
      <c r="K136" s="371"/>
      <c r="L136" s="371"/>
      <c r="M136" s="371"/>
      <c r="N136" s="523"/>
      <c r="O136" s="523"/>
      <c r="P136" s="523"/>
      <c r="Q136" s="523"/>
      <c r="R136" s="523"/>
      <c r="S136" s="523"/>
      <c r="T136" s="523"/>
      <c r="U136" s="523"/>
      <c r="V136" s="523"/>
      <c r="W136" s="523"/>
      <c r="X136" s="523"/>
      <c r="Y136" s="523"/>
      <c r="Z136" s="371"/>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AH136"/>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2.57421875" style="130" customWidth="1"/>
    <col min="2" max="2" width="5.140625" style="130" customWidth="1"/>
    <col min="3" max="3" width="7.8515625" style="232" customWidth="1"/>
    <col min="4" max="5" width="8.140625" style="130" customWidth="1"/>
    <col min="6" max="7" width="8.7109375" style="130" customWidth="1"/>
    <col min="8" max="12" width="8.7109375" style="233" customWidth="1"/>
    <col min="13" max="13" width="12.57421875" style="233" customWidth="1"/>
    <col min="14" max="14" width="5.00390625" style="130" customWidth="1"/>
    <col min="15" max="15" width="11.28125" style="313" customWidth="1"/>
    <col min="16" max="16384" width="9.00390625" style="130" customWidth="1"/>
  </cols>
  <sheetData>
    <row r="1" spans="2:14" ht="16.5" customHeight="1">
      <c r="B1" s="1526" t="s">
        <v>109</v>
      </c>
      <c r="C1" s="1527"/>
      <c r="D1" s="1527"/>
      <c r="E1" s="1527"/>
      <c r="F1" s="1527"/>
      <c r="G1" s="1527"/>
      <c r="H1" s="1527"/>
      <c r="I1" s="1527"/>
      <c r="J1" s="1527"/>
      <c r="K1" s="1527"/>
      <c r="L1" s="1527"/>
      <c r="M1" s="1527"/>
      <c r="N1" s="131"/>
    </row>
    <row r="2" spans="2:14" ht="16.5" customHeight="1">
      <c r="B2" s="1527"/>
      <c r="C2" s="1527"/>
      <c r="D2" s="1527"/>
      <c r="E2" s="1527"/>
      <c r="F2" s="1527"/>
      <c r="G2" s="1527"/>
      <c r="H2" s="1527"/>
      <c r="I2" s="1527"/>
      <c r="J2" s="1527"/>
      <c r="K2" s="1527"/>
      <c r="L2" s="1527"/>
      <c r="M2" s="1527"/>
      <c r="N2" s="131"/>
    </row>
    <row r="3" spans="2:14" ht="17.25" customHeight="1">
      <c r="B3" s="1528" t="s">
        <v>222</v>
      </c>
      <c r="C3" s="1528"/>
      <c r="D3" s="1528"/>
      <c r="E3" s="1528"/>
      <c r="F3" s="1528"/>
      <c r="G3" s="1528"/>
      <c r="H3" s="1528"/>
      <c r="I3" s="1528"/>
      <c r="J3" s="1528"/>
      <c r="K3" s="1528"/>
      <c r="L3" s="1528"/>
      <c r="M3" s="1528"/>
      <c r="N3" s="131"/>
    </row>
    <row r="4" spans="1:14" ht="24" customHeight="1">
      <c r="A4" s="133"/>
      <c r="B4" s="1528"/>
      <c r="C4" s="1528"/>
      <c r="D4" s="1528"/>
      <c r="E4" s="1528"/>
      <c r="F4" s="1528"/>
      <c r="G4" s="1528"/>
      <c r="H4" s="1528"/>
      <c r="I4" s="1528"/>
      <c r="J4" s="1528"/>
      <c r="K4" s="1528"/>
      <c r="L4" s="1528"/>
      <c r="M4" s="1528"/>
      <c r="N4" s="131"/>
    </row>
    <row r="5" spans="2:14" ht="15.75" customHeight="1" thickBot="1">
      <c r="B5" s="1529" t="s">
        <v>110</v>
      </c>
      <c r="C5" s="1529"/>
      <c r="D5" s="1529"/>
      <c r="E5" s="1529"/>
      <c r="F5" s="1529"/>
      <c r="G5" s="1529"/>
      <c r="H5" s="1529"/>
      <c r="I5" s="1529"/>
      <c r="J5" s="135"/>
      <c r="K5" s="135"/>
      <c r="L5" s="135"/>
      <c r="M5" s="136" t="s">
        <v>0</v>
      </c>
      <c r="N5" s="131"/>
    </row>
    <row r="6" spans="2:15" s="137" customFormat="1" ht="18.75" customHeight="1" thickTop="1">
      <c r="B6" s="1530" t="s">
        <v>111</v>
      </c>
      <c r="C6" s="1531"/>
      <c r="D6" s="1534" t="s">
        <v>112</v>
      </c>
      <c r="E6" s="1531"/>
      <c r="F6" s="1538" t="s">
        <v>113</v>
      </c>
      <c r="G6" s="1539"/>
      <c r="H6" s="1539"/>
      <c r="I6" s="1539"/>
      <c r="J6" s="1539" t="s">
        <v>114</v>
      </c>
      <c r="K6" s="1540"/>
      <c r="L6" s="1540"/>
      <c r="M6" s="1541"/>
      <c r="O6" s="313"/>
    </row>
    <row r="7" spans="2:15" s="137" customFormat="1" ht="13.5" customHeight="1">
      <c r="B7" s="1532"/>
      <c r="C7" s="1533"/>
      <c r="D7" s="1535"/>
      <c r="E7" s="1533"/>
      <c r="F7" s="1542" t="s">
        <v>115</v>
      </c>
      <c r="G7" s="1543"/>
      <c r="H7" s="1548" t="s">
        <v>116</v>
      </c>
      <c r="I7" s="1509"/>
      <c r="J7" s="1552" t="s">
        <v>117</v>
      </c>
      <c r="K7" s="1553"/>
      <c r="L7" s="1508" t="s">
        <v>118</v>
      </c>
      <c r="M7" s="1509"/>
      <c r="O7" s="313"/>
    </row>
    <row r="8" spans="2:15" s="137" customFormat="1" ht="14.25">
      <c r="B8" s="1532"/>
      <c r="C8" s="1533"/>
      <c r="D8" s="1535"/>
      <c r="E8" s="1533"/>
      <c r="F8" s="1544"/>
      <c r="G8" s="1545"/>
      <c r="H8" s="1549"/>
      <c r="I8" s="1511"/>
      <c r="J8" s="1554"/>
      <c r="K8" s="1555"/>
      <c r="L8" s="1510"/>
      <c r="M8" s="1511"/>
      <c r="O8" s="313"/>
    </row>
    <row r="9" spans="2:15" s="137" customFormat="1" ht="18" customHeight="1">
      <c r="B9" s="1532"/>
      <c r="C9" s="1533"/>
      <c r="D9" s="1535"/>
      <c r="E9" s="1533"/>
      <c r="F9" s="1546"/>
      <c r="G9" s="1547"/>
      <c r="H9" s="1550"/>
      <c r="I9" s="1551"/>
      <c r="J9" s="1556"/>
      <c r="K9" s="1557"/>
      <c r="L9" s="1512"/>
      <c r="M9" s="1513"/>
      <c r="O9" s="313"/>
    </row>
    <row r="10" spans="2:15" s="137" customFormat="1" ht="13.5" customHeight="1">
      <c r="B10" s="1532"/>
      <c r="C10" s="1533"/>
      <c r="D10" s="1535"/>
      <c r="E10" s="1533"/>
      <c r="F10" s="1427">
        <v>0.0997</v>
      </c>
      <c r="G10" s="1428"/>
      <c r="H10" s="1514">
        <f>F10+0.0155</f>
        <v>0.1152</v>
      </c>
      <c r="I10" s="1515"/>
      <c r="J10" s="1518">
        <v>0.16766</v>
      </c>
      <c r="K10" s="1439"/>
      <c r="L10" s="1438">
        <v>0.17192</v>
      </c>
      <c r="M10" s="1440"/>
      <c r="O10" s="313"/>
    </row>
    <row r="11" spans="2:15" s="137" customFormat="1" ht="5.25" customHeight="1">
      <c r="B11" s="1532"/>
      <c r="C11" s="1533"/>
      <c r="D11" s="1535"/>
      <c r="E11" s="1533"/>
      <c r="F11" s="1430"/>
      <c r="G11" s="1431"/>
      <c r="H11" s="1516"/>
      <c r="I11" s="1517"/>
      <c r="J11" s="1518"/>
      <c r="K11" s="1439"/>
      <c r="L11" s="1438"/>
      <c r="M11" s="1440"/>
      <c r="O11" s="313"/>
    </row>
    <row r="12" spans="2:15" s="137" customFormat="1" ht="8.25" customHeight="1">
      <c r="B12" s="1519" t="s">
        <v>119</v>
      </c>
      <c r="C12" s="1521" t="s">
        <v>120</v>
      </c>
      <c r="D12" s="1535"/>
      <c r="E12" s="1533"/>
      <c r="F12" s="1502" t="s">
        <v>122</v>
      </c>
      <c r="G12" s="1524" t="s">
        <v>123</v>
      </c>
      <c r="H12" s="1502" t="s">
        <v>122</v>
      </c>
      <c r="I12" s="1496" t="s">
        <v>123</v>
      </c>
      <c r="J12" s="1498" t="s">
        <v>124</v>
      </c>
      <c r="K12" s="1500" t="s">
        <v>125</v>
      </c>
      <c r="L12" s="1502" t="s">
        <v>124</v>
      </c>
      <c r="M12" s="1504" t="s">
        <v>125</v>
      </c>
      <c r="O12" s="313"/>
    </row>
    <row r="13" spans="2:15" s="137" customFormat="1" ht="8.25" customHeight="1">
      <c r="B13" s="1520"/>
      <c r="C13" s="1522"/>
      <c r="D13" s="1536"/>
      <c r="E13" s="1537"/>
      <c r="F13" s="1523"/>
      <c r="G13" s="1525"/>
      <c r="H13" s="1523"/>
      <c r="I13" s="1497"/>
      <c r="J13" s="1499"/>
      <c r="K13" s="1501"/>
      <c r="L13" s="1503"/>
      <c r="M13" s="1497"/>
      <c r="O13" s="313"/>
    </row>
    <row r="14" spans="2:16" s="137" customFormat="1" ht="15" customHeight="1">
      <c r="B14" s="139"/>
      <c r="C14" s="1150"/>
      <c r="D14" s="143" t="s">
        <v>126</v>
      </c>
      <c r="E14" s="143" t="s">
        <v>127</v>
      </c>
      <c r="F14" s="1159"/>
      <c r="G14" s="151"/>
      <c r="H14" s="1172"/>
      <c r="I14" s="152"/>
      <c r="J14" s="1174"/>
      <c r="K14" s="154"/>
      <c r="L14" s="1159"/>
      <c r="M14" s="155"/>
      <c r="O14" s="313"/>
      <c r="P14" s="533"/>
    </row>
    <row r="15" spans="2:16" s="137" customFormat="1" ht="12.75" customHeight="1">
      <c r="B15" s="156">
        <v>1</v>
      </c>
      <c r="C15" s="1151">
        <v>58000</v>
      </c>
      <c r="D15" s="160">
        <v>0</v>
      </c>
      <c r="E15" s="160">
        <v>63000</v>
      </c>
      <c r="F15" s="1160">
        <f>C15*$F$10</f>
        <v>5782.599999999999</v>
      </c>
      <c r="G15" s="242">
        <f>F15/2</f>
        <v>2891.2999999999997</v>
      </c>
      <c r="H15" s="1160">
        <f>C15*$H$10</f>
        <v>6681.599999999999</v>
      </c>
      <c r="I15" s="1030">
        <f>H15/2</f>
        <v>3340.7999999999997</v>
      </c>
      <c r="J15" s="1175"/>
      <c r="K15" s="165"/>
      <c r="L15" s="1184"/>
      <c r="M15" s="163"/>
      <c r="N15" s="166"/>
      <c r="O15" s="313"/>
      <c r="P15" s="533"/>
    </row>
    <row r="16" spans="2:15" s="137" customFormat="1" ht="12.75" customHeight="1">
      <c r="B16" s="167">
        <v>2</v>
      </c>
      <c r="C16" s="1152">
        <v>68000</v>
      </c>
      <c r="D16" s="169">
        <v>63000</v>
      </c>
      <c r="E16" s="169">
        <v>73000</v>
      </c>
      <c r="F16" s="1161">
        <f aca="true" t="shared" si="0" ref="F16:F61">C16*$F$10</f>
        <v>6779.599999999999</v>
      </c>
      <c r="G16" s="243">
        <f aca="true" t="shared" si="1" ref="G16:G61">F16/2</f>
        <v>3389.7999999999997</v>
      </c>
      <c r="H16" s="1161">
        <f aca="true" t="shared" si="2" ref="H16:H61">C16*$H$10</f>
        <v>7833.599999999999</v>
      </c>
      <c r="I16" s="1169">
        <f aca="true" t="shared" si="3" ref="I16:I61">H16/2</f>
        <v>3916.7999999999997</v>
      </c>
      <c r="J16" s="1175"/>
      <c r="K16" s="165"/>
      <c r="L16" s="1184"/>
      <c r="M16" s="163"/>
      <c r="N16" s="166"/>
      <c r="O16" s="313"/>
    </row>
    <row r="17" spans="2:14" s="137" customFormat="1" ht="12.75" customHeight="1">
      <c r="B17" s="170">
        <v>3</v>
      </c>
      <c r="C17" s="1153">
        <v>78000</v>
      </c>
      <c r="D17" s="174">
        <v>73000</v>
      </c>
      <c r="E17" s="174">
        <v>83000</v>
      </c>
      <c r="F17" s="1162">
        <f t="shared" si="0"/>
        <v>7776.599999999999</v>
      </c>
      <c r="G17" s="244">
        <f t="shared" si="1"/>
        <v>3888.2999999999997</v>
      </c>
      <c r="H17" s="1162">
        <f t="shared" si="2"/>
        <v>8985.6</v>
      </c>
      <c r="I17" s="1170">
        <f t="shared" si="3"/>
        <v>4492.8</v>
      </c>
      <c r="J17" s="1175"/>
      <c r="K17" s="165"/>
      <c r="L17" s="1184"/>
      <c r="M17" s="163"/>
      <c r="N17" s="166"/>
    </row>
    <row r="18" spans="2:16" s="137" customFormat="1" ht="12.75" customHeight="1">
      <c r="B18" s="167">
        <v>4</v>
      </c>
      <c r="C18" s="1152">
        <v>88000</v>
      </c>
      <c r="D18" s="169">
        <v>83000</v>
      </c>
      <c r="E18" s="169">
        <v>93000</v>
      </c>
      <c r="F18" s="1161">
        <f t="shared" si="0"/>
        <v>8773.6</v>
      </c>
      <c r="G18" s="243">
        <f t="shared" si="1"/>
        <v>4386.8</v>
      </c>
      <c r="H18" s="1161">
        <f>C18*$H$10</f>
        <v>10137.6</v>
      </c>
      <c r="I18" s="1169">
        <f t="shared" si="3"/>
        <v>5068.8</v>
      </c>
      <c r="J18" s="1175"/>
      <c r="K18" s="165"/>
      <c r="L18" s="1184"/>
      <c r="M18" s="163"/>
      <c r="N18" s="166"/>
      <c r="P18" s="533"/>
    </row>
    <row r="19" spans="2:14" s="137" customFormat="1" ht="12.75" customHeight="1">
      <c r="B19" s="170" t="s">
        <v>128</v>
      </c>
      <c r="C19" s="1153">
        <v>98000</v>
      </c>
      <c r="D19" s="174">
        <v>93000</v>
      </c>
      <c r="E19" s="180">
        <v>101000</v>
      </c>
      <c r="F19" s="1163">
        <f t="shared" si="0"/>
        <v>9770.6</v>
      </c>
      <c r="G19" s="245">
        <f t="shared" si="1"/>
        <v>4885.3</v>
      </c>
      <c r="H19" s="1162">
        <f t="shared" si="2"/>
        <v>11289.6</v>
      </c>
      <c r="I19" s="1170">
        <f t="shared" si="3"/>
        <v>5644.8</v>
      </c>
      <c r="J19" s="1176">
        <f>C19*$J$10</f>
        <v>16430.68</v>
      </c>
      <c r="K19" s="1180">
        <f>J19/2</f>
        <v>8215.34</v>
      </c>
      <c r="L19" s="1185">
        <f>C19*$L$10</f>
        <v>16848.16</v>
      </c>
      <c r="M19" s="1026">
        <f>L19/2</f>
        <v>8424.08</v>
      </c>
      <c r="N19" s="138"/>
    </row>
    <row r="20" spans="2:16" s="137" customFormat="1" ht="12.75" customHeight="1">
      <c r="B20" s="167" t="s">
        <v>129</v>
      </c>
      <c r="C20" s="1152">
        <v>104000</v>
      </c>
      <c r="D20" s="169">
        <v>101000</v>
      </c>
      <c r="E20" s="187">
        <v>107000</v>
      </c>
      <c r="F20" s="1164">
        <f t="shared" si="0"/>
        <v>10368.8</v>
      </c>
      <c r="G20" s="246">
        <f t="shared" si="1"/>
        <v>5184.4</v>
      </c>
      <c r="H20" s="1161">
        <f t="shared" si="2"/>
        <v>11980.8</v>
      </c>
      <c r="I20" s="1169">
        <f t="shared" si="3"/>
        <v>5990.4</v>
      </c>
      <c r="J20" s="1177">
        <f aca="true" t="shared" si="4" ref="J20:J48">C20*$J$10</f>
        <v>17436.64</v>
      </c>
      <c r="K20" s="1181">
        <f aca="true" t="shared" si="5" ref="K20:K48">J20/2</f>
        <v>8718.32</v>
      </c>
      <c r="L20" s="1186">
        <f aca="true" t="shared" si="6" ref="L20:L48">C20*$L$10</f>
        <v>17879.68</v>
      </c>
      <c r="M20" s="1027">
        <f aca="true" t="shared" si="7" ref="M20:M48">L20/2</f>
        <v>8939.84</v>
      </c>
      <c r="N20" s="144"/>
      <c r="P20" s="534"/>
    </row>
    <row r="21" spans="2:15" s="137" customFormat="1" ht="12.75" customHeight="1">
      <c r="B21" s="170" t="s">
        <v>130</v>
      </c>
      <c r="C21" s="1153">
        <v>110000</v>
      </c>
      <c r="D21" s="174">
        <v>107000</v>
      </c>
      <c r="E21" s="180">
        <v>114000</v>
      </c>
      <c r="F21" s="1163">
        <f t="shared" si="0"/>
        <v>10967</v>
      </c>
      <c r="G21" s="245">
        <f t="shared" si="1"/>
        <v>5483.5</v>
      </c>
      <c r="H21" s="1162">
        <f t="shared" si="2"/>
        <v>12672</v>
      </c>
      <c r="I21" s="1170">
        <f t="shared" si="3"/>
        <v>6336</v>
      </c>
      <c r="J21" s="1178">
        <f t="shared" si="4"/>
        <v>18442.600000000002</v>
      </c>
      <c r="K21" s="1182">
        <f t="shared" si="5"/>
        <v>9221.300000000001</v>
      </c>
      <c r="L21" s="1187">
        <f t="shared" si="6"/>
        <v>18911.199999999997</v>
      </c>
      <c r="M21" s="1028">
        <f t="shared" si="7"/>
        <v>9455.599999999999</v>
      </c>
      <c r="N21" s="144"/>
      <c r="O21" s="314"/>
    </row>
    <row r="22" spans="2:15" s="137" customFormat="1" ht="12.75" customHeight="1">
      <c r="B22" s="167" t="s">
        <v>131</v>
      </c>
      <c r="C22" s="1152">
        <v>118000</v>
      </c>
      <c r="D22" s="169">
        <v>114000</v>
      </c>
      <c r="E22" s="187">
        <v>122000</v>
      </c>
      <c r="F22" s="1164">
        <f t="shared" si="0"/>
        <v>11764.6</v>
      </c>
      <c r="G22" s="246">
        <f t="shared" si="1"/>
        <v>5882.3</v>
      </c>
      <c r="H22" s="1161">
        <f t="shared" si="2"/>
        <v>13593.6</v>
      </c>
      <c r="I22" s="1169">
        <f t="shared" si="3"/>
        <v>6796.8</v>
      </c>
      <c r="J22" s="1177">
        <f t="shared" si="4"/>
        <v>19783.88</v>
      </c>
      <c r="K22" s="1181">
        <f t="shared" si="5"/>
        <v>9891.94</v>
      </c>
      <c r="L22" s="1186">
        <f t="shared" si="6"/>
        <v>20286.559999999998</v>
      </c>
      <c r="M22" s="1027">
        <f t="shared" si="7"/>
        <v>10143.279999999999</v>
      </c>
      <c r="N22" s="144"/>
      <c r="O22" s="314"/>
    </row>
    <row r="23" spans="2:15" s="137" customFormat="1" ht="12.75" customHeight="1">
      <c r="B23" s="170" t="s">
        <v>132</v>
      </c>
      <c r="C23" s="1153">
        <v>126000</v>
      </c>
      <c r="D23" s="174">
        <v>122000</v>
      </c>
      <c r="E23" s="180">
        <v>130000</v>
      </c>
      <c r="F23" s="1163">
        <f t="shared" si="0"/>
        <v>12562.199999999999</v>
      </c>
      <c r="G23" s="245">
        <f t="shared" si="1"/>
        <v>6281.099999999999</v>
      </c>
      <c r="H23" s="1162">
        <f t="shared" si="2"/>
        <v>14515.199999999999</v>
      </c>
      <c r="I23" s="1170">
        <f t="shared" si="3"/>
        <v>7257.599999999999</v>
      </c>
      <c r="J23" s="1178">
        <f t="shared" si="4"/>
        <v>21125.16</v>
      </c>
      <c r="K23" s="1182">
        <f t="shared" si="5"/>
        <v>10562.58</v>
      </c>
      <c r="L23" s="1187">
        <f t="shared" si="6"/>
        <v>21661.92</v>
      </c>
      <c r="M23" s="1028">
        <f t="shared" si="7"/>
        <v>10830.96</v>
      </c>
      <c r="N23" s="144"/>
      <c r="O23" s="314"/>
    </row>
    <row r="24" spans="2:15" s="137" customFormat="1" ht="12.75" customHeight="1">
      <c r="B24" s="167" t="s">
        <v>133</v>
      </c>
      <c r="C24" s="1154">
        <v>134000</v>
      </c>
      <c r="D24" s="1146">
        <v>130000</v>
      </c>
      <c r="E24" s="190">
        <v>138000</v>
      </c>
      <c r="F24" s="1165">
        <f t="shared" si="0"/>
        <v>13359.8</v>
      </c>
      <c r="G24" s="247">
        <f t="shared" si="1"/>
        <v>6679.9</v>
      </c>
      <c r="H24" s="1161">
        <f t="shared" si="2"/>
        <v>15436.8</v>
      </c>
      <c r="I24" s="1169">
        <f t="shared" si="3"/>
        <v>7718.4</v>
      </c>
      <c r="J24" s="1177">
        <f t="shared" si="4"/>
        <v>22466.44</v>
      </c>
      <c r="K24" s="1181">
        <f t="shared" si="5"/>
        <v>11233.22</v>
      </c>
      <c r="L24" s="1186">
        <f t="shared" si="6"/>
        <v>23037.28</v>
      </c>
      <c r="M24" s="1027">
        <f t="shared" si="7"/>
        <v>11518.64</v>
      </c>
      <c r="N24" s="144"/>
      <c r="O24" s="314"/>
    </row>
    <row r="25" spans="2:15" s="137" customFormat="1" ht="12.75" customHeight="1">
      <c r="B25" s="170" t="s">
        <v>134</v>
      </c>
      <c r="C25" s="1155">
        <v>142000</v>
      </c>
      <c r="D25" s="1147">
        <v>138000</v>
      </c>
      <c r="E25" s="195">
        <v>146000</v>
      </c>
      <c r="F25" s="1166">
        <f t="shared" si="0"/>
        <v>14157.4</v>
      </c>
      <c r="G25" s="248">
        <f t="shared" si="1"/>
        <v>7078.7</v>
      </c>
      <c r="H25" s="1162">
        <f t="shared" si="2"/>
        <v>16358.4</v>
      </c>
      <c r="I25" s="1170">
        <f t="shared" si="3"/>
        <v>8179.2</v>
      </c>
      <c r="J25" s="1178">
        <f t="shared" si="4"/>
        <v>23807.72</v>
      </c>
      <c r="K25" s="1182">
        <f t="shared" si="5"/>
        <v>11903.86</v>
      </c>
      <c r="L25" s="1187">
        <f t="shared" si="6"/>
        <v>24412.64</v>
      </c>
      <c r="M25" s="1028">
        <f t="shared" si="7"/>
        <v>12206.32</v>
      </c>
      <c r="N25" s="144"/>
      <c r="O25" s="314"/>
    </row>
    <row r="26" spans="2:15" s="137" customFormat="1" ht="12.75" customHeight="1">
      <c r="B26" s="167" t="s">
        <v>135</v>
      </c>
      <c r="C26" s="1154">
        <v>150000</v>
      </c>
      <c r="D26" s="1148">
        <v>146000</v>
      </c>
      <c r="E26" s="190">
        <v>155000</v>
      </c>
      <c r="F26" s="1165">
        <f t="shared" si="0"/>
        <v>14955</v>
      </c>
      <c r="G26" s="247">
        <f t="shared" si="1"/>
        <v>7477.5</v>
      </c>
      <c r="H26" s="1161">
        <f t="shared" si="2"/>
        <v>17280</v>
      </c>
      <c r="I26" s="1169">
        <f t="shared" si="3"/>
        <v>8640</v>
      </c>
      <c r="J26" s="1177">
        <f t="shared" si="4"/>
        <v>25149</v>
      </c>
      <c r="K26" s="1181">
        <f t="shared" si="5"/>
        <v>12574.5</v>
      </c>
      <c r="L26" s="1186">
        <f t="shared" si="6"/>
        <v>25788</v>
      </c>
      <c r="M26" s="1027">
        <f t="shared" si="7"/>
        <v>12894</v>
      </c>
      <c r="N26" s="144"/>
      <c r="O26" s="314"/>
    </row>
    <row r="27" spans="2:15" s="137" customFormat="1" ht="12.75" customHeight="1">
      <c r="B27" s="170" t="s">
        <v>136</v>
      </c>
      <c r="C27" s="1155">
        <v>160000</v>
      </c>
      <c r="D27" s="1147">
        <v>155000</v>
      </c>
      <c r="E27" s="195">
        <v>165000</v>
      </c>
      <c r="F27" s="1166">
        <f t="shared" si="0"/>
        <v>15952</v>
      </c>
      <c r="G27" s="248">
        <f t="shared" si="1"/>
        <v>7976</v>
      </c>
      <c r="H27" s="1162">
        <f t="shared" si="2"/>
        <v>18432</v>
      </c>
      <c r="I27" s="1170">
        <f t="shared" si="3"/>
        <v>9216</v>
      </c>
      <c r="J27" s="1178">
        <f t="shared" si="4"/>
        <v>26825.600000000002</v>
      </c>
      <c r="K27" s="1182">
        <f t="shared" si="5"/>
        <v>13412.800000000001</v>
      </c>
      <c r="L27" s="1187">
        <f t="shared" si="6"/>
        <v>27507.199999999997</v>
      </c>
      <c r="M27" s="1028">
        <f t="shared" si="7"/>
        <v>13753.599999999999</v>
      </c>
      <c r="N27" s="144"/>
      <c r="O27" s="314"/>
    </row>
    <row r="28" spans="2:15" s="137" customFormat="1" ht="12.75" customHeight="1">
      <c r="B28" s="167" t="s">
        <v>137</v>
      </c>
      <c r="C28" s="1154">
        <v>170000</v>
      </c>
      <c r="D28" s="1148">
        <v>165000</v>
      </c>
      <c r="E28" s="190">
        <v>175000</v>
      </c>
      <c r="F28" s="1165">
        <f t="shared" si="0"/>
        <v>16949</v>
      </c>
      <c r="G28" s="247">
        <f t="shared" si="1"/>
        <v>8474.5</v>
      </c>
      <c r="H28" s="1161">
        <f t="shared" si="2"/>
        <v>19584</v>
      </c>
      <c r="I28" s="1169">
        <f t="shared" si="3"/>
        <v>9792</v>
      </c>
      <c r="J28" s="1177">
        <f t="shared" si="4"/>
        <v>28502.2</v>
      </c>
      <c r="K28" s="1181">
        <f t="shared" si="5"/>
        <v>14251.1</v>
      </c>
      <c r="L28" s="1186">
        <f t="shared" si="6"/>
        <v>29226.399999999998</v>
      </c>
      <c r="M28" s="1027">
        <f t="shared" si="7"/>
        <v>14613.199999999999</v>
      </c>
      <c r="N28" s="144"/>
      <c r="O28" s="314"/>
    </row>
    <row r="29" spans="2:15" s="137" customFormat="1" ht="12.75" customHeight="1">
      <c r="B29" s="170" t="s">
        <v>138</v>
      </c>
      <c r="C29" s="1155">
        <v>180000</v>
      </c>
      <c r="D29" s="1147">
        <v>175000</v>
      </c>
      <c r="E29" s="195">
        <v>185000</v>
      </c>
      <c r="F29" s="1166">
        <f t="shared" si="0"/>
        <v>17946</v>
      </c>
      <c r="G29" s="248">
        <f t="shared" si="1"/>
        <v>8973</v>
      </c>
      <c r="H29" s="1162">
        <f t="shared" si="2"/>
        <v>20736</v>
      </c>
      <c r="I29" s="1170">
        <f t="shared" si="3"/>
        <v>10368</v>
      </c>
      <c r="J29" s="1178">
        <f t="shared" si="4"/>
        <v>30178.8</v>
      </c>
      <c r="K29" s="1182">
        <f t="shared" si="5"/>
        <v>15089.4</v>
      </c>
      <c r="L29" s="1187">
        <f t="shared" si="6"/>
        <v>30945.6</v>
      </c>
      <c r="M29" s="1028">
        <f t="shared" si="7"/>
        <v>15472.8</v>
      </c>
      <c r="N29" s="144"/>
      <c r="O29" s="314"/>
    </row>
    <row r="30" spans="2:15" s="137" customFormat="1" ht="12.75" customHeight="1">
      <c r="B30" s="167" t="s">
        <v>139</v>
      </c>
      <c r="C30" s="1154">
        <v>190000</v>
      </c>
      <c r="D30" s="1148">
        <v>185000</v>
      </c>
      <c r="E30" s="190">
        <v>195000</v>
      </c>
      <c r="F30" s="1165">
        <f t="shared" si="0"/>
        <v>18943</v>
      </c>
      <c r="G30" s="247">
        <f t="shared" si="1"/>
        <v>9471.5</v>
      </c>
      <c r="H30" s="1161">
        <f t="shared" si="2"/>
        <v>21888</v>
      </c>
      <c r="I30" s="1169">
        <f t="shared" si="3"/>
        <v>10944</v>
      </c>
      <c r="J30" s="1177">
        <f t="shared" si="4"/>
        <v>31855.4</v>
      </c>
      <c r="K30" s="1181">
        <f t="shared" si="5"/>
        <v>15927.7</v>
      </c>
      <c r="L30" s="1186">
        <f t="shared" si="6"/>
        <v>32664.8</v>
      </c>
      <c r="M30" s="1027">
        <f t="shared" si="7"/>
        <v>16332.4</v>
      </c>
      <c r="N30" s="144"/>
      <c r="O30" s="314"/>
    </row>
    <row r="31" spans="2:15" s="137" customFormat="1" ht="12.75" customHeight="1">
      <c r="B31" s="170" t="s">
        <v>140</v>
      </c>
      <c r="C31" s="1155">
        <v>200000</v>
      </c>
      <c r="D31" s="1147">
        <v>195000</v>
      </c>
      <c r="E31" s="195">
        <v>210000</v>
      </c>
      <c r="F31" s="1166">
        <f t="shared" si="0"/>
        <v>19940</v>
      </c>
      <c r="G31" s="248">
        <f t="shared" si="1"/>
        <v>9970</v>
      </c>
      <c r="H31" s="1162">
        <f t="shared" si="2"/>
        <v>23040</v>
      </c>
      <c r="I31" s="1170">
        <f t="shared" si="3"/>
        <v>11520</v>
      </c>
      <c r="J31" s="1178">
        <f t="shared" si="4"/>
        <v>33532</v>
      </c>
      <c r="K31" s="1182">
        <f t="shared" si="5"/>
        <v>16766</v>
      </c>
      <c r="L31" s="1187">
        <f t="shared" si="6"/>
        <v>34384</v>
      </c>
      <c r="M31" s="1028">
        <f t="shared" si="7"/>
        <v>17192</v>
      </c>
      <c r="N31" s="144"/>
      <c r="O31" s="314"/>
    </row>
    <row r="32" spans="2:15" s="137" customFormat="1" ht="12.75" customHeight="1">
      <c r="B32" s="167" t="s">
        <v>141</v>
      </c>
      <c r="C32" s="1154">
        <v>220000</v>
      </c>
      <c r="D32" s="1148">
        <v>210000</v>
      </c>
      <c r="E32" s="190">
        <v>230000</v>
      </c>
      <c r="F32" s="1165">
        <f t="shared" si="0"/>
        <v>21934</v>
      </c>
      <c r="G32" s="247">
        <f t="shared" si="1"/>
        <v>10967</v>
      </c>
      <c r="H32" s="1161">
        <f t="shared" si="2"/>
        <v>25344</v>
      </c>
      <c r="I32" s="1169">
        <f t="shared" si="3"/>
        <v>12672</v>
      </c>
      <c r="J32" s="1177">
        <f t="shared" si="4"/>
        <v>36885.200000000004</v>
      </c>
      <c r="K32" s="1181">
        <f t="shared" si="5"/>
        <v>18442.600000000002</v>
      </c>
      <c r="L32" s="1186">
        <f t="shared" si="6"/>
        <v>37822.399999999994</v>
      </c>
      <c r="M32" s="1027">
        <f t="shared" si="7"/>
        <v>18911.199999999997</v>
      </c>
      <c r="N32" s="144"/>
      <c r="O32" s="314"/>
    </row>
    <row r="33" spans="2:15" s="137" customFormat="1" ht="12.75" customHeight="1">
      <c r="B33" s="170" t="s">
        <v>142</v>
      </c>
      <c r="C33" s="1155">
        <v>240000</v>
      </c>
      <c r="D33" s="1147">
        <v>230000</v>
      </c>
      <c r="E33" s="195">
        <v>250000</v>
      </c>
      <c r="F33" s="1166">
        <f t="shared" si="0"/>
        <v>23928</v>
      </c>
      <c r="G33" s="248">
        <f t="shared" si="1"/>
        <v>11964</v>
      </c>
      <c r="H33" s="1162">
        <f t="shared" si="2"/>
        <v>27648</v>
      </c>
      <c r="I33" s="1170">
        <f t="shared" si="3"/>
        <v>13824</v>
      </c>
      <c r="J33" s="1178">
        <f t="shared" si="4"/>
        <v>40238.4</v>
      </c>
      <c r="K33" s="1182">
        <f t="shared" si="5"/>
        <v>20119.2</v>
      </c>
      <c r="L33" s="1187">
        <f t="shared" si="6"/>
        <v>41260.799999999996</v>
      </c>
      <c r="M33" s="1028">
        <f t="shared" si="7"/>
        <v>20630.399999999998</v>
      </c>
      <c r="N33" s="144"/>
      <c r="O33" s="314"/>
    </row>
    <row r="34" spans="2:15" s="137" customFormat="1" ht="12.75" customHeight="1">
      <c r="B34" s="167" t="s">
        <v>143</v>
      </c>
      <c r="C34" s="1154">
        <v>260000</v>
      </c>
      <c r="D34" s="1148">
        <v>250000</v>
      </c>
      <c r="E34" s="190">
        <v>270000</v>
      </c>
      <c r="F34" s="1165">
        <f t="shared" si="0"/>
        <v>25922</v>
      </c>
      <c r="G34" s="247">
        <f t="shared" si="1"/>
        <v>12961</v>
      </c>
      <c r="H34" s="1161">
        <f t="shared" si="2"/>
        <v>29952</v>
      </c>
      <c r="I34" s="1169">
        <f t="shared" si="3"/>
        <v>14976</v>
      </c>
      <c r="J34" s="1177">
        <f t="shared" si="4"/>
        <v>43591.6</v>
      </c>
      <c r="K34" s="1181">
        <f t="shared" si="5"/>
        <v>21795.8</v>
      </c>
      <c r="L34" s="1186">
        <f t="shared" si="6"/>
        <v>44699.2</v>
      </c>
      <c r="M34" s="1027">
        <f t="shared" si="7"/>
        <v>22349.6</v>
      </c>
      <c r="N34" s="144"/>
      <c r="O34" s="314"/>
    </row>
    <row r="35" spans="2:15" s="137" customFormat="1" ht="12.75" customHeight="1">
      <c r="B35" s="170" t="s">
        <v>144</v>
      </c>
      <c r="C35" s="1155">
        <v>280000</v>
      </c>
      <c r="D35" s="1147">
        <v>270000</v>
      </c>
      <c r="E35" s="195">
        <v>290000</v>
      </c>
      <c r="F35" s="1166">
        <f t="shared" si="0"/>
        <v>27916</v>
      </c>
      <c r="G35" s="248">
        <f t="shared" si="1"/>
        <v>13958</v>
      </c>
      <c r="H35" s="1162">
        <f t="shared" si="2"/>
        <v>32256</v>
      </c>
      <c r="I35" s="1170">
        <f t="shared" si="3"/>
        <v>16128</v>
      </c>
      <c r="J35" s="1178">
        <f t="shared" si="4"/>
        <v>46944.8</v>
      </c>
      <c r="K35" s="1182">
        <f t="shared" si="5"/>
        <v>23472.4</v>
      </c>
      <c r="L35" s="1187">
        <f t="shared" si="6"/>
        <v>48137.6</v>
      </c>
      <c r="M35" s="1028">
        <f t="shared" si="7"/>
        <v>24068.8</v>
      </c>
      <c r="N35" s="144"/>
      <c r="O35" s="314"/>
    </row>
    <row r="36" spans="2:15" s="137" customFormat="1" ht="12.75" customHeight="1">
      <c r="B36" s="167" t="s">
        <v>145</v>
      </c>
      <c r="C36" s="1154">
        <v>300000</v>
      </c>
      <c r="D36" s="1148">
        <v>290000</v>
      </c>
      <c r="E36" s="190">
        <v>310000</v>
      </c>
      <c r="F36" s="1165">
        <f t="shared" si="0"/>
        <v>29910</v>
      </c>
      <c r="G36" s="247">
        <f t="shared" si="1"/>
        <v>14955</v>
      </c>
      <c r="H36" s="1161">
        <f t="shared" si="2"/>
        <v>34560</v>
      </c>
      <c r="I36" s="1169">
        <f t="shared" si="3"/>
        <v>17280</v>
      </c>
      <c r="J36" s="1177">
        <f t="shared" si="4"/>
        <v>50298</v>
      </c>
      <c r="K36" s="1181">
        <f t="shared" si="5"/>
        <v>25149</v>
      </c>
      <c r="L36" s="1186">
        <f t="shared" si="6"/>
        <v>51576</v>
      </c>
      <c r="M36" s="1027">
        <f t="shared" si="7"/>
        <v>25788</v>
      </c>
      <c r="N36" s="144"/>
      <c r="O36" s="314"/>
    </row>
    <row r="37" spans="2:15" s="137" customFormat="1" ht="12.75" customHeight="1">
      <c r="B37" s="170" t="s">
        <v>146</v>
      </c>
      <c r="C37" s="1155">
        <v>320000</v>
      </c>
      <c r="D37" s="1147">
        <v>310000</v>
      </c>
      <c r="E37" s="195">
        <v>330000</v>
      </c>
      <c r="F37" s="1166">
        <f t="shared" si="0"/>
        <v>31904</v>
      </c>
      <c r="G37" s="248">
        <f t="shared" si="1"/>
        <v>15952</v>
      </c>
      <c r="H37" s="1162">
        <f t="shared" si="2"/>
        <v>36864</v>
      </c>
      <c r="I37" s="1170">
        <f t="shared" si="3"/>
        <v>18432</v>
      </c>
      <c r="J37" s="1178">
        <f t="shared" si="4"/>
        <v>53651.200000000004</v>
      </c>
      <c r="K37" s="1182">
        <f t="shared" si="5"/>
        <v>26825.600000000002</v>
      </c>
      <c r="L37" s="1187">
        <f t="shared" si="6"/>
        <v>55014.399999999994</v>
      </c>
      <c r="M37" s="1028">
        <f t="shared" si="7"/>
        <v>27507.199999999997</v>
      </c>
      <c r="N37" s="144"/>
      <c r="O37" s="314"/>
    </row>
    <row r="38" spans="2:15" s="137" customFormat="1" ht="12.75" customHeight="1">
      <c r="B38" s="167" t="s">
        <v>147</v>
      </c>
      <c r="C38" s="1154">
        <v>340000</v>
      </c>
      <c r="D38" s="1148">
        <v>330000</v>
      </c>
      <c r="E38" s="190">
        <v>350000</v>
      </c>
      <c r="F38" s="1165">
        <f t="shared" si="0"/>
        <v>33898</v>
      </c>
      <c r="G38" s="247">
        <f t="shared" si="1"/>
        <v>16949</v>
      </c>
      <c r="H38" s="1161">
        <f t="shared" si="2"/>
        <v>39168</v>
      </c>
      <c r="I38" s="1169">
        <f t="shared" si="3"/>
        <v>19584</v>
      </c>
      <c r="J38" s="1177">
        <f t="shared" si="4"/>
        <v>57004.4</v>
      </c>
      <c r="K38" s="1181">
        <f t="shared" si="5"/>
        <v>28502.2</v>
      </c>
      <c r="L38" s="1186">
        <f t="shared" si="6"/>
        <v>58452.799999999996</v>
      </c>
      <c r="M38" s="1027">
        <f t="shared" si="7"/>
        <v>29226.399999999998</v>
      </c>
      <c r="N38" s="144"/>
      <c r="O38" s="314"/>
    </row>
    <row r="39" spans="2:15" s="137" customFormat="1" ht="12.75" customHeight="1">
      <c r="B39" s="170" t="s">
        <v>148</v>
      </c>
      <c r="C39" s="1155">
        <v>360000</v>
      </c>
      <c r="D39" s="1147">
        <v>350000</v>
      </c>
      <c r="E39" s="195">
        <v>370000</v>
      </c>
      <c r="F39" s="1166">
        <f t="shared" si="0"/>
        <v>35892</v>
      </c>
      <c r="G39" s="248">
        <f t="shared" si="1"/>
        <v>17946</v>
      </c>
      <c r="H39" s="1162">
        <f t="shared" si="2"/>
        <v>41472</v>
      </c>
      <c r="I39" s="1170">
        <f t="shared" si="3"/>
        <v>20736</v>
      </c>
      <c r="J39" s="1178">
        <f t="shared" si="4"/>
        <v>60357.6</v>
      </c>
      <c r="K39" s="1182">
        <f t="shared" si="5"/>
        <v>30178.8</v>
      </c>
      <c r="L39" s="1187">
        <f t="shared" si="6"/>
        <v>61891.2</v>
      </c>
      <c r="M39" s="1028">
        <f t="shared" si="7"/>
        <v>30945.6</v>
      </c>
      <c r="N39" s="144"/>
      <c r="O39" s="314"/>
    </row>
    <row r="40" spans="2:15" s="137" customFormat="1" ht="12.75" customHeight="1">
      <c r="B40" s="167" t="s">
        <v>149</v>
      </c>
      <c r="C40" s="1154">
        <v>380000</v>
      </c>
      <c r="D40" s="1148">
        <v>370000</v>
      </c>
      <c r="E40" s="190">
        <v>395000</v>
      </c>
      <c r="F40" s="1165">
        <f t="shared" si="0"/>
        <v>37886</v>
      </c>
      <c r="G40" s="247">
        <f t="shared" si="1"/>
        <v>18943</v>
      </c>
      <c r="H40" s="1161">
        <f t="shared" si="2"/>
        <v>43776</v>
      </c>
      <c r="I40" s="1169">
        <f t="shared" si="3"/>
        <v>21888</v>
      </c>
      <c r="J40" s="1177">
        <f t="shared" si="4"/>
        <v>63710.8</v>
      </c>
      <c r="K40" s="1181">
        <f t="shared" si="5"/>
        <v>31855.4</v>
      </c>
      <c r="L40" s="1186">
        <f t="shared" si="6"/>
        <v>65329.6</v>
      </c>
      <c r="M40" s="1027">
        <f t="shared" si="7"/>
        <v>32664.8</v>
      </c>
      <c r="N40" s="144"/>
      <c r="O40" s="314"/>
    </row>
    <row r="41" spans="2:15" s="137" customFormat="1" ht="12.75" customHeight="1">
      <c r="B41" s="170" t="s">
        <v>150</v>
      </c>
      <c r="C41" s="1155">
        <v>410000</v>
      </c>
      <c r="D41" s="1147">
        <v>395000</v>
      </c>
      <c r="E41" s="195">
        <v>425000</v>
      </c>
      <c r="F41" s="1166">
        <f t="shared" si="0"/>
        <v>40877</v>
      </c>
      <c r="G41" s="248">
        <f t="shared" si="1"/>
        <v>20438.5</v>
      </c>
      <c r="H41" s="1162">
        <f t="shared" si="2"/>
        <v>47232</v>
      </c>
      <c r="I41" s="1170">
        <f t="shared" si="3"/>
        <v>23616</v>
      </c>
      <c r="J41" s="1178">
        <f t="shared" si="4"/>
        <v>68740.6</v>
      </c>
      <c r="K41" s="1182">
        <f t="shared" si="5"/>
        <v>34370.3</v>
      </c>
      <c r="L41" s="1187">
        <f t="shared" si="6"/>
        <v>70487.2</v>
      </c>
      <c r="M41" s="1028">
        <f t="shared" si="7"/>
        <v>35243.6</v>
      </c>
      <c r="N41" s="144"/>
      <c r="O41" s="314"/>
    </row>
    <row r="42" spans="2:15" s="137" customFormat="1" ht="12.75" customHeight="1">
      <c r="B42" s="167" t="s">
        <v>151</v>
      </c>
      <c r="C42" s="1154">
        <v>440000</v>
      </c>
      <c r="D42" s="1148">
        <v>425000</v>
      </c>
      <c r="E42" s="190">
        <v>455000</v>
      </c>
      <c r="F42" s="1165">
        <f t="shared" si="0"/>
        <v>43868</v>
      </c>
      <c r="G42" s="247">
        <f t="shared" si="1"/>
        <v>21934</v>
      </c>
      <c r="H42" s="1161">
        <f t="shared" si="2"/>
        <v>50688</v>
      </c>
      <c r="I42" s="1169">
        <f t="shared" si="3"/>
        <v>25344</v>
      </c>
      <c r="J42" s="1177">
        <f t="shared" si="4"/>
        <v>73770.40000000001</v>
      </c>
      <c r="K42" s="1181">
        <f t="shared" si="5"/>
        <v>36885.200000000004</v>
      </c>
      <c r="L42" s="1186">
        <f t="shared" si="6"/>
        <v>75644.79999999999</v>
      </c>
      <c r="M42" s="1027">
        <f t="shared" si="7"/>
        <v>37822.399999999994</v>
      </c>
      <c r="N42" s="144"/>
      <c r="O42" s="315"/>
    </row>
    <row r="43" spans="2:15" s="137" customFormat="1" ht="12.75" customHeight="1">
      <c r="B43" s="170" t="s">
        <v>152</v>
      </c>
      <c r="C43" s="1155">
        <v>470000</v>
      </c>
      <c r="D43" s="1147">
        <v>455000</v>
      </c>
      <c r="E43" s="195">
        <v>485000</v>
      </c>
      <c r="F43" s="1166">
        <f t="shared" si="0"/>
        <v>46859</v>
      </c>
      <c r="G43" s="248">
        <f t="shared" si="1"/>
        <v>23429.5</v>
      </c>
      <c r="H43" s="1162">
        <f t="shared" si="2"/>
        <v>54144</v>
      </c>
      <c r="I43" s="1170">
        <f t="shared" si="3"/>
        <v>27072</v>
      </c>
      <c r="J43" s="1178">
        <f t="shared" si="4"/>
        <v>78800.2</v>
      </c>
      <c r="K43" s="1182">
        <f t="shared" si="5"/>
        <v>39400.1</v>
      </c>
      <c r="L43" s="1187">
        <f t="shared" si="6"/>
        <v>80802.4</v>
      </c>
      <c r="M43" s="1028">
        <f t="shared" si="7"/>
        <v>40401.2</v>
      </c>
      <c r="N43" s="144"/>
      <c r="O43" s="313"/>
    </row>
    <row r="44" spans="2:15" s="137" customFormat="1" ht="12.75" customHeight="1">
      <c r="B44" s="167" t="s">
        <v>153</v>
      </c>
      <c r="C44" s="1154">
        <v>500000</v>
      </c>
      <c r="D44" s="1148">
        <v>485000</v>
      </c>
      <c r="E44" s="190">
        <v>515000</v>
      </c>
      <c r="F44" s="1165">
        <f t="shared" si="0"/>
        <v>49850</v>
      </c>
      <c r="G44" s="247">
        <f t="shared" si="1"/>
        <v>24925</v>
      </c>
      <c r="H44" s="1161">
        <f t="shared" si="2"/>
        <v>57600</v>
      </c>
      <c r="I44" s="1169">
        <f t="shared" si="3"/>
        <v>28800</v>
      </c>
      <c r="J44" s="1177">
        <f t="shared" si="4"/>
        <v>83830</v>
      </c>
      <c r="K44" s="1181">
        <f t="shared" si="5"/>
        <v>41915</v>
      </c>
      <c r="L44" s="1186">
        <f t="shared" si="6"/>
        <v>85960</v>
      </c>
      <c r="M44" s="1027">
        <f t="shared" si="7"/>
        <v>42980</v>
      </c>
      <c r="N44" s="144"/>
      <c r="O44" s="313"/>
    </row>
    <row r="45" spans="2:15" s="137" customFormat="1" ht="12.75" customHeight="1">
      <c r="B45" s="170" t="s">
        <v>154</v>
      </c>
      <c r="C45" s="1155">
        <v>530000</v>
      </c>
      <c r="D45" s="1147">
        <v>515000</v>
      </c>
      <c r="E45" s="195">
        <v>545000</v>
      </c>
      <c r="F45" s="1166">
        <f t="shared" si="0"/>
        <v>52841</v>
      </c>
      <c r="G45" s="248">
        <f t="shared" si="1"/>
        <v>26420.5</v>
      </c>
      <c r="H45" s="1162">
        <f t="shared" si="2"/>
        <v>61056</v>
      </c>
      <c r="I45" s="1170">
        <f t="shared" si="3"/>
        <v>30528</v>
      </c>
      <c r="J45" s="1178">
        <f t="shared" si="4"/>
        <v>88859.8</v>
      </c>
      <c r="K45" s="1182">
        <f t="shared" si="5"/>
        <v>44429.9</v>
      </c>
      <c r="L45" s="1187">
        <f t="shared" si="6"/>
        <v>91117.59999999999</v>
      </c>
      <c r="M45" s="1028">
        <f t="shared" si="7"/>
        <v>45558.799999999996</v>
      </c>
      <c r="N45" s="144"/>
      <c r="O45" s="313"/>
    </row>
    <row r="46" spans="2:15" s="137" customFormat="1" ht="12.75" customHeight="1">
      <c r="B46" s="167" t="s">
        <v>155</v>
      </c>
      <c r="C46" s="1154">
        <v>560000</v>
      </c>
      <c r="D46" s="1148">
        <v>545000</v>
      </c>
      <c r="E46" s="190">
        <v>575000</v>
      </c>
      <c r="F46" s="1165">
        <f t="shared" si="0"/>
        <v>55832</v>
      </c>
      <c r="G46" s="247">
        <f t="shared" si="1"/>
        <v>27916</v>
      </c>
      <c r="H46" s="1161">
        <f t="shared" si="2"/>
        <v>64512</v>
      </c>
      <c r="I46" s="1169">
        <f t="shared" si="3"/>
        <v>32256</v>
      </c>
      <c r="J46" s="1177">
        <f t="shared" si="4"/>
        <v>93889.6</v>
      </c>
      <c r="K46" s="1181">
        <f t="shared" si="5"/>
        <v>46944.8</v>
      </c>
      <c r="L46" s="1186">
        <f t="shared" si="6"/>
        <v>96275.2</v>
      </c>
      <c r="M46" s="1027">
        <f t="shared" si="7"/>
        <v>48137.6</v>
      </c>
      <c r="N46" s="144"/>
      <c r="O46" s="313"/>
    </row>
    <row r="47" spans="2:15" s="137" customFormat="1" ht="12.75" customHeight="1">
      <c r="B47" s="170" t="s">
        <v>156</v>
      </c>
      <c r="C47" s="1155">
        <v>590000</v>
      </c>
      <c r="D47" s="1147">
        <v>575000</v>
      </c>
      <c r="E47" s="195">
        <v>605000</v>
      </c>
      <c r="F47" s="1166">
        <f t="shared" si="0"/>
        <v>58823</v>
      </c>
      <c r="G47" s="248">
        <f t="shared" si="1"/>
        <v>29411.5</v>
      </c>
      <c r="H47" s="1162">
        <f t="shared" si="2"/>
        <v>67968</v>
      </c>
      <c r="I47" s="1170">
        <f t="shared" si="3"/>
        <v>33984</v>
      </c>
      <c r="J47" s="1178">
        <f t="shared" si="4"/>
        <v>98919.40000000001</v>
      </c>
      <c r="K47" s="1182">
        <f t="shared" si="5"/>
        <v>49459.700000000004</v>
      </c>
      <c r="L47" s="1187">
        <f t="shared" si="6"/>
        <v>101432.79999999999</v>
      </c>
      <c r="M47" s="1028">
        <f t="shared" si="7"/>
        <v>50716.399999999994</v>
      </c>
      <c r="N47" s="144"/>
      <c r="O47" s="313"/>
    </row>
    <row r="48" spans="2:15" s="137" customFormat="1" ht="12.75" customHeight="1" thickBot="1">
      <c r="B48" s="167" t="s">
        <v>157</v>
      </c>
      <c r="C48" s="1154">
        <v>620000</v>
      </c>
      <c r="D48" s="1148">
        <v>605000</v>
      </c>
      <c r="E48" s="190">
        <v>635000</v>
      </c>
      <c r="F48" s="1165">
        <f t="shared" si="0"/>
        <v>61814</v>
      </c>
      <c r="G48" s="247">
        <f t="shared" si="1"/>
        <v>30907</v>
      </c>
      <c r="H48" s="1161">
        <f t="shared" si="2"/>
        <v>71424</v>
      </c>
      <c r="I48" s="1169">
        <f t="shared" si="3"/>
        <v>35712</v>
      </c>
      <c r="J48" s="1179">
        <f t="shared" si="4"/>
        <v>103949.2</v>
      </c>
      <c r="K48" s="1183">
        <f t="shared" si="5"/>
        <v>51974.6</v>
      </c>
      <c r="L48" s="1188">
        <f t="shared" si="6"/>
        <v>106590.4</v>
      </c>
      <c r="M48" s="1029">
        <f t="shared" si="7"/>
        <v>53295.2</v>
      </c>
      <c r="N48" s="144"/>
      <c r="O48" s="313"/>
    </row>
    <row r="49" spans="2:15" s="137" customFormat="1" ht="12.75" customHeight="1" thickTop="1">
      <c r="B49" s="203">
        <v>35</v>
      </c>
      <c r="C49" s="1155">
        <v>650000</v>
      </c>
      <c r="D49" s="1147">
        <v>635000</v>
      </c>
      <c r="E49" s="195">
        <v>665000</v>
      </c>
      <c r="F49" s="1166">
        <f t="shared" si="0"/>
        <v>64805</v>
      </c>
      <c r="G49" s="248">
        <f t="shared" si="1"/>
        <v>32402.5</v>
      </c>
      <c r="H49" s="1162">
        <f t="shared" si="2"/>
        <v>74880</v>
      </c>
      <c r="I49" s="1170">
        <f t="shared" si="3"/>
        <v>37440</v>
      </c>
      <c r="J49" s="1505" t="s">
        <v>158</v>
      </c>
      <c r="K49" s="1506"/>
      <c r="L49" s="1506"/>
      <c r="M49" s="1506"/>
      <c r="N49" s="166"/>
      <c r="O49" s="314"/>
    </row>
    <row r="50" spans="2:15" s="137" customFormat="1" ht="12.75" customHeight="1">
      <c r="B50" s="205">
        <v>36</v>
      </c>
      <c r="C50" s="1154">
        <v>680000</v>
      </c>
      <c r="D50" s="1148">
        <v>665000</v>
      </c>
      <c r="E50" s="190">
        <v>695000</v>
      </c>
      <c r="F50" s="1165">
        <f t="shared" si="0"/>
        <v>67796</v>
      </c>
      <c r="G50" s="247">
        <f t="shared" si="1"/>
        <v>33898</v>
      </c>
      <c r="H50" s="1161">
        <f t="shared" si="2"/>
        <v>78336</v>
      </c>
      <c r="I50" s="1169">
        <f t="shared" si="3"/>
        <v>39168</v>
      </c>
      <c r="J50" s="1507"/>
      <c r="K50" s="1507"/>
      <c r="L50" s="1507"/>
      <c r="M50" s="1507"/>
      <c r="N50" s="166"/>
      <c r="O50" s="314"/>
    </row>
    <row r="51" spans="2:15" s="137" customFormat="1" ht="12.75" customHeight="1">
      <c r="B51" s="203">
        <v>37</v>
      </c>
      <c r="C51" s="1155">
        <v>710000</v>
      </c>
      <c r="D51" s="1147">
        <v>695000</v>
      </c>
      <c r="E51" s="195">
        <v>730000</v>
      </c>
      <c r="F51" s="1166">
        <f t="shared" si="0"/>
        <v>70787</v>
      </c>
      <c r="G51" s="248">
        <f t="shared" si="1"/>
        <v>35393.5</v>
      </c>
      <c r="H51" s="1162">
        <f t="shared" si="2"/>
        <v>81792</v>
      </c>
      <c r="I51" s="1170">
        <f t="shared" si="3"/>
        <v>40896</v>
      </c>
      <c r="J51" s="1507"/>
      <c r="K51" s="1507"/>
      <c r="L51" s="1507"/>
      <c r="M51" s="1507"/>
      <c r="N51" s="166"/>
      <c r="O51" s="314"/>
    </row>
    <row r="52" spans="2:15" s="137" customFormat="1" ht="12.75" customHeight="1">
      <c r="B52" s="205">
        <v>38</v>
      </c>
      <c r="C52" s="1154">
        <v>750000</v>
      </c>
      <c r="D52" s="1148">
        <v>730000</v>
      </c>
      <c r="E52" s="190">
        <v>770000</v>
      </c>
      <c r="F52" s="1165">
        <f t="shared" si="0"/>
        <v>74775</v>
      </c>
      <c r="G52" s="247">
        <f t="shared" si="1"/>
        <v>37387.5</v>
      </c>
      <c r="H52" s="1161">
        <f t="shared" si="2"/>
        <v>86400</v>
      </c>
      <c r="I52" s="1169">
        <f t="shared" si="3"/>
        <v>43200</v>
      </c>
      <c r="J52" s="1507"/>
      <c r="K52" s="1507"/>
      <c r="L52" s="1507"/>
      <c r="M52" s="1507"/>
      <c r="N52" s="166"/>
      <c r="O52" s="314"/>
    </row>
    <row r="53" spans="2:15" s="137" customFormat="1" ht="12.75" customHeight="1">
      <c r="B53" s="203">
        <v>39</v>
      </c>
      <c r="C53" s="1155">
        <v>790000</v>
      </c>
      <c r="D53" s="1147">
        <v>770000</v>
      </c>
      <c r="E53" s="195">
        <v>810000</v>
      </c>
      <c r="F53" s="1166">
        <f t="shared" si="0"/>
        <v>78763</v>
      </c>
      <c r="G53" s="248">
        <f t="shared" si="1"/>
        <v>39381.5</v>
      </c>
      <c r="H53" s="1162">
        <f t="shared" si="2"/>
        <v>91008</v>
      </c>
      <c r="I53" s="1170">
        <f t="shared" si="3"/>
        <v>45504</v>
      </c>
      <c r="J53" s="1507"/>
      <c r="K53" s="1507"/>
      <c r="L53" s="1507"/>
      <c r="M53" s="1507"/>
      <c r="N53" s="166"/>
      <c r="O53" s="314"/>
    </row>
    <row r="54" spans="2:15" s="137" customFormat="1" ht="12.75" customHeight="1">
      <c r="B54" s="205">
        <v>40</v>
      </c>
      <c r="C54" s="1154">
        <v>830000</v>
      </c>
      <c r="D54" s="1148">
        <v>810000</v>
      </c>
      <c r="E54" s="190">
        <v>855000</v>
      </c>
      <c r="F54" s="1165">
        <f t="shared" si="0"/>
        <v>82751</v>
      </c>
      <c r="G54" s="247">
        <f t="shared" si="1"/>
        <v>41375.5</v>
      </c>
      <c r="H54" s="1161">
        <f t="shared" si="2"/>
        <v>95616</v>
      </c>
      <c r="I54" s="1169">
        <f t="shared" si="3"/>
        <v>47808</v>
      </c>
      <c r="J54" s="1507"/>
      <c r="K54" s="1507"/>
      <c r="L54" s="1507"/>
      <c r="M54" s="1507"/>
      <c r="N54" s="166"/>
      <c r="O54" s="314"/>
    </row>
    <row r="55" spans="2:15" s="137" customFormat="1" ht="12.75" customHeight="1">
      <c r="B55" s="203">
        <v>41</v>
      </c>
      <c r="C55" s="1151">
        <v>880000</v>
      </c>
      <c r="D55" s="1149">
        <v>855000</v>
      </c>
      <c r="E55" s="209">
        <v>905000</v>
      </c>
      <c r="F55" s="1167">
        <f t="shared" si="0"/>
        <v>87736</v>
      </c>
      <c r="G55" s="1158">
        <f t="shared" si="1"/>
        <v>43868</v>
      </c>
      <c r="H55" s="1162">
        <f t="shared" si="2"/>
        <v>101376</v>
      </c>
      <c r="I55" s="1170">
        <f t="shared" si="3"/>
        <v>50688</v>
      </c>
      <c r="J55" s="1507"/>
      <c r="K55" s="1507"/>
      <c r="L55" s="1507"/>
      <c r="M55" s="1507"/>
      <c r="N55" s="166"/>
      <c r="O55" s="314"/>
    </row>
    <row r="56" spans="2:15" s="137" customFormat="1" ht="21" customHeight="1">
      <c r="B56" s="205">
        <v>42</v>
      </c>
      <c r="C56" s="1152">
        <v>930000</v>
      </c>
      <c r="D56" s="169">
        <v>905000</v>
      </c>
      <c r="E56" s="187">
        <v>955000</v>
      </c>
      <c r="F56" s="1164">
        <f t="shared" si="0"/>
        <v>92721</v>
      </c>
      <c r="G56" s="246">
        <f t="shared" si="1"/>
        <v>46360.5</v>
      </c>
      <c r="H56" s="1161">
        <f t="shared" si="2"/>
        <v>107136</v>
      </c>
      <c r="I56" s="1169">
        <f t="shared" si="3"/>
        <v>53568</v>
      </c>
      <c r="J56" s="1507"/>
      <c r="K56" s="1507"/>
      <c r="L56" s="1507"/>
      <c r="M56" s="1507"/>
      <c r="N56" s="166"/>
      <c r="O56" s="314"/>
    </row>
    <row r="57" spans="2:34" s="137" customFormat="1" ht="12.75" customHeight="1">
      <c r="B57" s="213">
        <v>43</v>
      </c>
      <c r="C57" s="1153">
        <v>980000</v>
      </c>
      <c r="D57" s="174">
        <v>955000</v>
      </c>
      <c r="E57" s="180">
        <v>1005000</v>
      </c>
      <c r="F57" s="1163">
        <f t="shared" si="0"/>
        <v>97706</v>
      </c>
      <c r="G57" s="245">
        <f t="shared" si="1"/>
        <v>48853</v>
      </c>
      <c r="H57" s="1162">
        <f t="shared" si="2"/>
        <v>112896</v>
      </c>
      <c r="I57" s="1170">
        <f t="shared" si="3"/>
        <v>56448</v>
      </c>
      <c r="J57" s="1507"/>
      <c r="K57" s="1507"/>
      <c r="L57" s="1507"/>
      <c r="M57" s="1507"/>
      <c r="N57" s="144"/>
      <c r="O57" s="314"/>
      <c r="P57" s="138"/>
      <c r="Q57" s="138"/>
      <c r="R57" s="138"/>
      <c r="S57" s="138"/>
      <c r="T57" s="138"/>
      <c r="U57" s="138"/>
      <c r="V57" s="138"/>
      <c r="W57" s="138"/>
      <c r="X57" s="138"/>
      <c r="Y57" s="138"/>
      <c r="Z57" s="138"/>
      <c r="AA57" s="138"/>
      <c r="AB57" s="138"/>
      <c r="AC57" s="138"/>
      <c r="AD57" s="138"/>
      <c r="AE57" s="138"/>
      <c r="AF57" s="138"/>
      <c r="AG57" s="138"/>
      <c r="AH57" s="138"/>
    </row>
    <row r="58" spans="2:34" s="137" customFormat="1" ht="12.75" customHeight="1">
      <c r="B58" s="215">
        <v>44</v>
      </c>
      <c r="C58" s="1156">
        <v>1030000</v>
      </c>
      <c r="D58" s="169">
        <v>1005000</v>
      </c>
      <c r="E58" s="168">
        <v>1055000</v>
      </c>
      <c r="F58" s="1164">
        <f t="shared" si="0"/>
        <v>102691</v>
      </c>
      <c r="G58" s="246">
        <f t="shared" si="1"/>
        <v>51345.5</v>
      </c>
      <c r="H58" s="1161">
        <f t="shared" si="2"/>
        <v>118656</v>
      </c>
      <c r="I58" s="1169">
        <f t="shared" si="3"/>
        <v>59328</v>
      </c>
      <c r="J58" s="1507"/>
      <c r="K58" s="1507"/>
      <c r="L58" s="1507"/>
      <c r="M58" s="1507"/>
      <c r="N58" s="144"/>
      <c r="O58" s="314"/>
      <c r="P58" s="138"/>
      <c r="Q58" s="138"/>
      <c r="R58" s="138"/>
      <c r="S58" s="138"/>
      <c r="T58" s="138"/>
      <c r="U58" s="138"/>
      <c r="V58" s="138"/>
      <c r="W58" s="138"/>
      <c r="X58" s="138"/>
      <c r="Y58" s="138"/>
      <c r="Z58" s="138"/>
      <c r="AA58" s="138"/>
      <c r="AB58" s="138"/>
      <c r="AC58" s="138"/>
      <c r="AD58" s="138"/>
      <c r="AE58" s="138"/>
      <c r="AF58" s="138"/>
      <c r="AG58" s="138"/>
      <c r="AH58" s="138"/>
    </row>
    <row r="59" spans="2:34" s="137" customFormat="1" ht="12.75" customHeight="1">
      <c r="B59" s="216">
        <v>45</v>
      </c>
      <c r="C59" s="172">
        <v>1090000</v>
      </c>
      <c r="D59" s="174">
        <v>1055000</v>
      </c>
      <c r="E59" s="173">
        <v>1115000</v>
      </c>
      <c r="F59" s="1163">
        <f t="shared" si="0"/>
        <v>108673</v>
      </c>
      <c r="G59" s="245">
        <f t="shared" si="1"/>
        <v>54336.5</v>
      </c>
      <c r="H59" s="1162">
        <f t="shared" si="2"/>
        <v>125568</v>
      </c>
      <c r="I59" s="1170">
        <f t="shared" si="3"/>
        <v>62784</v>
      </c>
      <c r="J59" s="1507"/>
      <c r="K59" s="1507"/>
      <c r="L59" s="1507"/>
      <c r="M59" s="1507"/>
      <c r="N59" s="144"/>
      <c r="O59" s="314"/>
      <c r="P59" s="138"/>
      <c r="Q59" s="138"/>
      <c r="R59" s="138"/>
      <c r="S59" s="138"/>
      <c r="T59" s="138"/>
      <c r="U59" s="138"/>
      <c r="V59" s="138"/>
      <c r="W59" s="138"/>
      <c r="X59" s="138"/>
      <c r="Y59" s="138"/>
      <c r="Z59" s="138"/>
      <c r="AA59" s="138"/>
      <c r="AB59" s="138"/>
      <c r="AC59" s="138"/>
      <c r="AD59" s="138"/>
      <c r="AE59" s="138"/>
      <c r="AF59" s="138"/>
      <c r="AG59" s="138"/>
      <c r="AH59" s="138"/>
    </row>
    <row r="60" spans="2:34" s="137" customFormat="1" ht="12.75" customHeight="1">
      <c r="B60" s="215">
        <v>46</v>
      </c>
      <c r="C60" s="1156">
        <v>1150000</v>
      </c>
      <c r="D60" s="169">
        <v>1115000</v>
      </c>
      <c r="E60" s="168">
        <v>1175000</v>
      </c>
      <c r="F60" s="1164">
        <f t="shared" si="0"/>
        <v>114655</v>
      </c>
      <c r="G60" s="246">
        <f t="shared" si="1"/>
        <v>57327.5</v>
      </c>
      <c r="H60" s="1161">
        <f t="shared" si="2"/>
        <v>132480</v>
      </c>
      <c r="I60" s="1169">
        <f t="shared" si="3"/>
        <v>66240</v>
      </c>
      <c r="J60" s="1507"/>
      <c r="K60" s="1507"/>
      <c r="L60" s="1507"/>
      <c r="M60" s="1507"/>
      <c r="N60" s="144"/>
      <c r="O60" s="314"/>
      <c r="P60" s="138"/>
      <c r="Q60" s="138"/>
      <c r="R60" s="138"/>
      <c r="S60" s="138"/>
      <c r="T60" s="138"/>
      <c r="U60" s="138"/>
      <c r="V60" s="138"/>
      <c r="W60" s="138"/>
      <c r="X60" s="138"/>
      <c r="Y60" s="138"/>
      <c r="Z60" s="138"/>
      <c r="AA60" s="138"/>
      <c r="AB60" s="138"/>
      <c r="AC60" s="138"/>
      <c r="AD60" s="138"/>
      <c r="AE60" s="138"/>
      <c r="AF60" s="138"/>
      <c r="AG60" s="138"/>
      <c r="AH60" s="138"/>
    </row>
    <row r="61" spans="2:34" s="137" customFormat="1" ht="12.75" customHeight="1" thickBot="1">
      <c r="B61" s="217">
        <v>47</v>
      </c>
      <c r="C61" s="1157">
        <v>1210000</v>
      </c>
      <c r="D61" s="218">
        <v>1175000</v>
      </c>
      <c r="E61" s="222"/>
      <c r="F61" s="1168">
        <f t="shared" si="0"/>
        <v>120637</v>
      </c>
      <c r="G61" s="251">
        <f t="shared" si="1"/>
        <v>60318.5</v>
      </c>
      <c r="H61" s="1173">
        <f t="shared" si="2"/>
        <v>139392</v>
      </c>
      <c r="I61" s="1171">
        <f t="shared" si="3"/>
        <v>69696</v>
      </c>
      <c r="J61" s="1507"/>
      <c r="K61" s="1507"/>
      <c r="L61" s="1507"/>
      <c r="M61" s="1507"/>
      <c r="N61" s="144"/>
      <c r="O61" s="314"/>
      <c r="P61" s="138"/>
      <c r="Q61" s="138"/>
      <c r="R61" s="138"/>
      <c r="S61" s="138"/>
      <c r="T61" s="138"/>
      <c r="U61" s="138"/>
      <c r="V61" s="138"/>
      <c r="W61" s="138"/>
      <c r="X61" s="138"/>
      <c r="Y61" s="138"/>
      <c r="Z61" s="138"/>
      <c r="AA61" s="138"/>
      <c r="AB61" s="138"/>
      <c r="AC61" s="138"/>
      <c r="AD61" s="138"/>
      <c r="AE61" s="138"/>
      <c r="AF61" s="138"/>
      <c r="AG61" s="138"/>
      <c r="AH61" s="138"/>
    </row>
    <row r="62" spans="2:15" s="137" customFormat="1" ht="12" customHeight="1" thickTop="1">
      <c r="B62" s="225"/>
      <c r="C62" s="225"/>
      <c r="D62" s="225"/>
      <c r="E62" s="225"/>
      <c r="F62" s="225"/>
      <c r="G62" s="225"/>
      <c r="H62" s="225"/>
      <c r="I62" s="225"/>
      <c r="J62" s="225"/>
      <c r="K62" s="225"/>
      <c r="L62" s="225"/>
      <c r="M62" s="225"/>
      <c r="N62" s="225"/>
      <c r="O62" s="314"/>
    </row>
    <row r="63" spans="1:15" s="137" customFormat="1" ht="12.75" customHeight="1">
      <c r="A63" s="1491">
        <f>F10</f>
        <v>0.0997</v>
      </c>
      <c r="B63" s="1491"/>
      <c r="C63" s="1491"/>
      <c r="D63" s="1491"/>
      <c r="E63" s="1491"/>
      <c r="F63" s="1491"/>
      <c r="G63" s="1491"/>
      <c r="H63" s="1491"/>
      <c r="I63" s="1491"/>
      <c r="J63" s="1491"/>
      <c r="K63" s="1491"/>
      <c r="L63" s="1491"/>
      <c r="M63" s="1491"/>
      <c r="N63" s="1491"/>
      <c r="O63" s="313"/>
    </row>
    <row r="64" spans="1:15" s="137" customFormat="1" ht="12" customHeight="1">
      <c r="A64" s="226"/>
      <c r="B64" s="227" t="s">
        <v>52</v>
      </c>
      <c r="C64" s="227"/>
      <c r="D64" s="227"/>
      <c r="E64" s="227"/>
      <c r="F64" s="227"/>
      <c r="G64" s="227"/>
      <c r="H64" s="227"/>
      <c r="I64" s="227"/>
      <c r="J64" s="227"/>
      <c r="K64" s="227"/>
      <c r="L64" s="227"/>
      <c r="M64" s="227"/>
      <c r="N64" s="227"/>
      <c r="O64" s="313"/>
    </row>
    <row r="65" spans="1:15" s="137" customFormat="1" ht="12.75" customHeight="1">
      <c r="A65" s="1486" t="s">
        <v>159</v>
      </c>
      <c r="B65" s="1486"/>
      <c r="C65" s="1486"/>
      <c r="D65" s="1486"/>
      <c r="E65" s="1486"/>
      <c r="F65" s="1486"/>
      <c r="G65" s="1486"/>
      <c r="H65" s="1486"/>
      <c r="I65" s="1486"/>
      <c r="J65" s="1486"/>
      <c r="K65" s="1486"/>
      <c r="L65" s="1486"/>
      <c r="M65" s="1486"/>
      <c r="N65" s="227"/>
      <c r="O65" s="313"/>
    </row>
    <row r="66" spans="1:15" s="137" customFormat="1" ht="12.75" customHeight="1">
      <c r="A66" s="1492" t="s">
        <v>160</v>
      </c>
      <c r="B66" s="1492"/>
      <c r="C66" s="1492"/>
      <c r="D66" s="1492"/>
      <c r="E66" s="1492"/>
      <c r="F66" s="1492"/>
      <c r="G66" s="1492"/>
      <c r="H66" s="1492"/>
      <c r="I66" s="1492"/>
      <c r="J66" s="1492"/>
      <c r="K66" s="1492"/>
      <c r="L66" s="1492"/>
      <c r="M66" s="1492"/>
      <c r="N66" s="227"/>
      <c r="O66" s="313"/>
    </row>
    <row r="67" spans="1:15" s="137" customFormat="1" ht="12.75" customHeight="1">
      <c r="A67" s="1493" t="s">
        <v>161</v>
      </c>
      <c r="B67" s="1494"/>
      <c r="C67" s="1494"/>
      <c r="D67" s="1494"/>
      <c r="E67" s="1494"/>
      <c r="F67" s="1494"/>
      <c r="G67" s="1494"/>
      <c r="H67" s="1494"/>
      <c r="I67" s="1494"/>
      <c r="J67" s="1494"/>
      <c r="K67" s="1494"/>
      <c r="L67" s="1494"/>
      <c r="M67" s="1494"/>
      <c r="N67" s="227"/>
      <c r="O67" s="313"/>
    </row>
    <row r="68" spans="1:15" s="137" customFormat="1" ht="13.5" customHeight="1">
      <c r="A68" s="226"/>
      <c r="B68" s="227" t="s">
        <v>52</v>
      </c>
      <c r="C68" s="227"/>
      <c r="D68" s="227"/>
      <c r="E68" s="227"/>
      <c r="F68" s="227"/>
      <c r="G68" s="227"/>
      <c r="H68" s="227"/>
      <c r="I68" s="227"/>
      <c r="J68" s="227"/>
      <c r="K68" s="227"/>
      <c r="L68" s="227"/>
      <c r="M68" s="227"/>
      <c r="N68" s="227"/>
      <c r="O68" s="313"/>
    </row>
    <row r="69" spans="1:15" s="137" customFormat="1" ht="12.75" customHeight="1">
      <c r="A69" s="1486" t="s">
        <v>162</v>
      </c>
      <c r="B69" s="1486"/>
      <c r="C69" s="1486"/>
      <c r="D69" s="1486"/>
      <c r="E69" s="1486"/>
      <c r="F69" s="1486"/>
      <c r="G69" s="1486"/>
      <c r="H69" s="1486"/>
      <c r="I69" s="1486"/>
      <c r="J69" s="1486"/>
      <c r="K69" s="1486"/>
      <c r="L69" s="1486"/>
      <c r="M69" s="1486"/>
      <c r="N69" s="227"/>
      <c r="O69" s="313"/>
    </row>
    <row r="70" spans="1:15" s="137" customFormat="1" ht="14.25" customHeight="1">
      <c r="A70" s="226"/>
      <c r="B70" s="227"/>
      <c r="C70" s="227"/>
      <c r="D70" s="227"/>
      <c r="E70" s="227"/>
      <c r="F70" s="227"/>
      <c r="G70" s="227"/>
      <c r="H70" s="227"/>
      <c r="I70" s="227"/>
      <c r="J70" s="227"/>
      <c r="K70" s="227"/>
      <c r="L70" s="227"/>
      <c r="M70" s="227"/>
      <c r="N70" s="227"/>
      <c r="O70" s="313"/>
    </row>
    <row r="71" spans="1:15" s="137" customFormat="1" ht="12.75" customHeight="1">
      <c r="A71" s="1486" t="s">
        <v>163</v>
      </c>
      <c r="B71" s="1495"/>
      <c r="C71" s="1495"/>
      <c r="D71" s="1495"/>
      <c r="E71" s="1495"/>
      <c r="F71" s="1495"/>
      <c r="G71" s="1495"/>
      <c r="H71" s="1495"/>
      <c r="I71" s="1495"/>
      <c r="J71" s="228"/>
      <c r="K71" s="228"/>
      <c r="L71" s="228"/>
      <c r="M71" s="228"/>
      <c r="N71" s="226"/>
      <c r="O71" s="313"/>
    </row>
    <row r="72" spans="1:15" s="137" customFormat="1" ht="12.75" customHeight="1">
      <c r="A72" s="1487" t="s">
        <v>164</v>
      </c>
      <c r="B72" s="1487"/>
      <c r="C72" s="1487"/>
      <c r="D72" s="1487"/>
      <c r="E72" s="1487"/>
      <c r="F72" s="1487"/>
      <c r="G72" s="1487"/>
      <c r="H72" s="1487"/>
      <c r="I72" s="1487"/>
      <c r="J72" s="1487"/>
      <c r="K72" s="1487"/>
      <c r="L72" s="1488"/>
      <c r="M72" s="1488"/>
      <c r="O72" s="313"/>
    </row>
    <row r="73" spans="1:15" s="137" customFormat="1" ht="12.75" customHeight="1">
      <c r="A73" s="1487" t="s">
        <v>165</v>
      </c>
      <c r="B73" s="1487"/>
      <c r="C73" s="1487"/>
      <c r="D73" s="1487"/>
      <c r="E73" s="1487"/>
      <c r="F73" s="1487"/>
      <c r="G73" s="1487"/>
      <c r="H73" s="1487"/>
      <c r="I73" s="1487"/>
      <c r="J73" s="1487"/>
      <c r="K73" s="1487"/>
      <c r="L73" s="1488"/>
      <c r="M73" s="1488"/>
      <c r="O73" s="313"/>
    </row>
    <row r="74" spans="1:15" s="137" customFormat="1" ht="12.75" customHeight="1">
      <c r="A74" s="1487" t="s">
        <v>166</v>
      </c>
      <c r="B74" s="1487"/>
      <c r="C74" s="1487"/>
      <c r="D74" s="1487"/>
      <c r="E74" s="1487"/>
      <c r="F74" s="1487"/>
      <c r="G74" s="1487"/>
      <c r="H74" s="1487"/>
      <c r="I74" s="1487"/>
      <c r="J74" s="1487"/>
      <c r="K74" s="1487"/>
      <c r="L74" s="1488"/>
      <c r="M74" s="1488"/>
      <c r="O74" s="313"/>
    </row>
    <row r="75" spans="1:15" s="137" customFormat="1" ht="15" customHeight="1">
      <c r="A75" s="1485"/>
      <c r="B75" s="1485"/>
      <c r="C75" s="1485"/>
      <c r="D75" s="1485"/>
      <c r="E75" s="1485"/>
      <c r="F75" s="1485"/>
      <c r="G75" s="1485"/>
      <c r="H75" s="1485"/>
      <c r="I75" s="1485"/>
      <c r="J75" s="229"/>
      <c r="K75" s="229"/>
      <c r="L75" s="229"/>
      <c r="M75" s="229"/>
      <c r="O75" s="313"/>
    </row>
    <row r="76" spans="1:15" s="137" customFormat="1" ht="12.75" customHeight="1">
      <c r="A76" s="1486" t="s">
        <v>167</v>
      </c>
      <c r="B76" s="1486"/>
      <c r="C76" s="1486"/>
      <c r="D76" s="1486"/>
      <c r="E76" s="1486"/>
      <c r="F76" s="1486"/>
      <c r="G76" s="1486"/>
      <c r="H76" s="1486"/>
      <c r="I76" s="1486"/>
      <c r="J76" s="1486"/>
      <c r="K76" s="1486"/>
      <c r="L76" s="1486"/>
      <c r="M76" s="1486"/>
      <c r="O76" s="313"/>
    </row>
    <row r="77" spans="1:15" s="137" customFormat="1" ht="12.75" customHeight="1">
      <c r="A77" s="1489" t="s">
        <v>168</v>
      </c>
      <c r="B77" s="1489"/>
      <c r="C77" s="1489"/>
      <c r="D77" s="1489"/>
      <c r="E77" s="1489"/>
      <c r="F77" s="1489"/>
      <c r="G77" s="1489"/>
      <c r="H77" s="1489"/>
      <c r="I77" s="1489"/>
      <c r="J77" s="1489"/>
      <c r="K77" s="1489"/>
      <c r="L77" s="1490"/>
      <c r="M77" s="1490"/>
      <c r="O77" s="313"/>
    </row>
    <row r="78" spans="1:15" s="137" customFormat="1" ht="3.75" customHeight="1">
      <c r="A78" s="229"/>
      <c r="B78" s="229"/>
      <c r="C78" s="229"/>
      <c r="D78" s="229"/>
      <c r="E78" s="229"/>
      <c r="F78" s="229"/>
      <c r="G78" s="229"/>
      <c r="H78" s="229"/>
      <c r="I78" s="229"/>
      <c r="J78" s="229"/>
      <c r="K78" s="229"/>
      <c r="L78" s="229"/>
      <c r="M78" s="229"/>
      <c r="O78" s="313"/>
    </row>
    <row r="79" spans="1:15" s="137" customFormat="1" ht="12.75" customHeight="1">
      <c r="A79" s="1486" t="s">
        <v>169</v>
      </c>
      <c r="B79" s="1486"/>
      <c r="C79" s="1486"/>
      <c r="D79" s="1486"/>
      <c r="E79" s="1486"/>
      <c r="F79" s="1486"/>
      <c r="G79" s="1486"/>
      <c r="H79" s="1486"/>
      <c r="I79" s="1486"/>
      <c r="J79" s="229"/>
      <c r="K79" s="229"/>
      <c r="L79" s="229"/>
      <c r="M79" s="229"/>
      <c r="O79" s="313"/>
    </row>
    <row r="80" spans="1:15" s="137" customFormat="1" ht="12.75" customHeight="1">
      <c r="A80" s="1487" t="s">
        <v>170</v>
      </c>
      <c r="B80" s="1487"/>
      <c r="C80" s="1487"/>
      <c r="D80" s="1487"/>
      <c r="E80" s="1487"/>
      <c r="F80" s="1487"/>
      <c r="G80" s="1487"/>
      <c r="H80" s="1487"/>
      <c r="I80" s="1487"/>
      <c r="J80" s="1487"/>
      <c r="K80" s="1487"/>
      <c r="L80" s="1488"/>
      <c r="M80" s="229"/>
      <c r="O80" s="313"/>
    </row>
    <row r="81" spans="1:15" s="137" customFormat="1" ht="12.75" customHeight="1">
      <c r="A81" s="1489" t="s">
        <v>171</v>
      </c>
      <c r="B81" s="1490"/>
      <c r="C81" s="1490"/>
      <c r="D81" s="1490"/>
      <c r="E81" s="1490"/>
      <c r="F81" s="1490"/>
      <c r="G81" s="1490"/>
      <c r="H81" s="1490"/>
      <c r="I81" s="1490"/>
      <c r="J81" s="1490"/>
      <c r="K81" s="1490"/>
      <c r="L81" s="1490"/>
      <c r="M81" s="1490"/>
      <c r="O81" s="313"/>
    </row>
    <row r="82" spans="1:15" s="137" customFormat="1" ht="3" customHeight="1">
      <c r="A82" s="229"/>
      <c r="B82" s="229"/>
      <c r="C82" s="229"/>
      <c r="D82" s="229"/>
      <c r="E82" s="229"/>
      <c r="F82" s="229"/>
      <c r="G82" s="229"/>
      <c r="H82" s="229"/>
      <c r="I82" s="229"/>
      <c r="J82" s="229"/>
      <c r="K82" s="229"/>
      <c r="L82" s="229"/>
      <c r="M82" s="229"/>
      <c r="O82" s="313"/>
    </row>
    <row r="83" spans="1:15" s="137" customFormat="1" ht="12" customHeight="1">
      <c r="A83" s="1486" t="s">
        <v>172</v>
      </c>
      <c r="B83" s="1486"/>
      <c r="C83" s="1486"/>
      <c r="D83" s="1486"/>
      <c r="E83" s="1486"/>
      <c r="F83" s="1486"/>
      <c r="G83" s="1486"/>
      <c r="H83" s="1486"/>
      <c r="I83" s="1486"/>
      <c r="J83" s="1486"/>
      <c r="K83" s="1486"/>
      <c r="L83" s="1486"/>
      <c r="M83" s="229"/>
      <c r="O83" s="313"/>
    </row>
    <row r="84" spans="1:15" s="137" customFormat="1" ht="12" customHeight="1">
      <c r="A84" s="1489" t="s">
        <v>173</v>
      </c>
      <c r="B84" s="1489"/>
      <c r="C84" s="1489"/>
      <c r="D84" s="1489"/>
      <c r="E84" s="1489"/>
      <c r="F84" s="1489"/>
      <c r="G84" s="1489"/>
      <c r="H84" s="1489"/>
      <c r="I84" s="1489"/>
      <c r="J84" s="1489"/>
      <c r="K84" s="1489"/>
      <c r="L84" s="1489"/>
      <c r="M84" s="1489"/>
      <c r="O84" s="313"/>
    </row>
    <row r="85" spans="1:15" s="137" customFormat="1" ht="12" customHeight="1">
      <c r="A85" s="1487" t="s">
        <v>174</v>
      </c>
      <c r="B85" s="1487"/>
      <c r="C85" s="1487"/>
      <c r="D85" s="1487"/>
      <c r="E85" s="1487"/>
      <c r="F85" s="1487"/>
      <c r="G85" s="1487"/>
      <c r="H85" s="1487"/>
      <c r="I85" s="1487"/>
      <c r="J85" s="1487"/>
      <c r="K85" s="1487"/>
      <c r="L85" s="1487"/>
      <c r="M85" s="1487"/>
      <c r="O85" s="313"/>
    </row>
    <row r="86" spans="1:15" s="137" customFormat="1" ht="2.25" customHeight="1">
      <c r="A86" s="1485"/>
      <c r="B86" s="1485"/>
      <c r="C86" s="1485"/>
      <c r="D86" s="1485"/>
      <c r="E86" s="1485"/>
      <c r="F86" s="1485"/>
      <c r="G86" s="1485"/>
      <c r="H86" s="1485"/>
      <c r="I86" s="1485"/>
      <c r="J86" s="229"/>
      <c r="K86" s="229"/>
      <c r="L86" s="229"/>
      <c r="M86" s="229"/>
      <c r="O86" s="313"/>
    </row>
    <row r="87" spans="3:15" s="137" customFormat="1" ht="14.25">
      <c r="C87" s="230"/>
      <c r="H87" s="231"/>
      <c r="I87" s="231"/>
      <c r="J87" s="231"/>
      <c r="K87" s="231"/>
      <c r="L87" s="231"/>
      <c r="M87" s="231"/>
      <c r="O87" s="313"/>
    </row>
    <row r="88" spans="3:15" s="137" customFormat="1" ht="14.25">
      <c r="C88" s="230"/>
      <c r="H88" s="231"/>
      <c r="I88" s="231"/>
      <c r="J88" s="231"/>
      <c r="K88" s="231"/>
      <c r="L88" s="231"/>
      <c r="M88" s="231"/>
      <c r="O88" s="313"/>
    </row>
    <row r="89" spans="3:15" s="137" customFormat="1" ht="14.25">
      <c r="C89" s="230"/>
      <c r="H89" s="231"/>
      <c r="I89" s="231"/>
      <c r="J89" s="231"/>
      <c r="K89" s="231"/>
      <c r="L89" s="231"/>
      <c r="M89" s="231"/>
      <c r="O89" s="313"/>
    </row>
    <row r="90" spans="3:15" s="137" customFormat="1" ht="14.25">
      <c r="C90" s="230"/>
      <c r="H90" s="231"/>
      <c r="I90" s="231"/>
      <c r="J90" s="231"/>
      <c r="K90" s="231"/>
      <c r="L90" s="231"/>
      <c r="M90" s="231"/>
      <c r="O90" s="313"/>
    </row>
    <row r="91" spans="3:15" s="137" customFormat="1" ht="14.25">
      <c r="C91" s="230"/>
      <c r="H91" s="231"/>
      <c r="I91" s="231"/>
      <c r="J91" s="231"/>
      <c r="K91" s="231"/>
      <c r="L91" s="231"/>
      <c r="M91" s="231"/>
      <c r="O91" s="313"/>
    </row>
    <row r="92" spans="3:15" s="137" customFormat="1" ht="14.25">
      <c r="C92" s="230"/>
      <c r="H92" s="231"/>
      <c r="I92" s="231"/>
      <c r="J92" s="231"/>
      <c r="K92" s="231"/>
      <c r="L92" s="231"/>
      <c r="M92" s="231"/>
      <c r="O92" s="313"/>
    </row>
    <row r="93" spans="3:15" s="137" customFormat="1" ht="14.25">
      <c r="C93" s="230"/>
      <c r="H93" s="231"/>
      <c r="I93" s="231"/>
      <c r="J93" s="231"/>
      <c r="K93" s="231"/>
      <c r="L93" s="231"/>
      <c r="M93" s="231"/>
      <c r="O93" s="313"/>
    </row>
    <row r="94" spans="3:15" s="137" customFormat="1" ht="14.25">
      <c r="C94" s="230"/>
      <c r="H94" s="231"/>
      <c r="I94" s="231"/>
      <c r="J94" s="231"/>
      <c r="K94" s="231"/>
      <c r="L94" s="231"/>
      <c r="M94" s="231"/>
      <c r="O94" s="313"/>
    </row>
    <row r="95" spans="3:15" s="137" customFormat="1" ht="14.25">
      <c r="C95" s="230"/>
      <c r="H95" s="231"/>
      <c r="I95" s="231"/>
      <c r="J95" s="231"/>
      <c r="K95" s="231"/>
      <c r="L95" s="231"/>
      <c r="M95" s="231"/>
      <c r="O95" s="313"/>
    </row>
    <row r="96" spans="3:15" s="137" customFormat="1" ht="14.25">
      <c r="C96" s="230"/>
      <c r="H96" s="231"/>
      <c r="I96" s="231"/>
      <c r="J96" s="231"/>
      <c r="K96" s="231"/>
      <c r="L96" s="231"/>
      <c r="M96" s="231"/>
      <c r="O96" s="313"/>
    </row>
    <row r="97" spans="3:15" s="137" customFormat="1" ht="14.25">
      <c r="C97" s="230"/>
      <c r="H97" s="231"/>
      <c r="I97" s="231"/>
      <c r="J97" s="231"/>
      <c r="K97" s="231"/>
      <c r="L97" s="231"/>
      <c r="M97" s="231"/>
      <c r="O97" s="313"/>
    </row>
    <row r="98" spans="3:15" s="137" customFormat="1" ht="14.25">
      <c r="C98" s="230"/>
      <c r="H98" s="231"/>
      <c r="I98" s="231"/>
      <c r="J98" s="231"/>
      <c r="K98" s="231"/>
      <c r="L98" s="231"/>
      <c r="M98" s="231"/>
      <c r="O98" s="313"/>
    </row>
    <row r="99" spans="3:15" s="137" customFormat="1" ht="14.25">
      <c r="C99" s="230"/>
      <c r="H99" s="231"/>
      <c r="I99" s="231"/>
      <c r="J99" s="231"/>
      <c r="K99" s="231"/>
      <c r="L99" s="231"/>
      <c r="M99" s="231"/>
      <c r="O99" s="313"/>
    </row>
    <row r="100" spans="3:15" s="137" customFormat="1" ht="14.25">
      <c r="C100" s="230"/>
      <c r="H100" s="231"/>
      <c r="I100" s="231"/>
      <c r="J100" s="231"/>
      <c r="K100" s="231"/>
      <c r="L100" s="231"/>
      <c r="M100" s="231"/>
      <c r="O100" s="313"/>
    </row>
    <row r="101" spans="3:15" s="137" customFormat="1" ht="14.25">
      <c r="C101" s="230"/>
      <c r="H101" s="231"/>
      <c r="I101" s="231"/>
      <c r="J101" s="231"/>
      <c r="K101" s="231"/>
      <c r="L101" s="231"/>
      <c r="M101" s="231"/>
      <c r="O101" s="313"/>
    </row>
    <row r="102" spans="3:15" s="137" customFormat="1" ht="14.25">
      <c r="C102" s="230"/>
      <c r="H102" s="231"/>
      <c r="I102" s="231"/>
      <c r="J102" s="231"/>
      <c r="K102" s="231"/>
      <c r="L102" s="231"/>
      <c r="M102" s="231"/>
      <c r="O102" s="313"/>
    </row>
    <row r="103" spans="3:15" s="137" customFormat="1" ht="14.25">
      <c r="C103" s="230"/>
      <c r="H103" s="231"/>
      <c r="I103" s="231"/>
      <c r="J103" s="231"/>
      <c r="K103" s="231"/>
      <c r="L103" s="231"/>
      <c r="M103" s="231"/>
      <c r="O103" s="313"/>
    </row>
    <row r="104" spans="3:15" s="137" customFormat="1" ht="14.25">
      <c r="C104" s="230"/>
      <c r="H104" s="231"/>
      <c r="I104" s="231"/>
      <c r="J104" s="231"/>
      <c r="K104" s="231"/>
      <c r="L104" s="231"/>
      <c r="M104" s="231"/>
      <c r="O104" s="313"/>
    </row>
    <row r="105" spans="3:15" s="137" customFormat="1" ht="14.25">
      <c r="C105" s="230"/>
      <c r="H105" s="231"/>
      <c r="I105" s="231"/>
      <c r="J105" s="231"/>
      <c r="K105" s="231"/>
      <c r="L105" s="231"/>
      <c r="M105" s="231"/>
      <c r="O105" s="313"/>
    </row>
    <row r="106" spans="3:15" s="137" customFormat="1" ht="14.25">
      <c r="C106" s="230"/>
      <c r="H106" s="231"/>
      <c r="I106" s="231"/>
      <c r="J106" s="231"/>
      <c r="K106" s="231"/>
      <c r="L106" s="231"/>
      <c r="M106" s="231"/>
      <c r="O106" s="313"/>
    </row>
    <row r="107" spans="3:15" s="137" customFormat="1" ht="14.25">
      <c r="C107" s="230"/>
      <c r="H107" s="231"/>
      <c r="I107" s="231"/>
      <c r="J107" s="231"/>
      <c r="K107" s="231"/>
      <c r="L107" s="231"/>
      <c r="M107" s="231"/>
      <c r="O107" s="313"/>
    </row>
    <row r="108" spans="3:15" s="137" customFormat="1" ht="14.25">
      <c r="C108" s="230"/>
      <c r="H108" s="231"/>
      <c r="I108" s="231"/>
      <c r="J108" s="231"/>
      <c r="K108" s="231"/>
      <c r="L108" s="231"/>
      <c r="M108" s="231"/>
      <c r="O108" s="313"/>
    </row>
    <row r="109" spans="3:15" s="137" customFormat="1" ht="14.25">
      <c r="C109" s="230"/>
      <c r="H109" s="231"/>
      <c r="I109" s="231"/>
      <c r="J109" s="231"/>
      <c r="K109" s="231"/>
      <c r="L109" s="231"/>
      <c r="M109" s="231"/>
      <c r="O109" s="313"/>
    </row>
    <row r="110" spans="3:15" s="137" customFormat="1" ht="14.25">
      <c r="C110" s="230"/>
      <c r="H110" s="231"/>
      <c r="I110" s="231"/>
      <c r="J110" s="231"/>
      <c r="K110" s="231"/>
      <c r="L110" s="231"/>
      <c r="M110" s="231"/>
      <c r="O110" s="313"/>
    </row>
    <row r="111" spans="3:15" s="137" customFormat="1" ht="14.25">
      <c r="C111" s="230"/>
      <c r="H111" s="231"/>
      <c r="I111" s="231"/>
      <c r="J111" s="231"/>
      <c r="K111" s="231"/>
      <c r="L111" s="231"/>
      <c r="M111" s="231"/>
      <c r="O111" s="313"/>
    </row>
    <row r="112" spans="3:15" s="137" customFormat="1" ht="14.25">
      <c r="C112" s="230"/>
      <c r="H112" s="231"/>
      <c r="I112" s="231"/>
      <c r="J112" s="231"/>
      <c r="K112" s="231"/>
      <c r="L112" s="231"/>
      <c r="M112" s="231"/>
      <c r="O112" s="313"/>
    </row>
    <row r="113" spans="3:15" s="137" customFormat="1" ht="14.25">
      <c r="C113" s="230"/>
      <c r="H113" s="231"/>
      <c r="I113" s="231"/>
      <c r="J113" s="231"/>
      <c r="K113" s="231"/>
      <c r="L113" s="231"/>
      <c r="M113" s="231"/>
      <c r="O113" s="313"/>
    </row>
    <row r="114" spans="3:15" s="137" customFormat="1" ht="14.25">
      <c r="C114" s="230"/>
      <c r="H114" s="231"/>
      <c r="I114" s="231"/>
      <c r="J114" s="231"/>
      <c r="K114" s="231"/>
      <c r="L114" s="231"/>
      <c r="M114" s="231"/>
      <c r="O114" s="313"/>
    </row>
    <row r="115" spans="3:15" s="137" customFormat="1" ht="14.25">
      <c r="C115" s="230"/>
      <c r="H115" s="231"/>
      <c r="I115" s="231"/>
      <c r="J115" s="231"/>
      <c r="K115" s="231"/>
      <c r="L115" s="231"/>
      <c r="M115" s="231"/>
      <c r="O115" s="313"/>
    </row>
    <row r="116" spans="3:15" s="137" customFormat="1" ht="14.25">
      <c r="C116" s="230"/>
      <c r="H116" s="231"/>
      <c r="I116" s="231"/>
      <c r="J116" s="231"/>
      <c r="K116" s="231"/>
      <c r="L116" s="231"/>
      <c r="M116" s="231"/>
      <c r="O116" s="313"/>
    </row>
    <row r="117" spans="3:15" s="137" customFormat="1" ht="14.25">
      <c r="C117" s="230"/>
      <c r="H117" s="231"/>
      <c r="I117" s="231"/>
      <c r="J117" s="231"/>
      <c r="K117" s="231"/>
      <c r="L117" s="231"/>
      <c r="M117" s="231"/>
      <c r="O117" s="313"/>
    </row>
    <row r="118" spans="3:15" s="137" customFormat="1" ht="14.25">
      <c r="C118" s="230"/>
      <c r="H118" s="231"/>
      <c r="I118" s="231"/>
      <c r="J118" s="231"/>
      <c r="K118" s="231"/>
      <c r="L118" s="231"/>
      <c r="M118" s="231"/>
      <c r="O118" s="313"/>
    </row>
    <row r="119" spans="3:15" s="137" customFormat="1" ht="14.25">
      <c r="C119" s="230"/>
      <c r="H119" s="231"/>
      <c r="I119" s="231"/>
      <c r="J119" s="231"/>
      <c r="K119" s="231"/>
      <c r="L119" s="231"/>
      <c r="M119" s="231"/>
      <c r="O119" s="313"/>
    </row>
    <row r="120" spans="3:15" s="137" customFormat="1" ht="14.25">
      <c r="C120" s="230"/>
      <c r="H120" s="231"/>
      <c r="I120" s="231"/>
      <c r="J120" s="231"/>
      <c r="K120" s="231"/>
      <c r="L120" s="231"/>
      <c r="M120" s="231"/>
      <c r="O120" s="313"/>
    </row>
    <row r="121" spans="3:15" s="137" customFormat="1" ht="14.25">
      <c r="C121" s="230"/>
      <c r="H121" s="231"/>
      <c r="I121" s="231"/>
      <c r="J121" s="231"/>
      <c r="K121" s="231"/>
      <c r="L121" s="231"/>
      <c r="M121" s="231"/>
      <c r="O121" s="313"/>
    </row>
    <row r="122" spans="3:15" s="137" customFormat="1" ht="14.25">
      <c r="C122" s="230"/>
      <c r="H122" s="231"/>
      <c r="I122" s="231"/>
      <c r="J122" s="231"/>
      <c r="K122" s="231"/>
      <c r="L122" s="231"/>
      <c r="M122" s="231"/>
      <c r="O122" s="313"/>
    </row>
    <row r="123" spans="3:15" s="137" customFormat="1" ht="14.25">
      <c r="C123" s="230"/>
      <c r="H123" s="231"/>
      <c r="I123" s="231"/>
      <c r="J123" s="231"/>
      <c r="K123" s="231"/>
      <c r="L123" s="231"/>
      <c r="M123" s="231"/>
      <c r="O123" s="313"/>
    </row>
    <row r="124" spans="3:15" s="137" customFormat="1" ht="14.25">
      <c r="C124" s="230"/>
      <c r="H124" s="231"/>
      <c r="I124" s="231"/>
      <c r="J124" s="231"/>
      <c r="K124" s="231"/>
      <c r="L124" s="231"/>
      <c r="M124" s="231"/>
      <c r="O124" s="313"/>
    </row>
    <row r="125" spans="3:15" s="137" customFormat="1" ht="14.25">
      <c r="C125" s="230"/>
      <c r="H125" s="231"/>
      <c r="I125" s="231"/>
      <c r="J125" s="231"/>
      <c r="K125" s="231"/>
      <c r="L125" s="231"/>
      <c r="M125" s="231"/>
      <c r="O125" s="313"/>
    </row>
    <row r="126" spans="3:15" s="137" customFormat="1" ht="14.25">
      <c r="C126" s="230"/>
      <c r="H126" s="231"/>
      <c r="I126" s="231"/>
      <c r="J126" s="231"/>
      <c r="K126" s="231"/>
      <c r="L126" s="231"/>
      <c r="M126" s="231"/>
      <c r="O126" s="313"/>
    </row>
    <row r="127" spans="3:15" s="137" customFormat="1" ht="14.25">
      <c r="C127" s="230"/>
      <c r="H127" s="231"/>
      <c r="I127" s="231"/>
      <c r="J127" s="231"/>
      <c r="K127" s="231"/>
      <c r="L127" s="231"/>
      <c r="M127" s="231"/>
      <c r="O127" s="313"/>
    </row>
    <row r="128" spans="3:15" s="137" customFormat="1" ht="14.25">
      <c r="C128" s="230"/>
      <c r="H128" s="231"/>
      <c r="I128" s="231"/>
      <c r="J128" s="231"/>
      <c r="K128" s="231"/>
      <c r="L128" s="231"/>
      <c r="M128" s="231"/>
      <c r="O128" s="313"/>
    </row>
    <row r="129" spans="3:15" s="137" customFormat="1" ht="14.25">
      <c r="C129" s="230"/>
      <c r="H129" s="231"/>
      <c r="I129" s="231"/>
      <c r="J129" s="231"/>
      <c r="K129" s="231"/>
      <c r="L129" s="231"/>
      <c r="M129" s="231"/>
      <c r="O129" s="313"/>
    </row>
    <row r="130" spans="3:15" s="137" customFormat="1" ht="14.25">
      <c r="C130" s="230"/>
      <c r="H130" s="231"/>
      <c r="I130" s="231"/>
      <c r="J130" s="231"/>
      <c r="K130" s="231"/>
      <c r="L130" s="231"/>
      <c r="M130" s="231"/>
      <c r="O130" s="313"/>
    </row>
    <row r="131" spans="3:15" s="137" customFormat="1" ht="14.25">
      <c r="C131" s="230"/>
      <c r="H131" s="231"/>
      <c r="I131" s="231"/>
      <c r="J131" s="231"/>
      <c r="K131" s="231"/>
      <c r="L131" s="231"/>
      <c r="M131" s="231"/>
      <c r="O131" s="313"/>
    </row>
    <row r="132" spans="3:15" s="137" customFormat="1" ht="14.25">
      <c r="C132" s="230"/>
      <c r="H132" s="231"/>
      <c r="I132" s="231"/>
      <c r="J132" s="231"/>
      <c r="K132" s="231"/>
      <c r="L132" s="231"/>
      <c r="M132" s="231"/>
      <c r="O132" s="313"/>
    </row>
    <row r="133" spans="3:15" s="137" customFormat="1" ht="14.25">
      <c r="C133" s="230"/>
      <c r="H133" s="231"/>
      <c r="I133" s="231"/>
      <c r="J133" s="231"/>
      <c r="K133" s="231"/>
      <c r="L133" s="231"/>
      <c r="M133" s="231"/>
      <c r="O133" s="313"/>
    </row>
    <row r="134" spans="3:15" s="137" customFormat="1" ht="14.25">
      <c r="C134" s="230"/>
      <c r="H134" s="231"/>
      <c r="I134" s="231"/>
      <c r="J134" s="231"/>
      <c r="K134" s="231"/>
      <c r="L134" s="231"/>
      <c r="M134" s="231"/>
      <c r="O134" s="313"/>
    </row>
    <row r="135" spans="3:15" s="137" customFormat="1" ht="14.25">
      <c r="C135" s="230"/>
      <c r="H135" s="231"/>
      <c r="I135" s="231"/>
      <c r="J135" s="231"/>
      <c r="K135" s="231"/>
      <c r="L135" s="231"/>
      <c r="M135" s="231"/>
      <c r="O135" s="313"/>
    </row>
    <row r="136" spans="2:14" ht="14.25">
      <c r="B136" s="137"/>
      <c r="C136" s="230"/>
      <c r="D136" s="137"/>
      <c r="E136" s="137"/>
      <c r="F136" s="137"/>
      <c r="G136" s="137"/>
      <c r="H136" s="231"/>
      <c r="I136" s="231"/>
      <c r="J136" s="231"/>
      <c r="K136" s="231"/>
      <c r="L136" s="231"/>
      <c r="M136" s="231"/>
      <c r="N136" s="137"/>
    </row>
  </sheetData>
  <sheetProtection sheet="1"/>
  <mergeCells count="45">
    <mergeCell ref="B1:M2"/>
    <mergeCell ref="B3:M4"/>
    <mergeCell ref="B5:I5"/>
    <mergeCell ref="B6:C11"/>
    <mergeCell ref="D6:E13"/>
    <mergeCell ref="F6:I6"/>
    <mergeCell ref="J6:M6"/>
    <mergeCell ref="F7:G9"/>
    <mergeCell ref="H7:I9"/>
    <mergeCell ref="J7:K9"/>
    <mergeCell ref="L7:M9"/>
    <mergeCell ref="F10:G11"/>
    <mergeCell ref="H10:I11"/>
    <mergeCell ref="J10:K11"/>
    <mergeCell ref="L10:M11"/>
    <mergeCell ref="B12:B13"/>
    <mergeCell ref="C12:C13"/>
    <mergeCell ref="F12:F13"/>
    <mergeCell ref="G12:G13"/>
    <mergeCell ref="H12:H13"/>
    <mergeCell ref="I12:I13"/>
    <mergeCell ref="J12:J13"/>
    <mergeCell ref="K12:K13"/>
    <mergeCell ref="L12:L13"/>
    <mergeCell ref="M12:M13"/>
    <mergeCell ref="J49:M61"/>
    <mergeCell ref="A63:N63"/>
    <mergeCell ref="A65:M65"/>
    <mergeCell ref="A66:M66"/>
    <mergeCell ref="A67:M67"/>
    <mergeCell ref="A69:M69"/>
    <mergeCell ref="A71:I71"/>
    <mergeCell ref="A72:M72"/>
    <mergeCell ref="A73:M73"/>
    <mergeCell ref="A74:M74"/>
    <mergeCell ref="A75:I75"/>
    <mergeCell ref="A76:M76"/>
    <mergeCell ref="A77:M77"/>
    <mergeCell ref="A86:I86"/>
    <mergeCell ref="A79:I79"/>
    <mergeCell ref="A80:L80"/>
    <mergeCell ref="A81:M81"/>
    <mergeCell ref="A83:L83"/>
    <mergeCell ref="A84:M84"/>
    <mergeCell ref="A85:M85"/>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8" r:id="rId1"/>
</worksheet>
</file>

<file path=xl/worksheets/sheet34.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2.57421875" style="130" customWidth="1"/>
    <col min="2" max="2" width="5.140625" style="130" customWidth="1"/>
    <col min="3" max="3" width="7.8515625" style="232" customWidth="1"/>
    <col min="4" max="4" width="0.42578125" style="232" customWidth="1"/>
    <col min="5" max="5" width="6.8515625" style="130" customWidth="1"/>
    <col min="6" max="6" width="1.28515625" style="130" customWidth="1"/>
    <col min="7" max="7" width="8.140625" style="130" customWidth="1"/>
    <col min="8" max="8" width="2.421875" style="130" customWidth="1"/>
    <col min="9" max="9" width="8.140625" style="130" customWidth="1"/>
    <col min="10" max="10" width="8.7109375" style="130" customWidth="1"/>
    <col min="11" max="11" width="0.42578125" style="130" customWidth="1"/>
    <col min="12" max="12" width="8.7109375" style="130" customWidth="1"/>
    <col min="13" max="13" width="0.42578125" style="130" customWidth="1"/>
    <col min="14" max="14" width="8.7109375" style="233" customWidth="1"/>
    <col min="15" max="15" width="0.42578125" style="233" customWidth="1"/>
    <col min="16" max="16" width="8.7109375" style="233" customWidth="1"/>
    <col min="17" max="17" width="0.42578125" style="233" customWidth="1"/>
    <col min="18" max="18" width="8.7109375" style="233" customWidth="1"/>
    <col min="19" max="19" width="0.42578125" style="233" customWidth="1"/>
    <col min="20" max="20" width="8.7109375" style="233" customWidth="1"/>
    <col min="21" max="21" width="0.42578125" style="233" customWidth="1"/>
    <col min="22" max="22" width="8.7109375" style="233" customWidth="1"/>
    <col min="23" max="23" width="0.42578125" style="233" customWidth="1"/>
    <col min="24" max="24" width="8.7109375" style="233" customWidth="1"/>
    <col min="25" max="25" width="0.42578125" style="233" customWidth="1"/>
    <col min="26" max="26" width="0.71875" style="130" customWidth="1"/>
    <col min="27" max="16384" width="9.00390625" style="130" customWidth="1"/>
  </cols>
  <sheetData>
    <row r="1" spans="2:26" ht="16.5" customHeight="1">
      <c r="B1" s="1526" t="s">
        <v>175</v>
      </c>
      <c r="C1" s="1527"/>
      <c r="D1" s="1527"/>
      <c r="E1" s="1527"/>
      <c r="F1" s="1527"/>
      <c r="G1" s="1527"/>
      <c r="H1" s="1527"/>
      <c r="I1" s="1527"/>
      <c r="J1" s="1527"/>
      <c r="K1" s="1527"/>
      <c r="L1" s="1527"/>
      <c r="M1" s="1527"/>
      <c r="N1" s="1527"/>
      <c r="O1" s="1527"/>
      <c r="P1" s="1527"/>
      <c r="Q1" s="1527"/>
      <c r="R1" s="1527"/>
      <c r="S1" s="1527"/>
      <c r="T1" s="1527"/>
      <c r="U1" s="1527"/>
      <c r="V1" s="1527"/>
      <c r="W1" s="1527"/>
      <c r="X1" s="1527"/>
      <c r="Y1" s="1527"/>
      <c r="Z1" s="131"/>
    </row>
    <row r="2" spans="2:26" ht="16.5" customHeight="1">
      <c r="B2" s="1527"/>
      <c r="C2" s="1527"/>
      <c r="D2" s="1527"/>
      <c r="E2" s="1527"/>
      <c r="F2" s="1527"/>
      <c r="G2" s="1527"/>
      <c r="H2" s="1527"/>
      <c r="I2" s="1527"/>
      <c r="J2" s="1527"/>
      <c r="K2" s="1527"/>
      <c r="L2" s="1527"/>
      <c r="M2" s="1527"/>
      <c r="N2" s="1527"/>
      <c r="O2" s="1527"/>
      <c r="P2" s="1527"/>
      <c r="Q2" s="1527"/>
      <c r="R2" s="1527"/>
      <c r="S2" s="1527"/>
      <c r="T2" s="1527"/>
      <c r="U2" s="1527"/>
      <c r="V2" s="1527"/>
      <c r="W2" s="1527"/>
      <c r="X2" s="1527"/>
      <c r="Y2" s="1527"/>
      <c r="Z2" s="131"/>
    </row>
    <row r="3" spans="2:26" ht="17.25" customHeight="1">
      <c r="B3" s="1528" t="s">
        <v>176</v>
      </c>
      <c r="C3" s="1528"/>
      <c r="D3" s="1528"/>
      <c r="E3" s="1528"/>
      <c r="F3" s="1528"/>
      <c r="G3" s="1528"/>
      <c r="H3" s="1528"/>
      <c r="I3" s="1528"/>
      <c r="J3" s="1528"/>
      <c r="K3" s="1528"/>
      <c r="L3" s="1528"/>
      <c r="M3" s="1528"/>
      <c r="N3" s="1528"/>
      <c r="O3" s="1528"/>
      <c r="P3" s="1528"/>
      <c r="Q3" s="1528"/>
      <c r="R3" s="1528"/>
      <c r="S3" s="1528"/>
      <c r="T3" s="1528"/>
      <c r="U3" s="1528"/>
      <c r="V3" s="1528"/>
      <c r="W3" s="1528"/>
      <c r="X3" s="1528"/>
      <c r="Y3" s="132"/>
      <c r="Z3" s="131"/>
    </row>
    <row r="4" spans="1:26" ht="24" customHeight="1">
      <c r="A4" s="133"/>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34"/>
      <c r="Z4" s="131"/>
    </row>
    <row r="5" spans="2:26" ht="15.75" customHeight="1" thickBot="1">
      <c r="B5" s="1529" t="s">
        <v>110</v>
      </c>
      <c r="C5" s="1529"/>
      <c r="D5" s="1529"/>
      <c r="E5" s="1529"/>
      <c r="F5" s="1529"/>
      <c r="G5" s="1529"/>
      <c r="H5" s="1529"/>
      <c r="I5" s="1529"/>
      <c r="J5" s="1529"/>
      <c r="K5" s="1529"/>
      <c r="L5" s="1529"/>
      <c r="M5" s="1529"/>
      <c r="N5" s="1529"/>
      <c r="O5" s="1529"/>
      <c r="P5" s="1529"/>
      <c r="Q5" s="1529"/>
      <c r="R5" s="135"/>
      <c r="S5" s="135"/>
      <c r="T5" s="135"/>
      <c r="U5" s="135"/>
      <c r="V5" s="135"/>
      <c r="W5" s="135"/>
      <c r="X5" s="136" t="s">
        <v>0</v>
      </c>
      <c r="Y5" s="135"/>
      <c r="Z5" s="131"/>
    </row>
    <row r="6" spans="2:25" s="137" customFormat="1" ht="18.75" customHeight="1" thickTop="1">
      <c r="B6" s="1530" t="s">
        <v>111</v>
      </c>
      <c r="C6" s="1531"/>
      <c r="D6" s="1531"/>
      <c r="E6" s="1531"/>
      <c r="F6" s="1582"/>
      <c r="G6" s="1531" t="s">
        <v>112</v>
      </c>
      <c r="H6" s="1531"/>
      <c r="I6" s="1531"/>
      <c r="J6" s="1584" t="s">
        <v>113</v>
      </c>
      <c r="K6" s="1585"/>
      <c r="L6" s="1585"/>
      <c r="M6" s="1585"/>
      <c r="N6" s="1585"/>
      <c r="O6" s="1585"/>
      <c r="P6" s="1585"/>
      <c r="Q6" s="1586"/>
      <c r="R6" s="1585" t="s">
        <v>114</v>
      </c>
      <c r="S6" s="1587"/>
      <c r="T6" s="1587"/>
      <c r="U6" s="1587"/>
      <c r="V6" s="1587"/>
      <c r="W6" s="1587"/>
      <c r="X6" s="1587"/>
      <c r="Y6" s="1588"/>
    </row>
    <row r="7" spans="2:25" s="137" customFormat="1" ht="13.5" customHeight="1">
      <c r="B7" s="1532"/>
      <c r="C7" s="1533"/>
      <c r="D7" s="1533"/>
      <c r="E7" s="1533"/>
      <c r="F7" s="1583"/>
      <c r="G7" s="1533"/>
      <c r="H7" s="1533"/>
      <c r="I7" s="1533"/>
      <c r="J7" s="1589" t="s">
        <v>115</v>
      </c>
      <c r="K7" s="1590"/>
      <c r="L7" s="1590"/>
      <c r="M7" s="1591"/>
      <c r="N7" s="1598" t="s">
        <v>116</v>
      </c>
      <c r="O7" s="1570"/>
      <c r="P7" s="1570"/>
      <c r="Q7" s="1571"/>
      <c r="R7" s="1603" t="s">
        <v>117</v>
      </c>
      <c r="S7" s="1570"/>
      <c r="T7" s="1570"/>
      <c r="U7" s="1604"/>
      <c r="V7" s="1569" t="s">
        <v>118</v>
      </c>
      <c r="W7" s="1570"/>
      <c r="X7" s="1570"/>
      <c r="Y7" s="1571"/>
    </row>
    <row r="8" spans="2:25" s="137" customFormat="1" ht="11.25">
      <c r="B8" s="1532"/>
      <c r="C8" s="1533"/>
      <c r="D8" s="1533"/>
      <c r="E8" s="1533"/>
      <c r="F8" s="1583"/>
      <c r="G8" s="1533"/>
      <c r="H8" s="1533"/>
      <c r="I8" s="1533"/>
      <c r="J8" s="1592"/>
      <c r="K8" s="1593"/>
      <c r="L8" s="1593"/>
      <c r="M8" s="1594"/>
      <c r="N8" s="1599"/>
      <c r="O8" s="1573"/>
      <c r="P8" s="1573"/>
      <c r="Q8" s="1574"/>
      <c r="R8" s="1605"/>
      <c r="S8" s="1573"/>
      <c r="T8" s="1573"/>
      <c r="U8" s="1606"/>
      <c r="V8" s="1572"/>
      <c r="W8" s="1573"/>
      <c r="X8" s="1573"/>
      <c r="Y8" s="1574"/>
    </row>
    <row r="9" spans="2:25" s="137" customFormat="1" ht="2.25" customHeight="1">
      <c r="B9" s="1532"/>
      <c r="C9" s="1533"/>
      <c r="D9" s="1533"/>
      <c r="E9" s="1533"/>
      <c r="F9" s="1583"/>
      <c r="G9" s="1533"/>
      <c r="H9" s="1533"/>
      <c r="I9" s="1533"/>
      <c r="J9" s="1595"/>
      <c r="K9" s="1596"/>
      <c r="L9" s="1596"/>
      <c r="M9" s="1597"/>
      <c r="N9" s="1600"/>
      <c r="O9" s="1601"/>
      <c r="P9" s="1601"/>
      <c r="Q9" s="1602"/>
      <c r="R9" s="1607"/>
      <c r="S9" s="1576"/>
      <c r="T9" s="1576"/>
      <c r="U9" s="1608"/>
      <c r="V9" s="1575"/>
      <c r="W9" s="1576"/>
      <c r="X9" s="1576"/>
      <c r="Y9" s="1577"/>
    </row>
    <row r="10" spans="2:25" s="137" customFormat="1" ht="13.5" customHeight="1">
      <c r="B10" s="1532"/>
      <c r="C10" s="1533"/>
      <c r="D10" s="1533"/>
      <c r="E10" s="1533"/>
      <c r="F10" s="1583"/>
      <c r="G10" s="1533"/>
      <c r="H10" s="1533"/>
      <c r="I10" s="1533"/>
      <c r="J10" s="1427">
        <v>0.0997</v>
      </c>
      <c r="K10" s="1428"/>
      <c r="L10" s="1428"/>
      <c r="M10" s="1429"/>
      <c r="N10" s="1514">
        <f>J10+0.0155</f>
        <v>0.1152</v>
      </c>
      <c r="O10" s="1578"/>
      <c r="P10" s="1578"/>
      <c r="Q10" s="1515"/>
      <c r="R10" s="1438">
        <v>0.1712</v>
      </c>
      <c r="S10" s="1438"/>
      <c r="T10" s="1438"/>
      <c r="U10" s="1439"/>
      <c r="V10" s="1438">
        <v>0.1744</v>
      </c>
      <c r="W10" s="1438"/>
      <c r="X10" s="1438"/>
      <c r="Y10" s="1440"/>
    </row>
    <row r="11" spans="2:25" s="137" customFormat="1" ht="5.25" customHeight="1">
      <c r="B11" s="1532"/>
      <c r="C11" s="1533"/>
      <c r="D11" s="1533"/>
      <c r="E11" s="1533"/>
      <c r="F11" s="1583"/>
      <c r="G11" s="1533"/>
      <c r="H11" s="1533"/>
      <c r="I11" s="1533"/>
      <c r="J11" s="1430"/>
      <c r="K11" s="1431"/>
      <c r="L11" s="1431"/>
      <c r="M11" s="1432"/>
      <c r="N11" s="1516"/>
      <c r="O11" s="1579"/>
      <c r="P11" s="1579"/>
      <c r="Q11" s="1517"/>
      <c r="R11" s="1438"/>
      <c r="S11" s="1438"/>
      <c r="T11" s="1438"/>
      <c r="U11" s="1439"/>
      <c r="V11" s="1438"/>
      <c r="W11" s="1438"/>
      <c r="X11" s="1438"/>
      <c r="Y11" s="1440"/>
    </row>
    <row r="12" spans="2:25" s="137" customFormat="1" ht="8.25" customHeight="1">
      <c r="B12" s="1519" t="s">
        <v>119</v>
      </c>
      <c r="C12" s="1521" t="s">
        <v>120</v>
      </c>
      <c r="D12" s="1580"/>
      <c r="E12" s="1558" t="s">
        <v>121</v>
      </c>
      <c r="F12" s="1500"/>
      <c r="G12" s="1533"/>
      <c r="H12" s="1533"/>
      <c r="I12" s="1533"/>
      <c r="J12" s="1558" t="s">
        <v>122</v>
      </c>
      <c r="K12" s="1559"/>
      <c r="L12" s="1562" t="s">
        <v>123</v>
      </c>
      <c r="M12" s="1568"/>
      <c r="N12" s="1558" t="s">
        <v>122</v>
      </c>
      <c r="O12" s="1559"/>
      <c r="P12" s="1562" t="s">
        <v>123</v>
      </c>
      <c r="Q12" s="1496"/>
      <c r="R12" s="1564" t="s">
        <v>124</v>
      </c>
      <c r="S12" s="1565"/>
      <c r="T12" s="1564" t="s">
        <v>125</v>
      </c>
      <c r="U12" s="1568"/>
      <c r="V12" s="1564" t="s">
        <v>124</v>
      </c>
      <c r="W12" s="1565"/>
      <c r="X12" s="1564" t="s">
        <v>125</v>
      </c>
      <c r="Y12" s="1496"/>
    </row>
    <row r="13" spans="2:25" s="137" customFormat="1" ht="8.25" customHeight="1">
      <c r="B13" s="1520"/>
      <c r="C13" s="1522"/>
      <c r="D13" s="1537"/>
      <c r="E13" s="1536"/>
      <c r="F13" s="1581"/>
      <c r="G13" s="1537"/>
      <c r="H13" s="1537"/>
      <c r="I13" s="1537"/>
      <c r="J13" s="1560"/>
      <c r="K13" s="1561"/>
      <c r="L13" s="1563"/>
      <c r="M13" s="1501"/>
      <c r="N13" s="1560"/>
      <c r="O13" s="1561"/>
      <c r="P13" s="1563"/>
      <c r="Q13" s="1497"/>
      <c r="R13" s="1566"/>
      <c r="S13" s="1567"/>
      <c r="T13" s="1525"/>
      <c r="U13" s="1501"/>
      <c r="V13" s="1566"/>
      <c r="W13" s="1567"/>
      <c r="X13" s="1525"/>
      <c r="Y13" s="1497"/>
    </row>
    <row r="14" spans="2:30" s="137" customFormat="1" ht="15" customHeight="1">
      <c r="B14" s="139"/>
      <c r="C14" s="140"/>
      <c r="D14" s="141"/>
      <c r="E14" s="140"/>
      <c r="F14" s="142"/>
      <c r="G14" s="143" t="s">
        <v>126</v>
      </c>
      <c r="H14" s="144"/>
      <c r="I14" s="143" t="s">
        <v>127</v>
      </c>
      <c r="J14" s="145"/>
      <c r="K14" s="146"/>
      <c r="L14" s="147"/>
      <c r="M14" s="148"/>
      <c r="N14" s="149"/>
      <c r="O14" s="150"/>
      <c r="P14" s="151"/>
      <c r="Q14" s="152"/>
      <c r="R14" s="146"/>
      <c r="S14" s="153"/>
      <c r="T14" s="146"/>
      <c r="U14" s="154"/>
      <c r="V14" s="146"/>
      <c r="W14" s="153"/>
      <c r="X14" s="146"/>
      <c r="Y14" s="155"/>
      <c r="AB14" s="533">
        <v>9.97</v>
      </c>
      <c r="AC14" s="533">
        <v>16.766</v>
      </c>
      <c r="AD14" s="533">
        <v>17.12</v>
      </c>
    </row>
    <row r="15" spans="2:26" s="137" customFormat="1" ht="12.75" customHeight="1">
      <c r="B15" s="156">
        <v>1</v>
      </c>
      <c r="C15" s="157">
        <v>58000</v>
      </c>
      <c r="D15" s="158"/>
      <c r="E15" s="157">
        <v>1930</v>
      </c>
      <c r="F15" s="159"/>
      <c r="G15" s="160"/>
      <c r="H15" s="161" t="s">
        <v>62</v>
      </c>
      <c r="I15" s="160">
        <v>63000</v>
      </c>
      <c r="J15" s="236">
        <f aca="true" t="shared" si="0" ref="J15:J61">C15*$J$10</f>
        <v>5782.599999999999</v>
      </c>
      <c r="K15" s="162"/>
      <c r="L15" s="242">
        <f aca="true" t="shared" si="1" ref="L15:L61">J15/2</f>
        <v>2891.2999999999997</v>
      </c>
      <c r="M15" s="159"/>
      <c r="N15" s="236">
        <f aca="true" t="shared" si="2" ref="N15:N61">C15*$N$10</f>
        <v>6681.599999999999</v>
      </c>
      <c r="O15" s="162"/>
      <c r="P15" s="242">
        <f aca="true" t="shared" si="3" ref="P15:P61">N15/2</f>
        <v>3340.7999999999997</v>
      </c>
      <c r="Q15" s="163"/>
      <c r="R15" s="161"/>
      <c r="S15" s="164"/>
      <c r="T15" s="161"/>
      <c r="U15" s="165"/>
      <c r="V15" s="161"/>
      <c r="W15" s="164"/>
      <c r="X15" s="161"/>
      <c r="Y15" s="163"/>
      <c r="Z15" s="166"/>
    </row>
    <row r="16" spans="2:30" s="137" customFormat="1" ht="12.75" customHeight="1">
      <c r="B16" s="255">
        <v>2</v>
      </c>
      <c r="C16" s="256">
        <v>68000</v>
      </c>
      <c r="D16" s="257"/>
      <c r="E16" s="256">
        <v>2270</v>
      </c>
      <c r="F16" s="258"/>
      <c r="G16" s="259">
        <v>63000</v>
      </c>
      <c r="H16" s="260" t="s">
        <v>62</v>
      </c>
      <c r="I16" s="259">
        <v>73000</v>
      </c>
      <c r="J16" s="293">
        <f t="shared" si="0"/>
        <v>6779.599999999999</v>
      </c>
      <c r="K16" s="261"/>
      <c r="L16" s="296">
        <f t="shared" si="1"/>
        <v>3389.7999999999997</v>
      </c>
      <c r="M16" s="262"/>
      <c r="N16" s="293">
        <f t="shared" si="2"/>
        <v>7833.599999999999</v>
      </c>
      <c r="O16" s="261"/>
      <c r="P16" s="301">
        <f t="shared" si="3"/>
        <v>3916.7999999999997</v>
      </c>
      <c r="Q16" s="263"/>
      <c r="R16" s="161"/>
      <c r="S16" s="164"/>
      <c r="T16" s="161"/>
      <c r="U16" s="165"/>
      <c r="V16" s="161"/>
      <c r="W16" s="164"/>
      <c r="X16" s="161"/>
      <c r="Y16" s="163"/>
      <c r="Z16" s="166"/>
      <c r="AB16" s="137">
        <v>2</v>
      </c>
      <c r="AC16" s="137">
        <v>2</v>
      </c>
      <c r="AD16" s="137">
        <v>2</v>
      </c>
    </row>
    <row r="17" spans="2:26" s="137" customFormat="1" ht="12.75" customHeight="1">
      <c r="B17" s="170">
        <v>3</v>
      </c>
      <c r="C17" s="171">
        <v>78000</v>
      </c>
      <c r="D17" s="172"/>
      <c r="E17" s="171">
        <v>2600</v>
      </c>
      <c r="F17" s="173"/>
      <c r="G17" s="174">
        <v>73000</v>
      </c>
      <c r="H17" s="175" t="s">
        <v>62</v>
      </c>
      <c r="I17" s="174">
        <v>83000</v>
      </c>
      <c r="J17" s="237">
        <f t="shared" si="0"/>
        <v>7776.599999999999</v>
      </c>
      <c r="K17" s="176"/>
      <c r="L17" s="244">
        <f t="shared" si="1"/>
        <v>3888.2999999999997</v>
      </c>
      <c r="M17" s="177"/>
      <c r="N17" s="237">
        <f t="shared" si="2"/>
        <v>8985.6</v>
      </c>
      <c r="O17" s="176"/>
      <c r="P17" s="253">
        <f t="shared" si="3"/>
        <v>4492.8</v>
      </c>
      <c r="Q17" s="178"/>
      <c r="R17" s="161"/>
      <c r="S17" s="164"/>
      <c r="T17" s="161"/>
      <c r="U17" s="165"/>
      <c r="V17" s="161"/>
      <c r="W17" s="164"/>
      <c r="X17" s="161"/>
      <c r="Y17" s="163"/>
      <c r="Z17" s="166"/>
    </row>
    <row r="18" spans="2:26" s="137" customFormat="1" ht="12.75" customHeight="1">
      <c r="B18" s="255">
        <v>4</v>
      </c>
      <c r="C18" s="256">
        <v>88000</v>
      </c>
      <c r="D18" s="257"/>
      <c r="E18" s="256">
        <v>2930</v>
      </c>
      <c r="F18" s="258"/>
      <c r="G18" s="259">
        <v>83000</v>
      </c>
      <c r="H18" s="260" t="s">
        <v>62</v>
      </c>
      <c r="I18" s="259">
        <v>93000</v>
      </c>
      <c r="J18" s="293">
        <f t="shared" si="0"/>
        <v>8773.6</v>
      </c>
      <c r="K18" s="261"/>
      <c r="L18" s="296">
        <f t="shared" si="1"/>
        <v>4386.8</v>
      </c>
      <c r="M18" s="262"/>
      <c r="N18" s="293">
        <f t="shared" si="2"/>
        <v>10137.6</v>
      </c>
      <c r="O18" s="261"/>
      <c r="P18" s="301">
        <f t="shared" si="3"/>
        <v>5068.8</v>
      </c>
      <c r="Q18" s="263"/>
      <c r="R18" s="161"/>
      <c r="S18" s="164"/>
      <c r="T18" s="161"/>
      <c r="U18" s="165"/>
      <c r="V18" s="161"/>
      <c r="W18" s="164"/>
      <c r="X18" s="161"/>
      <c r="Y18" s="163"/>
      <c r="Z18" s="166"/>
    </row>
    <row r="19" spans="2:26" s="137" customFormat="1" ht="12.75" customHeight="1">
      <c r="B19" s="170" t="s">
        <v>128</v>
      </c>
      <c r="C19" s="171">
        <v>98000</v>
      </c>
      <c r="D19" s="172"/>
      <c r="E19" s="171">
        <v>3270</v>
      </c>
      <c r="F19" s="175"/>
      <c r="G19" s="179">
        <v>93000</v>
      </c>
      <c r="H19" s="175" t="s">
        <v>62</v>
      </c>
      <c r="I19" s="180">
        <v>101000</v>
      </c>
      <c r="J19" s="238">
        <f t="shared" si="0"/>
        <v>9770.6</v>
      </c>
      <c r="K19" s="181"/>
      <c r="L19" s="245">
        <f t="shared" si="1"/>
        <v>4885.3</v>
      </c>
      <c r="M19" s="182"/>
      <c r="N19" s="237">
        <f t="shared" si="2"/>
        <v>11289.6</v>
      </c>
      <c r="O19" s="181"/>
      <c r="P19" s="253">
        <f t="shared" si="3"/>
        <v>5644.8</v>
      </c>
      <c r="Q19" s="183"/>
      <c r="R19" s="234">
        <f aca="true" t="shared" si="4" ref="R19:R48">C19*$R$10</f>
        <v>16777.6</v>
      </c>
      <c r="S19" s="184"/>
      <c r="T19" s="234">
        <f aca="true" t="shared" si="5" ref="T19:T48">R19/2</f>
        <v>8388.8</v>
      </c>
      <c r="U19" s="185"/>
      <c r="V19" s="234">
        <f aca="true" t="shared" si="6" ref="V19:V48">C19*$V$10</f>
        <v>17091.2</v>
      </c>
      <c r="W19" s="184"/>
      <c r="X19" s="234">
        <f aca="true" t="shared" si="7" ref="X19:X48">V19/2</f>
        <v>8545.6</v>
      </c>
      <c r="Y19" s="186"/>
      <c r="Z19" s="138"/>
    </row>
    <row r="20" spans="2:30" s="137" customFormat="1" ht="12.75" customHeight="1">
      <c r="B20" s="255" t="s">
        <v>129</v>
      </c>
      <c r="C20" s="256">
        <v>104000</v>
      </c>
      <c r="D20" s="257"/>
      <c r="E20" s="256">
        <v>3470</v>
      </c>
      <c r="F20" s="260"/>
      <c r="G20" s="264">
        <v>101000</v>
      </c>
      <c r="H20" s="260" t="s">
        <v>62</v>
      </c>
      <c r="I20" s="265">
        <v>107000</v>
      </c>
      <c r="J20" s="294">
        <f t="shared" si="0"/>
        <v>10368.8</v>
      </c>
      <c r="K20" s="266"/>
      <c r="L20" s="297">
        <f t="shared" si="1"/>
        <v>5184.4</v>
      </c>
      <c r="M20" s="267"/>
      <c r="N20" s="293">
        <f t="shared" si="2"/>
        <v>11980.8</v>
      </c>
      <c r="O20" s="266"/>
      <c r="P20" s="301">
        <f t="shared" si="3"/>
        <v>5990.4</v>
      </c>
      <c r="Q20" s="268"/>
      <c r="R20" s="291">
        <f t="shared" si="4"/>
        <v>17804.8</v>
      </c>
      <c r="S20" s="269"/>
      <c r="T20" s="291">
        <f t="shared" si="5"/>
        <v>8902.4</v>
      </c>
      <c r="U20" s="270"/>
      <c r="V20" s="291">
        <f t="shared" si="6"/>
        <v>18137.6</v>
      </c>
      <c r="W20" s="269"/>
      <c r="X20" s="291">
        <f t="shared" si="7"/>
        <v>9068.8</v>
      </c>
      <c r="Y20" s="268"/>
      <c r="Z20" s="144"/>
      <c r="AA20" s="166"/>
      <c r="AB20" s="534">
        <f>AB14/AB16</f>
        <v>4.985</v>
      </c>
      <c r="AC20" s="534">
        <f>AC14/AC16</f>
        <v>8.383</v>
      </c>
      <c r="AD20" s="534">
        <f>AD14/AD16</f>
        <v>8.56</v>
      </c>
    </row>
    <row r="21" spans="2:27" s="137" customFormat="1" ht="12.75" customHeight="1">
      <c r="B21" s="170" t="s">
        <v>130</v>
      </c>
      <c r="C21" s="171">
        <v>110000</v>
      </c>
      <c r="D21" s="172"/>
      <c r="E21" s="171">
        <v>3670</v>
      </c>
      <c r="F21" s="175"/>
      <c r="G21" s="179">
        <v>107000</v>
      </c>
      <c r="H21" s="175" t="s">
        <v>62</v>
      </c>
      <c r="I21" s="180">
        <v>114000</v>
      </c>
      <c r="J21" s="238">
        <f t="shared" si="0"/>
        <v>10967</v>
      </c>
      <c r="K21" s="181"/>
      <c r="L21" s="245">
        <f t="shared" si="1"/>
        <v>5483.5</v>
      </c>
      <c r="M21" s="182"/>
      <c r="N21" s="237">
        <f t="shared" si="2"/>
        <v>12672</v>
      </c>
      <c r="O21" s="181"/>
      <c r="P21" s="253">
        <f t="shared" si="3"/>
        <v>6336</v>
      </c>
      <c r="Q21" s="183"/>
      <c r="R21" s="235">
        <f t="shared" si="4"/>
        <v>18832</v>
      </c>
      <c r="S21" s="188"/>
      <c r="T21" s="235">
        <f t="shared" si="5"/>
        <v>9416</v>
      </c>
      <c r="U21" s="189"/>
      <c r="V21" s="235">
        <f t="shared" si="6"/>
        <v>19184</v>
      </c>
      <c r="W21" s="188"/>
      <c r="X21" s="235">
        <f t="shared" si="7"/>
        <v>9592</v>
      </c>
      <c r="Y21" s="183"/>
      <c r="Z21" s="144"/>
      <c r="AA21" s="166"/>
    </row>
    <row r="22" spans="2:27" s="137" customFormat="1" ht="12.75" customHeight="1">
      <c r="B22" s="255" t="s">
        <v>131</v>
      </c>
      <c r="C22" s="256">
        <v>118000</v>
      </c>
      <c r="D22" s="257"/>
      <c r="E22" s="256">
        <v>3930</v>
      </c>
      <c r="F22" s="260"/>
      <c r="G22" s="264">
        <v>114000</v>
      </c>
      <c r="H22" s="260" t="s">
        <v>62</v>
      </c>
      <c r="I22" s="265">
        <v>122000</v>
      </c>
      <c r="J22" s="294">
        <f t="shared" si="0"/>
        <v>11764.6</v>
      </c>
      <c r="K22" s="266"/>
      <c r="L22" s="297">
        <f t="shared" si="1"/>
        <v>5882.3</v>
      </c>
      <c r="M22" s="267"/>
      <c r="N22" s="293">
        <f t="shared" si="2"/>
        <v>13593.6</v>
      </c>
      <c r="O22" s="266"/>
      <c r="P22" s="301">
        <f t="shared" si="3"/>
        <v>6796.8</v>
      </c>
      <c r="Q22" s="268"/>
      <c r="R22" s="291">
        <f t="shared" si="4"/>
        <v>20201.6</v>
      </c>
      <c r="S22" s="269"/>
      <c r="T22" s="291">
        <f t="shared" si="5"/>
        <v>10100.8</v>
      </c>
      <c r="U22" s="270"/>
      <c r="V22" s="291">
        <f t="shared" si="6"/>
        <v>20579.2</v>
      </c>
      <c r="W22" s="269"/>
      <c r="X22" s="291">
        <f t="shared" si="7"/>
        <v>10289.6</v>
      </c>
      <c r="Y22" s="268"/>
      <c r="Z22" s="144"/>
      <c r="AA22" s="166"/>
    </row>
    <row r="23" spans="2:27" s="137" customFormat="1" ht="12.75" customHeight="1">
      <c r="B23" s="170" t="s">
        <v>132</v>
      </c>
      <c r="C23" s="171">
        <v>126000</v>
      </c>
      <c r="D23" s="172"/>
      <c r="E23" s="171">
        <v>4200</v>
      </c>
      <c r="F23" s="175"/>
      <c r="G23" s="179">
        <v>122000</v>
      </c>
      <c r="H23" s="175" t="s">
        <v>62</v>
      </c>
      <c r="I23" s="180">
        <v>130000</v>
      </c>
      <c r="J23" s="238">
        <f t="shared" si="0"/>
        <v>12562.199999999999</v>
      </c>
      <c r="K23" s="181"/>
      <c r="L23" s="245">
        <f t="shared" si="1"/>
        <v>6281.099999999999</v>
      </c>
      <c r="M23" s="182"/>
      <c r="N23" s="237">
        <f t="shared" si="2"/>
        <v>14515.199999999999</v>
      </c>
      <c r="O23" s="181"/>
      <c r="P23" s="253">
        <f t="shared" si="3"/>
        <v>7257.599999999999</v>
      </c>
      <c r="Q23" s="183"/>
      <c r="R23" s="235">
        <f t="shared" si="4"/>
        <v>21571.199999999997</v>
      </c>
      <c r="S23" s="188"/>
      <c r="T23" s="235">
        <f t="shared" si="5"/>
        <v>10785.599999999999</v>
      </c>
      <c r="U23" s="189"/>
      <c r="V23" s="235">
        <f t="shared" si="6"/>
        <v>21974.4</v>
      </c>
      <c r="W23" s="188"/>
      <c r="X23" s="235">
        <f t="shared" si="7"/>
        <v>10987.2</v>
      </c>
      <c r="Y23" s="183"/>
      <c r="Z23" s="144"/>
      <c r="AA23" s="166"/>
    </row>
    <row r="24" spans="2:27" s="137" customFormat="1" ht="12.75" customHeight="1">
      <c r="B24" s="255" t="s">
        <v>133</v>
      </c>
      <c r="C24" s="271">
        <v>134000</v>
      </c>
      <c r="D24" s="272"/>
      <c r="E24" s="271">
        <v>4470</v>
      </c>
      <c r="F24" s="273"/>
      <c r="G24" s="274">
        <v>130000</v>
      </c>
      <c r="H24" s="273" t="s">
        <v>62</v>
      </c>
      <c r="I24" s="275">
        <v>138000</v>
      </c>
      <c r="J24" s="295">
        <f t="shared" si="0"/>
        <v>13359.8</v>
      </c>
      <c r="K24" s="276"/>
      <c r="L24" s="298">
        <f t="shared" si="1"/>
        <v>6679.9</v>
      </c>
      <c r="M24" s="277"/>
      <c r="N24" s="293">
        <f t="shared" si="2"/>
        <v>15436.8</v>
      </c>
      <c r="O24" s="276"/>
      <c r="P24" s="301">
        <f t="shared" si="3"/>
        <v>7718.4</v>
      </c>
      <c r="Q24" s="278"/>
      <c r="R24" s="291">
        <f t="shared" si="4"/>
        <v>22940.8</v>
      </c>
      <c r="S24" s="269"/>
      <c r="T24" s="291">
        <f t="shared" si="5"/>
        <v>11470.4</v>
      </c>
      <c r="U24" s="270"/>
      <c r="V24" s="291">
        <f t="shared" si="6"/>
        <v>23369.6</v>
      </c>
      <c r="W24" s="269"/>
      <c r="X24" s="291">
        <f t="shared" si="7"/>
        <v>11684.8</v>
      </c>
      <c r="Y24" s="268"/>
      <c r="Z24" s="144"/>
      <c r="AA24" s="166"/>
    </row>
    <row r="25" spans="2:27" s="137" customFormat="1" ht="12.75" customHeight="1">
      <c r="B25" s="170" t="s">
        <v>134</v>
      </c>
      <c r="C25" s="191">
        <v>142000</v>
      </c>
      <c r="D25" s="192"/>
      <c r="E25" s="191">
        <v>4730</v>
      </c>
      <c r="F25" s="193"/>
      <c r="G25" s="194">
        <v>138000</v>
      </c>
      <c r="H25" s="193" t="s">
        <v>62</v>
      </c>
      <c r="I25" s="195">
        <v>146000</v>
      </c>
      <c r="J25" s="239">
        <f t="shared" si="0"/>
        <v>14157.4</v>
      </c>
      <c r="K25" s="196"/>
      <c r="L25" s="248">
        <f t="shared" si="1"/>
        <v>7078.7</v>
      </c>
      <c r="M25" s="197"/>
      <c r="N25" s="237">
        <f t="shared" si="2"/>
        <v>16358.4</v>
      </c>
      <c r="O25" s="196"/>
      <c r="P25" s="253">
        <f t="shared" si="3"/>
        <v>8179.2</v>
      </c>
      <c r="Q25" s="198"/>
      <c r="R25" s="235">
        <f t="shared" si="4"/>
        <v>24310.399999999998</v>
      </c>
      <c r="S25" s="188"/>
      <c r="T25" s="235">
        <f t="shared" si="5"/>
        <v>12155.199999999999</v>
      </c>
      <c r="U25" s="189"/>
      <c r="V25" s="235">
        <f t="shared" si="6"/>
        <v>24764.8</v>
      </c>
      <c r="W25" s="188"/>
      <c r="X25" s="235">
        <f t="shared" si="7"/>
        <v>12382.4</v>
      </c>
      <c r="Y25" s="183"/>
      <c r="Z25" s="144"/>
      <c r="AA25" s="166"/>
    </row>
    <row r="26" spans="2:27" s="137" customFormat="1" ht="12.75" customHeight="1">
      <c r="B26" s="255" t="s">
        <v>135</v>
      </c>
      <c r="C26" s="271">
        <v>150000</v>
      </c>
      <c r="D26" s="279"/>
      <c r="E26" s="271">
        <v>5000</v>
      </c>
      <c r="F26" s="280"/>
      <c r="G26" s="281">
        <v>146000</v>
      </c>
      <c r="H26" s="280" t="s">
        <v>62</v>
      </c>
      <c r="I26" s="275">
        <v>155000</v>
      </c>
      <c r="J26" s="295">
        <f t="shared" si="0"/>
        <v>14955</v>
      </c>
      <c r="K26" s="276"/>
      <c r="L26" s="298">
        <f t="shared" si="1"/>
        <v>7477.5</v>
      </c>
      <c r="M26" s="277"/>
      <c r="N26" s="293">
        <f t="shared" si="2"/>
        <v>17280</v>
      </c>
      <c r="O26" s="276"/>
      <c r="P26" s="301">
        <f t="shared" si="3"/>
        <v>8640</v>
      </c>
      <c r="Q26" s="278"/>
      <c r="R26" s="291">
        <f t="shared" si="4"/>
        <v>25680</v>
      </c>
      <c r="S26" s="269"/>
      <c r="T26" s="291">
        <f t="shared" si="5"/>
        <v>12840</v>
      </c>
      <c r="U26" s="270"/>
      <c r="V26" s="291">
        <f t="shared" si="6"/>
        <v>26160</v>
      </c>
      <c r="W26" s="269"/>
      <c r="X26" s="291">
        <f t="shared" si="7"/>
        <v>13080</v>
      </c>
      <c r="Y26" s="268"/>
      <c r="Z26" s="144"/>
      <c r="AA26" s="166"/>
    </row>
    <row r="27" spans="2:27" s="137" customFormat="1" ht="12.75" customHeight="1">
      <c r="B27" s="170" t="s">
        <v>136</v>
      </c>
      <c r="C27" s="191">
        <v>160000</v>
      </c>
      <c r="D27" s="192"/>
      <c r="E27" s="191">
        <v>5330</v>
      </c>
      <c r="F27" s="193"/>
      <c r="G27" s="194">
        <v>155000</v>
      </c>
      <c r="H27" s="193" t="s">
        <v>62</v>
      </c>
      <c r="I27" s="195">
        <v>165000</v>
      </c>
      <c r="J27" s="239">
        <f t="shared" si="0"/>
        <v>15952</v>
      </c>
      <c r="K27" s="196"/>
      <c r="L27" s="248">
        <f t="shared" si="1"/>
        <v>7976</v>
      </c>
      <c r="M27" s="197"/>
      <c r="N27" s="237">
        <f t="shared" si="2"/>
        <v>18432</v>
      </c>
      <c r="O27" s="196"/>
      <c r="P27" s="253">
        <f t="shared" si="3"/>
        <v>9216</v>
      </c>
      <c r="Q27" s="198"/>
      <c r="R27" s="235">
        <f t="shared" si="4"/>
        <v>27392</v>
      </c>
      <c r="S27" s="188"/>
      <c r="T27" s="235">
        <f t="shared" si="5"/>
        <v>13696</v>
      </c>
      <c r="U27" s="189"/>
      <c r="V27" s="235">
        <f t="shared" si="6"/>
        <v>27904</v>
      </c>
      <c r="W27" s="188"/>
      <c r="X27" s="235">
        <f t="shared" si="7"/>
        <v>13952</v>
      </c>
      <c r="Y27" s="183"/>
      <c r="Z27" s="144"/>
      <c r="AA27" s="166"/>
    </row>
    <row r="28" spans="2:27" s="137" customFormat="1" ht="12.75" customHeight="1">
      <c r="B28" s="255" t="s">
        <v>137</v>
      </c>
      <c r="C28" s="271">
        <v>170000</v>
      </c>
      <c r="D28" s="279"/>
      <c r="E28" s="271">
        <v>5670</v>
      </c>
      <c r="F28" s="280"/>
      <c r="G28" s="281">
        <v>165000</v>
      </c>
      <c r="H28" s="280" t="s">
        <v>62</v>
      </c>
      <c r="I28" s="275">
        <v>175000</v>
      </c>
      <c r="J28" s="295">
        <f t="shared" si="0"/>
        <v>16949</v>
      </c>
      <c r="K28" s="276"/>
      <c r="L28" s="298">
        <f t="shared" si="1"/>
        <v>8474.5</v>
      </c>
      <c r="M28" s="277"/>
      <c r="N28" s="293">
        <f t="shared" si="2"/>
        <v>19584</v>
      </c>
      <c r="O28" s="276"/>
      <c r="P28" s="301">
        <f t="shared" si="3"/>
        <v>9792</v>
      </c>
      <c r="Q28" s="278"/>
      <c r="R28" s="291">
        <f t="shared" si="4"/>
        <v>29104</v>
      </c>
      <c r="S28" s="269"/>
      <c r="T28" s="291">
        <f t="shared" si="5"/>
        <v>14552</v>
      </c>
      <c r="U28" s="270"/>
      <c r="V28" s="291">
        <f t="shared" si="6"/>
        <v>29648</v>
      </c>
      <c r="W28" s="269"/>
      <c r="X28" s="291">
        <f t="shared" si="7"/>
        <v>14824</v>
      </c>
      <c r="Y28" s="268"/>
      <c r="Z28" s="144"/>
      <c r="AA28" s="166"/>
    </row>
    <row r="29" spans="2:27" s="137" customFormat="1" ht="12.75" customHeight="1">
      <c r="B29" s="170" t="s">
        <v>138</v>
      </c>
      <c r="C29" s="191">
        <v>180000</v>
      </c>
      <c r="D29" s="192"/>
      <c r="E29" s="191">
        <v>6000</v>
      </c>
      <c r="F29" s="193"/>
      <c r="G29" s="194">
        <v>175000</v>
      </c>
      <c r="H29" s="193" t="s">
        <v>62</v>
      </c>
      <c r="I29" s="195">
        <v>185000</v>
      </c>
      <c r="J29" s="239">
        <f t="shared" si="0"/>
        <v>17946</v>
      </c>
      <c r="K29" s="196"/>
      <c r="L29" s="248">
        <f t="shared" si="1"/>
        <v>8973</v>
      </c>
      <c r="M29" s="197"/>
      <c r="N29" s="237">
        <f t="shared" si="2"/>
        <v>20736</v>
      </c>
      <c r="O29" s="196"/>
      <c r="P29" s="253">
        <f t="shared" si="3"/>
        <v>10368</v>
      </c>
      <c r="Q29" s="198"/>
      <c r="R29" s="235">
        <f t="shared" si="4"/>
        <v>30816</v>
      </c>
      <c r="S29" s="188"/>
      <c r="T29" s="235">
        <f t="shared" si="5"/>
        <v>15408</v>
      </c>
      <c r="U29" s="189"/>
      <c r="V29" s="235">
        <f t="shared" si="6"/>
        <v>31392</v>
      </c>
      <c r="W29" s="188"/>
      <c r="X29" s="235">
        <f t="shared" si="7"/>
        <v>15696</v>
      </c>
      <c r="Y29" s="183"/>
      <c r="Z29" s="144"/>
      <c r="AA29" s="166"/>
    </row>
    <row r="30" spans="2:27" s="137" customFormat="1" ht="12.75" customHeight="1">
      <c r="B30" s="255" t="s">
        <v>139</v>
      </c>
      <c r="C30" s="271">
        <v>190000</v>
      </c>
      <c r="D30" s="279"/>
      <c r="E30" s="271">
        <v>6330</v>
      </c>
      <c r="F30" s="280"/>
      <c r="G30" s="281">
        <v>185000</v>
      </c>
      <c r="H30" s="280" t="s">
        <v>62</v>
      </c>
      <c r="I30" s="275">
        <v>195000</v>
      </c>
      <c r="J30" s="295">
        <f t="shared" si="0"/>
        <v>18943</v>
      </c>
      <c r="K30" s="276"/>
      <c r="L30" s="298">
        <f t="shared" si="1"/>
        <v>9471.5</v>
      </c>
      <c r="M30" s="277"/>
      <c r="N30" s="293">
        <f t="shared" si="2"/>
        <v>21888</v>
      </c>
      <c r="O30" s="276"/>
      <c r="P30" s="301">
        <f t="shared" si="3"/>
        <v>10944</v>
      </c>
      <c r="Q30" s="278"/>
      <c r="R30" s="291">
        <f t="shared" si="4"/>
        <v>32528</v>
      </c>
      <c r="S30" s="269"/>
      <c r="T30" s="291">
        <f t="shared" si="5"/>
        <v>16264</v>
      </c>
      <c r="U30" s="270"/>
      <c r="V30" s="291">
        <f t="shared" si="6"/>
        <v>33136</v>
      </c>
      <c r="W30" s="269"/>
      <c r="X30" s="291">
        <f t="shared" si="7"/>
        <v>16568</v>
      </c>
      <c r="Y30" s="268"/>
      <c r="Z30" s="144"/>
      <c r="AA30" s="166"/>
    </row>
    <row r="31" spans="2:27" s="137" customFormat="1" ht="12.75" customHeight="1">
      <c r="B31" s="170" t="s">
        <v>140</v>
      </c>
      <c r="C31" s="191">
        <v>200000</v>
      </c>
      <c r="D31" s="192"/>
      <c r="E31" s="191">
        <v>6670</v>
      </c>
      <c r="F31" s="193"/>
      <c r="G31" s="194">
        <v>195000</v>
      </c>
      <c r="H31" s="193" t="s">
        <v>62</v>
      </c>
      <c r="I31" s="195">
        <v>210000</v>
      </c>
      <c r="J31" s="239">
        <f t="shared" si="0"/>
        <v>19940</v>
      </c>
      <c r="K31" s="199"/>
      <c r="L31" s="249">
        <f t="shared" si="1"/>
        <v>9970</v>
      </c>
      <c r="M31" s="197"/>
      <c r="N31" s="237">
        <f t="shared" si="2"/>
        <v>23040</v>
      </c>
      <c r="O31" s="196"/>
      <c r="P31" s="253">
        <f t="shared" si="3"/>
        <v>11520</v>
      </c>
      <c r="Q31" s="198"/>
      <c r="R31" s="235">
        <f t="shared" si="4"/>
        <v>34240</v>
      </c>
      <c r="S31" s="188"/>
      <c r="T31" s="235">
        <f t="shared" si="5"/>
        <v>17120</v>
      </c>
      <c r="U31" s="189"/>
      <c r="V31" s="235">
        <f t="shared" si="6"/>
        <v>34880</v>
      </c>
      <c r="W31" s="188"/>
      <c r="X31" s="235">
        <f t="shared" si="7"/>
        <v>17440</v>
      </c>
      <c r="Y31" s="183"/>
      <c r="Z31" s="144"/>
      <c r="AA31" s="166"/>
    </row>
    <row r="32" spans="2:27" s="137" customFormat="1" ht="12.75" customHeight="1">
      <c r="B32" s="255" t="s">
        <v>141</v>
      </c>
      <c r="C32" s="271">
        <v>220000</v>
      </c>
      <c r="D32" s="279"/>
      <c r="E32" s="271">
        <v>7330</v>
      </c>
      <c r="F32" s="280"/>
      <c r="G32" s="281">
        <v>210000</v>
      </c>
      <c r="H32" s="280" t="s">
        <v>62</v>
      </c>
      <c r="I32" s="275">
        <v>230000</v>
      </c>
      <c r="J32" s="295">
        <f t="shared" si="0"/>
        <v>21934</v>
      </c>
      <c r="K32" s="282"/>
      <c r="L32" s="299">
        <f t="shared" si="1"/>
        <v>10967</v>
      </c>
      <c r="M32" s="277"/>
      <c r="N32" s="293">
        <f t="shared" si="2"/>
        <v>25344</v>
      </c>
      <c r="O32" s="276"/>
      <c r="P32" s="301">
        <f t="shared" si="3"/>
        <v>12672</v>
      </c>
      <c r="Q32" s="278"/>
      <c r="R32" s="291">
        <f t="shared" si="4"/>
        <v>37664</v>
      </c>
      <c r="S32" s="269"/>
      <c r="T32" s="291">
        <f t="shared" si="5"/>
        <v>18832</v>
      </c>
      <c r="U32" s="270"/>
      <c r="V32" s="291">
        <f t="shared" si="6"/>
        <v>38368</v>
      </c>
      <c r="W32" s="269"/>
      <c r="X32" s="291">
        <f t="shared" si="7"/>
        <v>19184</v>
      </c>
      <c r="Y32" s="268"/>
      <c r="Z32" s="144"/>
      <c r="AA32" s="166"/>
    </row>
    <row r="33" spans="2:27" s="137" customFormat="1" ht="12.75" customHeight="1">
      <c r="B33" s="170" t="s">
        <v>142</v>
      </c>
      <c r="C33" s="191">
        <v>240000</v>
      </c>
      <c r="D33" s="192"/>
      <c r="E33" s="191">
        <v>8000</v>
      </c>
      <c r="F33" s="193"/>
      <c r="G33" s="194">
        <v>230000</v>
      </c>
      <c r="H33" s="193" t="s">
        <v>62</v>
      </c>
      <c r="I33" s="195">
        <v>250000</v>
      </c>
      <c r="J33" s="239">
        <f t="shared" si="0"/>
        <v>23928</v>
      </c>
      <c r="K33" s="199"/>
      <c r="L33" s="249">
        <f t="shared" si="1"/>
        <v>11964</v>
      </c>
      <c r="M33" s="197"/>
      <c r="N33" s="237">
        <f t="shared" si="2"/>
        <v>27648</v>
      </c>
      <c r="O33" s="196"/>
      <c r="P33" s="253">
        <f t="shared" si="3"/>
        <v>13824</v>
      </c>
      <c r="Q33" s="198"/>
      <c r="R33" s="235">
        <f t="shared" si="4"/>
        <v>41088</v>
      </c>
      <c r="S33" s="188"/>
      <c r="T33" s="235">
        <f t="shared" si="5"/>
        <v>20544</v>
      </c>
      <c r="U33" s="189"/>
      <c r="V33" s="235">
        <f t="shared" si="6"/>
        <v>41856</v>
      </c>
      <c r="W33" s="188"/>
      <c r="X33" s="235">
        <f t="shared" si="7"/>
        <v>20928</v>
      </c>
      <c r="Y33" s="183"/>
      <c r="Z33" s="144"/>
      <c r="AA33" s="166"/>
    </row>
    <row r="34" spans="2:27" s="137" customFormat="1" ht="12.75" customHeight="1">
      <c r="B34" s="255" t="s">
        <v>143</v>
      </c>
      <c r="C34" s="271">
        <v>260000</v>
      </c>
      <c r="D34" s="279"/>
      <c r="E34" s="271">
        <v>8670</v>
      </c>
      <c r="F34" s="280"/>
      <c r="G34" s="281">
        <v>250000</v>
      </c>
      <c r="H34" s="280" t="s">
        <v>62</v>
      </c>
      <c r="I34" s="275">
        <v>270000</v>
      </c>
      <c r="J34" s="295">
        <f t="shared" si="0"/>
        <v>25922</v>
      </c>
      <c r="K34" s="282"/>
      <c r="L34" s="299">
        <f t="shared" si="1"/>
        <v>12961</v>
      </c>
      <c r="M34" s="277"/>
      <c r="N34" s="293">
        <f t="shared" si="2"/>
        <v>29952</v>
      </c>
      <c r="O34" s="276"/>
      <c r="P34" s="301">
        <f t="shared" si="3"/>
        <v>14976</v>
      </c>
      <c r="Q34" s="278"/>
      <c r="R34" s="291">
        <f t="shared" si="4"/>
        <v>44512</v>
      </c>
      <c r="S34" s="269"/>
      <c r="T34" s="291">
        <f t="shared" si="5"/>
        <v>22256</v>
      </c>
      <c r="U34" s="270"/>
      <c r="V34" s="291">
        <f t="shared" si="6"/>
        <v>45344</v>
      </c>
      <c r="W34" s="269"/>
      <c r="X34" s="291">
        <f t="shared" si="7"/>
        <v>22672</v>
      </c>
      <c r="Y34" s="268"/>
      <c r="Z34" s="144"/>
      <c r="AA34" s="166"/>
    </row>
    <row r="35" spans="2:27" s="137" customFormat="1" ht="12.75" customHeight="1">
      <c r="B35" s="170" t="s">
        <v>144</v>
      </c>
      <c r="C35" s="191">
        <v>280000</v>
      </c>
      <c r="D35" s="200"/>
      <c r="E35" s="191">
        <v>9330</v>
      </c>
      <c r="F35" s="201"/>
      <c r="G35" s="194">
        <v>270000</v>
      </c>
      <c r="H35" s="201" t="s">
        <v>62</v>
      </c>
      <c r="I35" s="195">
        <v>290000</v>
      </c>
      <c r="J35" s="239">
        <f t="shared" si="0"/>
        <v>27916</v>
      </c>
      <c r="K35" s="199"/>
      <c r="L35" s="249">
        <f t="shared" si="1"/>
        <v>13958</v>
      </c>
      <c r="M35" s="197"/>
      <c r="N35" s="237">
        <f t="shared" si="2"/>
        <v>32256</v>
      </c>
      <c r="O35" s="196"/>
      <c r="P35" s="253">
        <f t="shared" si="3"/>
        <v>16128</v>
      </c>
      <c r="Q35" s="198"/>
      <c r="R35" s="235">
        <f t="shared" si="4"/>
        <v>47936</v>
      </c>
      <c r="S35" s="188"/>
      <c r="T35" s="235">
        <f t="shared" si="5"/>
        <v>23968</v>
      </c>
      <c r="U35" s="189"/>
      <c r="V35" s="235">
        <f t="shared" si="6"/>
        <v>48832</v>
      </c>
      <c r="W35" s="188"/>
      <c r="X35" s="235">
        <f t="shared" si="7"/>
        <v>24416</v>
      </c>
      <c r="Y35" s="183"/>
      <c r="Z35" s="144"/>
      <c r="AA35" s="166"/>
    </row>
    <row r="36" spans="2:27" s="137" customFormat="1" ht="12.75" customHeight="1">
      <c r="B36" s="255" t="s">
        <v>145</v>
      </c>
      <c r="C36" s="271">
        <v>300000</v>
      </c>
      <c r="D36" s="279"/>
      <c r="E36" s="271">
        <v>10000</v>
      </c>
      <c r="F36" s="280"/>
      <c r="G36" s="281">
        <v>290000</v>
      </c>
      <c r="H36" s="280" t="s">
        <v>62</v>
      </c>
      <c r="I36" s="275">
        <v>310000</v>
      </c>
      <c r="J36" s="295">
        <f t="shared" si="0"/>
        <v>29910</v>
      </c>
      <c r="K36" s="282"/>
      <c r="L36" s="299">
        <f t="shared" si="1"/>
        <v>14955</v>
      </c>
      <c r="M36" s="277"/>
      <c r="N36" s="293">
        <f t="shared" si="2"/>
        <v>34560</v>
      </c>
      <c r="O36" s="276"/>
      <c r="P36" s="301">
        <f t="shared" si="3"/>
        <v>17280</v>
      </c>
      <c r="Q36" s="278"/>
      <c r="R36" s="291">
        <f t="shared" si="4"/>
        <v>51360</v>
      </c>
      <c r="S36" s="269"/>
      <c r="T36" s="291">
        <f t="shared" si="5"/>
        <v>25680</v>
      </c>
      <c r="U36" s="270"/>
      <c r="V36" s="291">
        <f t="shared" si="6"/>
        <v>52320</v>
      </c>
      <c r="W36" s="269"/>
      <c r="X36" s="291">
        <f t="shared" si="7"/>
        <v>26160</v>
      </c>
      <c r="Y36" s="268"/>
      <c r="Z36" s="144"/>
      <c r="AA36" s="166"/>
    </row>
    <row r="37" spans="2:27" s="137" customFormat="1" ht="12.75" customHeight="1">
      <c r="B37" s="170" t="s">
        <v>146</v>
      </c>
      <c r="C37" s="191">
        <v>320000</v>
      </c>
      <c r="D37" s="192"/>
      <c r="E37" s="191">
        <v>10670</v>
      </c>
      <c r="F37" s="193"/>
      <c r="G37" s="194">
        <v>310000</v>
      </c>
      <c r="H37" s="193" t="s">
        <v>62</v>
      </c>
      <c r="I37" s="195">
        <v>330000</v>
      </c>
      <c r="J37" s="239">
        <f t="shared" si="0"/>
        <v>31904</v>
      </c>
      <c r="K37" s="199"/>
      <c r="L37" s="249">
        <f t="shared" si="1"/>
        <v>15952</v>
      </c>
      <c r="M37" s="197"/>
      <c r="N37" s="237">
        <f t="shared" si="2"/>
        <v>36864</v>
      </c>
      <c r="O37" s="196"/>
      <c r="P37" s="253">
        <f t="shared" si="3"/>
        <v>18432</v>
      </c>
      <c r="Q37" s="198"/>
      <c r="R37" s="235">
        <f t="shared" si="4"/>
        <v>54784</v>
      </c>
      <c r="S37" s="188"/>
      <c r="T37" s="235">
        <f t="shared" si="5"/>
        <v>27392</v>
      </c>
      <c r="U37" s="189"/>
      <c r="V37" s="235">
        <f t="shared" si="6"/>
        <v>55808</v>
      </c>
      <c r="W37" s="188"/>
      <c r="X37" s="235">
        <f t="shared" si="7"/>
        <v>27904</v>
      </c>
      <c r="Y37" s="183"/>
      <c r="Z37" s="144"/>
      <c r="AA37" s="166"/>
    </row>
    <row r="38" spans="2:27" s="137" customFormat="1" ht="12.75" customHeight="1">
      <c r="B38" s="255" t="s">
        <v>147</v>
      </c>
      <c r="C38" s="271">
        <v>340000</v>
      </c>
      <c r="D38" s="279"/>
      <c r="E38" s="271">
        <v>11330</v>
      </c>
      <c r="F38" s="280"/>
      <c r="G38" s="281">
        <v>330000</v>
      </c>
      <c r="H38" s="280" t="s">
        <v>62</v>
      </c>
      <c r="I38" s="275">
        <v>350000</v>
      </c>
      <c r="J38" s="295">
        <f t="shared" si="0"/>
        <v>33898</v>
      </c>
      <c r="K38" s="282"/>
      <c r="L38" s="299">
        <f t="shared" si="1"/>
        <v>16949</v>
      </c>
      <c r="M38" s="277"/>
      <c r="N38" s="293">
        <f t="shared" si="2"/>
        <v>39168</v>
      </c>
      <c r="O38" s="276"/>
      <c r="P38" s="301">
        <f t="shared" si="3"/>
        <v>19584</v>
      </c>
      <c r="Q38" s="278"/>
      <c r="R38" s="291">
        <f t="shared" si="4"/>
        <v>58208</v>
      </c>
      <c r="S38" s="269"/>
      <c r="T38" s="291">
        <f t="shared" si="5"/>
        <v>29104</v>
      </c>
      <c r="U38" s="270"/>
      <c r="V38" s="291">
        <f t="shared" si="6"/>
        <v>59296</v>
      </c>
      <c r="W38" s="269"/>
      <c r="X38" s="291">
        <f t="shared" si="7"/>
        <v>29648</v>
      </c>
      <c r="Y38" s="268"/>
      <c r="Z38" s="144"/>
      <c r="AA38" s="166"/>
    </row>
    <row r="39" spans="2:27" s="137" customFormat="1" ht="12.75" customHeight="1">
      <c r="B39" s="170" t="s">
        <v>148</v>
      </c>
      <c r="C39" s="191">
        <v>360000</v>
      </c>
      <c r="D39" s="192"/>
      <c r="E39" s="191">
        <v>12000</v>
      </c>
      <c r="F39" s="193"/>
      <c r="G39" s="194">
        <v>350000</v>
      </c>
      <c r="H39" s="193" t="s">
        <v>62</v>
      </c>
      <c r="I39" s="195">
        <v>370000</v>
      </c>
      <c r="J39" s="239">
        <f t="shared" si="0"/>
        <v>35892</v>
      </c>
      <c r="K39" s="199"/>
      <c r="L39" s="249">
        <f t="shared" si="1"/>
        <v>17946</v>
      </c>
      <c r="M39" s="197"/>
      <c r="N39" s="237">
        <f t="shared" si="2"/>
        <v>41472</v>
      </c>
      <c r="O39" s="196"/>
      <c r="P39" s="253">
        <f t="shared" si="3"/>
        <v>20736</v>
      </c>
      <c r="Q39" s="198"/>
      <c r="R39" s="235">
        <f t="shared" si="4"/>
        <v>61632</v>
      </c>
      <c r="S39" s="188"/>
      <c r="T39" s="235">
        <f t="shared" si="5"/>
        <v>30816</v>
      </c>
      <c r="U39" s="189"/>
      <c r="V39" s="235">
        <f t="shared" si="6"/>
        <v>62784</v>
      </c>
      <c r="W39" s="188"/>
      <c r="X39" s="235">
        <f t="shared" si="7"/>
        <v>31392</v>
      </c>
      <c r="Y39" s="183"/>
      <c r="Z39" s="144"/>
      <c r="AA39" s="166"/>
    </row>
    <row r="40" spans="2:27" s="137" customFormat="1" ht="12.75" customHeight="1">
      <c r="B40" s="255" t="s">
        <v>149</v>
      </c>
      <c r="C40" s="271">
        <v>380000</v>
      </c>
      <c r="D40" s="279"/>
      <c r="E40" s="271">
        <v>12670</v>
      </c>
      <c r="F40" s="280"/>
      <c r="G40" s="281">
        <v>370000</v>
      </c>
      <c r="H40" s="280" t="s">
        <v>62</v>
      </c>
      <c r="I40" s="275">
        <v>395000</v>
      </c>
      <c r="J40" s="295">
        <f t="shared" si="0"/>
        <v>37886</v>
      </c>
      <c r="K40" s="282"/>
      <c r="L40" s="299">
        <f t="shared" si="1"/>
        <v>18943</v>
      </c>
      <c r="M40" s="277"/>
      <c r="N40" s="293">
        <f t="shared" si="2"/>
        <v>43776</v>
      </c>
      <c r="O40" s="276"/>
      <c r="P40" s="301">
        <f t="shared" si="3"/>
        <v>21888</v>
      </c>
      <c r="Q40" s="278"/>
      <c r="R40" s="291">
        <f t="shared" si="4"/>
        <v>65056</v>
      </c>
      <c r="S40" s="269"/>
      <c r="T40" s="291">
        <f t="shared" si="5"/>
        <v>32528</v>
      </c>
      <c r="U40" s="270"/>
      <c r="V40" s="291">
        <f t="shared" si="6"/>
        <v>66272</v>
      </c>
      <c r="W40" s="269"/>
      <c r="X40" s="291">
        <f t="shared" si="7"/>
        <v>33136</v>
      </c>
      <c r="Y40" s="268"/>
      <c r="Z40" s="144"/>
      <c r="AA40" s="166"/>
    </row>
    <row r="41" spans="2:27" s="137" customFormat="1" ht="12.75" customHeight="1">
      <c r="B41" s="170" t="s">
        <v>150</v>
      </c>
      <c r="C41" s="191">
        <v>410000</v>
      </c>
      <c r="D41" s="192"/>
      <c r="E41" s="191">
        <v>13670</v>
      </c>
      <c r="F41" s="193"/>
      <c r="G41" s="194">
        <v>395000</v>
      </c>
      <c r="H41" s="193" t="s">
        <v>62</v>
      </c>
      <c r="I41" s="195">
        <v>425000</v>
      </c>
      <c r="J41" s="239">
        <f t="shared" si="0"/>
        <v>40877</v>
      </c>
      <c r="K41" s="199"/>
      <c r="L41" s="249">
        <f t="shared" si="1"/>
        <v>20438.5</v>
      </c>
      <c r="M41" s="197"/>
      <c r="N41" s="237">
        <f t="shared" si="2"/>
        <v>47232</v>
      </c>
      <c r="O41" s="196"/>
      <c r="P41" s="253">
        <f t="shared" si="3"/>
        <v>23616</v>
      </c>
      <c r="Q41" s="198"/>
      <c r="R41" s="235">
        <f t="shared" si="4"/>
        <v>70192</v>
      </c>
      <c r="S41" s="188"/>
      <c r="T41" s="235">
        <f t="shared" si="5"/>
        <v>35096</v>
      </c>
      <c r="U41" s="189"/>
      <c r="V41" s="235">
        <f t="shared" si="6"/>
        <v>71504</v>
      </c>
      <c r="W41" s="188"/>
      <c r="X41" s="235">
        <f t="shared" si="7"/>
        <v>35752</v>
      </c>
      <c r="Y41" s="183"/>
      <c r="Z41" s="144"/>
      <c r="AA41" s="166"/>
    </row>
    <row r="42" spans="2:27" s="137" customFormat="1" ht="12.75" customHeight="1">
      <c r="B42" s="255" t="s">
        <v>151</v>
      </c>
      <c r="C42" s="271">
        <v>440000</v>
      </c>
      <c r="D42" s="279"/>
      <c r="E42" s="271">
        <v>14670</v>
      </c>
      <c r="F42" s="280"/>
      <c r="G42" s="281">
        <v>425000</v>
      </c>
      <c r="H42" s="280" t="s">
        <v>62</v>
      </c>
      <c r="I42" s="275">
        <v>455000</v>
      </c>
      <c r="J42" s="295">
        <f t="shared" si="0"/>
        <v>43868</v>
      </c>
      <c r="K42" s="282"/>
      <c r="L42" s="299">
        <f t="shared" si="1"/>
        <v>21934</v>
      </c>
      <c r="M42" s="277"/>
      <c r="N42" s="293">
        <f t="shared" si="2"/>
        <v>50688</v>
      </c>
      <c r="O42" s="276"/>
      <c r="P42" s="301">
        <f t="shared" si="3"/>
        <v>25344</v>
      </c>
      <c r="Q42" s="278"/>
      <c r="R42" s="291">
        <f t="shared" si="4"/>
        <v>75328</v>
      </c>
      <c r="S42" s="269"/>
      <c r="T42" s="291">
        <f t="shared" si="5"/>
        <v>37664</v>
      </c>
      <c r="U42" s="270"/>
      <c r="V42" s="291">
        <f t="shared" si="6"/>
        <v>76736</v>
      </c>
      <c r="W42" s="269"/>
      <c r="X42" s="291">
        <f t="shared" si="7"/>
        <v>38368</v>
      </c>
      <c r="Y42" s="268"/>
      <c r="Z42" s="144"/>
      <c r="AA42" s="166"/>
    </row>
    <row r="43" spans="2:27" s="137" customFormat="1" ht="12.75" customHeight="1">
      <c r="B43" s="170" t="s">
        <v>152</v>
      </c>
      <c r="C43" s="191">
        <v>470000</v>
      </c>
      <c r="D43" s="192"/>
      <c r="E43" s="191">
        <v>15670</v>
      </c>
      <c r="F43" s="193"/>
      <c r="G43" s="194">
        <v>455000</v>
      </c>
      <c r="H43" s="193" t="s">
        <v>62</v>
      </c>
      <c r="I43" s="195">
        <v>485000</v>
      </c>
      <c r="J43" s="239">
        <f t="shared" si="0"/>
        <v>46859</v>
      </c>
      <c r="K43" s="199"/>
      <c r="L43" s="249">
        <f t="shared" si="1"/>
        <v>23429.5</v>
      </c>
      <c r="M43" s="197"/>
      <c r="N43" s="237">
        <f t="shared" si="2"/>
        <v>54144</v>
      </c>
      <c r="O43" s="196"/>
      <c r="P43" s="253">
        <f t="shared" si="3"/>
        <v>27072</v>
      </c>
      <c r="Q43" s="198"/>
      <c r="R43" s="235">
        <f t="shared" si="4"/>
        <v>80464</v>
      </c>
      <c r="S43" s="188"/>
      <c r="T43" s="235">
        <f t="shared" si="5"/>
        <v>40232</v>
      </c>
      <c r="U43" s="189"/>
      <c r="V43" s="235">
        <f t="shared" si="6"/>
        <v>81968</v>
      </c>
      <c r="W43" s="188"/>
      <c r="X43" s="235">
        <f t="shared" si="7"/>
        <v>40984</v>
      </c>
      <c r="Y43" s="183"/>
      <c r="Z43" s="144"/>
      <c r="AA43" s="166"/>
    </row>
    <row r="44" spans="2:27" s="137" customFormat="1" ht="12.75" customHeight="1">
      <c r="B44" s="255" t="s">
        <v>153</v>
      </c>
      <c r="C44" s="271">
        <v>500000</v>
      </c>
      <c r="D44" s="279"/>
      <c r="E44" s="271">
        <v>16670</v>
      </c>
      <c r="F44" s="280"/>
      <c r="G44" s="281">
        <v>485000</v>
      </c>
      <c r="H44" s="280" t="s">
        <v>62</v>
      </c>
      <c r="I44" s="275">
        <v>515000</v>
      </c>
      <c r="J44" s="295">
        <f t="shared" si="0"/>
        <v>49850</v>
      </c>
      <c r="K44" s="282"/>
      <c r="L44" s="299">
        <f t="shared" si="1"/>
        <v>24925</v>
      </c>
      <c r="M44" s="277"/>
      <c r="N44" s="293">
        <f t="shared" si="2"/>
        <v>57600</v>
      </c>
      <c r="O44" s="276"/>
      <c r="P44" s="301">
        <f t="shared" si="3"/>
        <v>28800</v>
      </c>
      <c r="Q44" s="283"/>
      <c r="R44" s="291">
        <f t="shared" si="4"/>
        <v>85600</v>
      </c>
      <c r="S44" s="269"/>
      <c r="T44" s="291">
        <f t="shared" si="5"/>
        <v>42800</v>
      </c>
      <c r="U44" s="270"/>
      <c r="V44" s="291">
        <f t="shared" si="6"/>
        <v>87200</v>
      </c>
      <c r="W44" s="269"/>
      <c r="X44" s="291">
        <f t="shared" si="7"/>
        <v>43600</v>
      </c>
      <c r="Y44" s="268"/>
      <c r="Z44" s="144"/>
      <c r="AA44" s="166"/>
    </row>
    <row r="45" spans="2:27" s="137" customFormat="1" ht="12.75" customHeight="1">
      <c r="B45" s="170" t="s">
        <v>154</v>
      </c>
      <c r="C45" s="191">
        <v>530000</v>
      </c>
      <c r="D45" s="192"/>
      <c r="E45" s="191">
        <v>17670</v>
      </c>
      <c r="F45" s="193"/>
      <c r="G45" s="194">
        <v>515000</v>
      </c>
      <c r="H45" s="193" t="s">
        <v>62</v>
      </c>
      <c r="I45" s="195">
        <v>545000</v>
      </c>
      <c r="J45" s="239">
        <f t="shared" si="0"/>
        <v>52841</v>
      </c>
      <c r="K45" s="199"/>
      <c r="L45" s="249">
        <f t="shared" si="1"/>
        <v>26420.5</v>
      </c>
      <c r="M45" s="197"/>
      <c r="N45" s="237">
        <f t="shared" si="2"/>
        <v>61056</v>
      </c>
      <c r="O45" s="196"/>
      <c r="P45" s="253">
        <f t="shared" si="3"/>
        <v>30528</v>
      </c>
      <c r="Q45" s="202"/>
      <c r="R45" s="235">
        <f t="shared" si="4"/>
        <v>90736</v>
      </c>
      <c r="S45" s="188"/>
      <c r="T45" s="235">
        <f t="shared" si="5"/>
        <v>45368</v>
      </c>
      <c r="U45" s="189"/>
      <c r="V45" s="235">
        <f t="shared" si="6"/>
        <v>92432</v>
      </c>
      <c r="W45" s="188"/>
      <c r="X45" s="235">
        <f t="shared" si="7"/>
        <v>46216</v>
      </c>
      <c r="Y45" s="183"/>
      <c r="Z45" s="144"/>
      <c r="AA45" s="166"/>
    </row>
    <row r="46" spans="2:27" s="137" customFormat="1" ht="12.75" customHeight="1">
      <c r="B46" s="255" t="s">
        <v>155</v>
      </c>
      <c r="C46" s="271">
        <v>560000</v>
      </c>
      <c r="D46" s="279"/>
      <c r="E46" s="271">
        <v>18670</v>
      </c>
      <c r="F46" s="280"/>
      <c r="G46" s="281">
        <v>545000</v>
      </c>
      <c r="H46" s="280" t="s">
        <v>62</v>
      </c>
      <c r="I46" s="275">
        <v>575000</v>
      </c>
      <c r="J46" s="295">
        <f t="shared" si="0"/>
        <v>55832</v>
      </c>
      <c r="K46" s="282"/>
      <c r="L46" s="299">
        <f t="shared" si="1"/>
        <v>27916</v>
      </c>
      <c r="M46" s="277"/>
      <c r="N46" s="293">
        <f t="shared" si="2"/>
        <v>64512</v>
      </c>
      <c r="O46" s="276"/>
      <c r="P46" s="301">
        <f t="shared" si="3"/>
        <v>32256</v>
      </c>
      <c r="Q46" s="284"/>
      <c r="R46" s="291">
        <f t="shared" si="4"/>
        <v>95872</v>
      </c>
      <c r="S46" s="269"/>
      <c r="T46" s="291">
        <f t="shared" si="5"/>
        <v>47936</v>
      </c>
      <c r="U46" s="270"/>
      <c r="V46" s="291">
        <f t="shared" si="6"/>
        <v>97664</v>
      </c>
      <c r="W46" s="269"/>
      <c r="X46" s="291">
        <f t="shared" si="7"/>
        <v>48832</v>
      </c>
      <c r="Y46" s="268"/>
      <c r="Z46" s="144"/>
      <c r="AA46" s="166"/>
    </row>
    <row r="47" spans="2:27" s="137" customFormat="1" ht="12.75" customHeight="1">
      <c r="B47" s="170" t="s">
        <v>156</v>
      </c>
      <c r="C47" s="191">
        <v>590000</v>
      </c>
      <c r="D47" s="192"/>
      <c r="E47" s="191">
        <v>19670</v>
      </c>
      <c r="F47" s="193"/>
      <c r="G47" s="194">
        <v>575000</v>
      </c>
      <c r="H47" s="193" t="s">
        <v>62</v>
      </c>
      <c r="I47" s="195">
        <v>605000</v>
      </c>
      <c r="J47" s="239">
        <f t="shared" si="0"/>
        <v>58823</v>
      </c>
      <c r="K47" s="199"/>
      <c r="L47" s="249">
        <f t="shared" si="1"/>
        <v>29411.5</v>
      </c>
      <c r="M47" s="197"/>
      <c r="N47" s="237">
        <f t="shared" si="2"/>
        <v>67968</v>
      </c>
      <c r="O47" s="196"/>
      <c r="P47" s="253">
        <f t="shared" si="3"/>
        <v>33984</v>
      </c>
      <c r="Q47" s="202"/>
      <c r="R47" s="235">
        <f t="shared" si="4"/>
        <v>101008</v>
      </c>
      <c r="S47" s="188"/>
      <c r="T47" s="235">
        <f t="shared" si="5"/>
        <v>50504</v>
      </c>
      <c r="U47" s="189"/>
      <c r="V47" s="235">
        <f t="shared" si="6"/>
        <v>102896</v>
      </c>
      <c r="W47" s="188"/>
      <c r="X47" s="235">
        <f t="shared" si="7"/>
        <v>51448</v>
      </c>
      <c r="Y47" s="183"/>
      <c r="Z47" s="144"/>
      <c r="AA47" s="166"/>
    </row>
    <row r="48" spans="2:27" s="137" customFormat="1" ht="12.75" customHeight="1" thickBot="1">
      <c r="B48" s="255" t="s">
        <v>157</v>
      </c>
      <c r="C48" s="271">
        <v>620000</v>
      </c>
      <c r="D48" s="279"/>
      <c r="E48" s="271">
        <v>20670</v>
      </c>
      <c r="F48" s="280"/>
      <c r="G48" s="281">
        <v>605000</v>
      </c>
      <c r="H48" s="280" t="s">
        <v>62</v>
      </c>
      <c r="I48" s="275">
        <v>635000</v>
      </c>
      <c r="J48" s="295">
        <f t="shared" si="0"/>
        <v>61814</v>
      </c>
      <c r="K48" s="282"/>
      <c r="L48" s="299">
        <f t="shared" si="1"/>
        <v>30907</v>
      </c>
      <c r="M48" s="277"/>
      <c r="N48" s="293">
        <f t="shared" si="2"/>
        <v>71424</v>
      </c>
      <c r="O48" s="276"/>
      <c r="P48" s="301">
        <f t="shared" si="3"/>
        <v>35712</v>
      </c>
      <c r="Q48" s="283"/>
      <c r="R48" s="292">
        <f t="shared" si="4"/>
        <v>106144</v>
      </c>
      <c r="S48" s="285"/>
      <c r="T48" s="292">
        <f t="shared" si="5"/>
        <v>53072</v>
      </c>
      <c r="U48" s="286"/>
      <c r="V48" s="292">
        <f t="shared" si="6"/>
        <v>108128</v>
      </c>
      <c r="W48" s="285"/>
      <c r="X48" s="292">
        <f t="shared" si="7"/>
        <v>54064</v>
      </c>
      <c r="Y48" s="287"/>
      <c r="Z48" s="144"/>
      <c r="AA48" s="166"/>
    </row>
    <row r="49" spans="2:27" s="137" customFormat="1" ht="12.75" customHeight="1" thickTop="1">
      <c r="B49" s="203">
        <v>35</v>
      </c>
      <c r="C49" s="191">
        <v>650000</v>
      </c>
      <c r="D49" s="192"/>
      <c r="E49" s="191">
        <v>21670</v>
      </c>
      <c r="F49" s="193"/>
      <c r="G49" s="194">
        <v>635000</v>
      </c>
      <c r="H49" s="193" t="s">
        <v>62</v>
      </c>
      <c r="I49" s="195">
        <v>665000</v>
      </c>
      <c r="J49" s="239">
        <f t="shared" si="0"/>
        <v>64805</v>
      </c>
      <c r="K49" s="199"/>
      <c r="L49" s="249">
        <f t="shared" si="1"/>
        <v>32402.5</v>
      </c>
      <c r="M49" s="197"/>
      <c r="N49" s="237">
        <f t="shared" si="2"/>
        <v>74880</v>
      </c>
      <c r="O49" s="196"/>
      <c r="P49" s="253">
        <f t="shared" si="3"/>
        <v>37440</v>
      </c>
      <c r="Q49" s="204"/>
      <c r="R49" s="1505" t="s">
        <v>177</v>
      </c>
      <c r="S49" s="1506"/>
      <c r="T49" s="1506"/>
      <c r="U49" s="1506"/>
      <c r="V49" s="1506"/>
      <c r="W49" s="1506"/>
      <c r="X49" s="1506"/>
      <c r="Y49" s="1506"/>
      <c r="Z49" s="166"/>
      <c r="AA49" s="166"/>
    </row>
    <row r="50" spans="2:27" s="137" customFormat="1" ht="12.75" customHeight="1">
      <c r="B50" s="288">
        <v>36</v>
      </c>
      <c r="C50" s="271">
        <v>680000</v>
      </c>
      <c r="D50" s="279"/>
      <c r="E50" s="271">
        <v>22670</v>
      </c>
      <c r="F50" s="280"/>
      <c r="G50" s="281">
        <v>665000</v>
      </c>
      <c r="H50" s="280" t="s">
        <v>62</v>
      </c>
      <c r="I50" s="275">
        <v>695000</v>
      </c>
      <c r="J50" s="295">
        <f t="shared" si="0"/>
        <v>67796</v>
      </c>
      <c r="K50" s="282"/>
      <c r="L50" s="299">
        <f t="shared" si="1"/>
        <v>33898</v>
      </c>
      <c r="M50" s="277"/>
      <c r="N50" s="293">
        <f t="shared" si="2"/>
        <v>78336</v>
      </c>
      <c r="O50" s="276"/>
      <c r="P50" s="301">
        <f t="shared" si="3"/>
        <v>39168</v>
      </c>
      <c r="Q50" s="284"/>
      <c r="R50" s="1507"/>
      <c r="S50" s="1507"/>
      <c r="T50" s="1507"/>
      <c r="U50" s="1507"/>
      <c r="V50" s="1507"/>
      <c r="W50" s="1507"/>
      <c r="X50" s="1507"/>
      <c r="Y50" s="1507"/>
      <c r="Z50" s="166"/>
      <c r="AA50" s="166"/>
    </row>
    <row r="51" spans="2:26" s="137" customFormat="1" ht="12.75" customHeight="1">
      <c r="B51" s="203">
        <v>37</v>
      </c>
      <c r="C51" s="191">
        <v>710000</v>
      </c>
      <c r="D51" s="192"/>
      <c r="E51" s="191">
        <v>23670</v>
      </c>
      <c r="F51" s="193"/>
      <c r="G51" s="194">
        <v>695000</v>
      </c>
      <c r="H51" s="193" t="s">
        <v>62</v>
      </c>
      <c r="I51" s="195">
        <v>730000</v>
      </c>
      <c r="J51" s="239">
        <f t="shared" si="0"/>
        <v>70787</v>
      </c>
      <c r="K51" s="199"/>
      <c r="L51" s="249">
        <f t="shared" si="1"/>
        <v>35393.5</v>
      </c>
      <c r="M51" s="197"/>
      <c r="N51" s="237">
        <f t="shared" si="2"/>
        <v>81792</v>
      </c>
      <c r="O51" s="196"/>
      <c r="P51" s="253">
        <f t="shared" si="3"/>
        <v>40896</v>
      </c>
      <c r="Q51" s="202"/>
      <c r="R51" s="1507"/>
      <c r="S51" s="1507"/>
      <c r="T51" s="1507"/>
      <c r="U51" s="1507"/>
      <c r="V51" s="1507"/>
      <c r="W51" s="1507"/>
      <c r="X51" s="1507"/>
      <c r="Y51" s="1507"/>
      <c r="Z51" s="166"/>
    </row>
    <row r="52" spans="2:26" s="137" customFormat="1" ht="12.75" customHeight="1">
      <c r="B52" s="288">
        <v>38</v>
      </c>
      <c r="C52" s="271">
        <v>750000</v>
      </c>
      <c r="D52" s="279"/>
      <c r="E52" s="271">
        <v>25000</v>
      </c>
      <c r="F52" s="280"/>
      <c r="G52" s="281">
        <v>730000</v>
      </c>
      <c r="H52" s="280" t="s">
        <v>62</v>
      </c>
      <c r="I52" s="275">
        <v>770000</v>
      </c>
      <c r="J52" s="295">
        <f t="shared" si="0"/>
        <v>74775</v>
      </c>
      <c r="K52" s="282"/>
      <c r="L52" s="299">
        <f t="shared" si="1"/>
        <v>37387.5</v>
      </c>
      <c r="M52" s="277"/>
      <c r="N52" s="293">
        <f t="shared" si="2"/>
        <v>86400</v>
      </c>
      <c r="O52" s="276"/>
      <c r="P52" s="301">
        <f t="shared" si="3"/>
        <v>43200</v>
      </c>
      <c r="Q52" s="284"/>
      <c r="R52" s="1507"/>
      <c r="S52" s="1507"/>
      <c r="T52" s="1507"/>
      <c r="U52" s="1507"/>
      <c r="V52" s="1507"/>
      <c r="W52" s="1507"/>
      <c r="X52" s="1507"/>
      <c r="Y52" s="1507"/>
      <c r="Z52" s="166"/>
    </row>
    <row r="53" spans="2:26" s="137" customFormat="1" ht="12.75" customHeight="1">
      <c r="B53" s="203">
        <v>39</v>
      </c>
      <c r="C53" s="191">
        <v>790000</v>
      </c>
      <c r="D53" s="192"/>
      <c r="E53" s="191">
        <v>26330</v>
      </c>
      <c r="F53" s="193"/>
      <c r="G53" s="194">
        <v>770000</v>
      </c>
      <c r="H53" s="193" t="s">
        <v>62</v>
      </c>
      <c r="I53" s="195">
        <v>810000</v>
      </c>
      <c r="J53" s="239">
        <f t="shared" si="0"/>
        <v>78763</v>
      </c>
      <c r="K53" s="199"/>
      <c r="L53" s="249">
        <f t="shared" si="1"/>
        <v>39381.5</v>
      </c>
      <c r="M53" s="197"/>
      <c r="N53" s="237">
        <f t="shared" si="2"/>
        <v>91008</v>
      </c>
      <c r="O53" s="196"/>
      <c r="P53" s="253">
        <f t="shared" si="3"/>
        <v>45504</v>
      </c>
      <c r="Q53" s="202"/>
      <c r="R53" s="1507"/>
      <c r="S53" s="1507"/>
      <c r="T53" s="1507"/>
      <c r="U53" s="1507"/>
      <c r="V53" s="1507"/>
      <c r="W53" s="1507"/>
      <c r="X53" s="1507"/>
      <c r="Y53" s="1507"/>
      <c r="Z53" s="166"/>
    </row>
    <row r="54" spans="2:26" s="137" customFormat="1" ht="12.75" customHeight="1">
      <c r="B54" s="288">
        <v>40</v>
      </c>
      <c r="C54" s="271">
        <v>830000</v>
      </c>
      <c r="D54" s="279"/>
      <c r="E54" s="271">
        <v>27670</v>
      </c>
      <c r="F54" s="280"/>
      <c r="G54" s="281">
        <v>810000</v>
      </c>
      <c r="H54" s="280" t="s">
        <v>62</v>
      </c>
      <c r="I54" s="275">
        <v>855000</v>
      </c>
      <c r="J54" s="295">
        <f t="shared" si="0"/>
        <v>82751</v>
      </c>
      <c r="K54" s="282"/>
      <c r="L54" s="299">
        <f t="shared" si="1"/>
        <v>41375.5</v>
      </c>
      <c r="M54" s="277"/>
      <c r="N54" s="293">
        <f t="shared" si="2"/>
        <v>95616</v>
      </c>
      <c r="O54" s="276"/>
      <c r="P54" s="301">
        <f t="shared" si="3"/>
        <v>47808</v>
      </c>
      <c r="Q54" s="284"/>
      <c r="R54" s="1507"/>
      <c r="S54" s="1507"/>
      <c r="T54" s="1507"/>
      <c r="U54" s="1507"/>
      <c r="V54" s="1507"/>
      <c r="W54" s="1507"/>
      <c r="X54" s="1507"/>
      <c r="Y54" s="1507"/>
      <c r="Z54" s="166"/>
    </row>
    <row r="55" spans="2:26" s="137" customFormat="1" ht="12.75" customHeight="1">
      <c r="B55" s="203">
        <v>41</v>
      </c>
      <c r="C55" s="157">
        <v>880000</v>
      </c>
      <c r="D55" s="206"/>
      <c r="E55" s="157">
        <v>29330</v>
      </c>
      <c r="F55" s="207"/>
      <c r="G55" s="208">
        <v>855000</v>
      </c>
      <c r="H55" s="207" t="s">
        <v>62</v>
      </c>
      <c r="I55" s="209">
        <v>905000</v>
      </c>
      <c r="J55" s="240">
        <f t="shared" si="0"/>
        <v>87736</v>
      </c>
      <c r="K55" s="160"/>
      <c r="L55" s="250">
        <f t="shared" si="1"/>
        <v>43868</v>
      </c>
      <c r="M55" s="210"/>
      <c r="N55" s="237">
        <f t="shared" si="2"/>
        <v>101376</v>
      </c>
      <c r="O55" s="211"/>
      <c r="P55" s="253">
        <f t="shared" si="3"/>
        <v>50688</v>
      </c>
      <c r="Q55" s="212"/>
      <c r="R55" s="1507"/>
      <c r="S55" s="1507"/>
      <c r="T55" s="1507"/>
      <c r="U55" s="1507"/>
      <c r="V55" s="1507"/>
      <c r="W55" s="1507"/>
      <c r="X55" s="1507"/>
      <c r="Y55" s="1507"/>
      <c r="Z55" s="166"/>
    </row>
    <row r="56" spans="2:26" s="137" customFormat="1" ht="12.75" customHeight="1">
      <c r="B56" s="288">
        <v>42</v>
      </c>
      <c r="C56" s="256">
        <v>930000</v>
      </c>
      <c r="D56" s="257"/>
      <c r="E56" s="256">
        <v>31000</v>
      </c>
      <c r="F56" s="260"/>
      <c r="G56" s="264">
        <v>905000</v>
      </c>
      <c r="H56" s="260" t="s">
        <v>62</v>
      </c>
      <c r="I56" s="265">
        <v>955000</v>
      </c>
      <c r="J56" s="294">
        <f t="shared" si="0"/>
        <v>92721</v>
      </c>
      <c r="K56" s="259"/>
      <c r="L56" s="300">
        <f t="shared" si="1"/>
        <v>46360.5</v>
      </c>
      <c r="M56" s="267"/>
      <c r="N56" s="293">
        <f t="shared" si="2"/>
        <v>107136</v>
      </c>
      <c r="O56" s="266"/>
      <c r="P56" s="301">
        <f t="shared" si="3"/>
        <v>53568</v>
      </c>
      <c r="Q56" s="289"/>
      <c r="R56" s="1507"/>
      <c r="S56" s="1507"/>
      <c r="T56" s="1507"/>
      <c r="U56" s="1507"/>
      <c r="V56" s="1507"/>
      <c r="W56" s="1507"/>
      <c r="X56" s="1507"/>
      <c r="Y56" s="1507"/>
      <c r="Z56" s="166"/>
    </row>
    <row r="57" spans="2:49" s="137" customFormat="1" ht="12.75" customHeight="1">
      <c r="B57" s="213">
        <v>43</v>
      </c>
      <c r="C57" s="171">
        <v>980000</v>
      </c>
      <c r="D57" s="172"/>
      <c r="E57" s="171">
        <v>32670</v>
      </c>
      <c r="F57" s="175"/>
      <c r="G57" s="179">
        <v>955000</v>
      </c>
      <c r="H57" s="175" t="s">
        <v>62</v>
      </c>
      <c r="I57" s="180">
        <v>1005000</v>
      </c>
      <c r="J57" s="238">
        <f t="shared" si="0"/>
        <v>97706</v>
      </c>
      <c r="K57" s="181"/>
      <c r="L57" s="245">
        <f t="shared" si="1"/>
        <v>48853</v>
      </c>
      <c r="M57" s="182"/>
      <c r="N57" s="237">
        <f t="shared" si="2"/>
        <v>112896</v>
      </c>
      <c r="O57" s="181"/>
      <c r="P57" s="253">
        <f t="shared" si="3"/>
        <v>56448</v>
      </c>
      <c r="Q57" s="214"/>
      <c r="R57" s="1507"/>
      <c r="S57" s="1507"/>
      <c r="T57" s="1507"/>
      <c r="U57" s="1507"/>
      <c r="V57" s="1507"/>
      <c r="W57" s="1507"/>
      <c r="X57" s="1507"/>
      <c r="Y57" s="1507"/>
      <c r="Z57" s="144"/>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row>
    <row r="58" spans="2:49" s="137" customFormat="1" ht="12.75" customHeight="1">
      <c r="B58" s="290">
        <v>44</v>
      </c>
      <c r="C58" s="259">
        <v>1030000</v>
      </c>
      <c r="D58" s="267"/>
      <c r="E58" s="259">
        <v>34330</v>
      </c>
      <c r="F58" s="262"/>
      <c r="G58" s="259">
        <v>1005000</v>
      </c>
      <c r="H58" s="260" t="s">
        <v>62</v>
      </c>
      <c r="I58" s="258">
        <v>1055000</v>
      </c>
      <c r="J58" s="294">
        <f t="shared" si="0"/>
        <v>102691</v>
      </c>
      <c r="K58" s="266"/>
      <c r="L58" s="297">
        <f t="shared" si="1"/>
        <v>51345.5</v>
      </c>
      <c r="M58" s="267"/>
      <c r="N58" s="293">
        <f t="shared" si="2"/>
        <v>118656</v>
      </c>
      <c r="O58" s="266"/>
      <c r="P58" s="301">
        <f t="shared" si="3"/>
        <v>59328</v>
      </c>
      <c r="Q58" s="289"/>
      <c r="R58" s="1507"/>
      <c r="S58" s="1507"/>
      <c r="T58" s="1507"/>
      <c r="U58" s="1507"/>
      <c r="V58" s="1507"/>
      <c r="W58" s="1507"/>
      <c r="X58" s="1507"/>
      <c r="Y58" s="1507"/>
      <c r="Z58" s="144"/>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row>
    <row r="59" spans="2:49" s="137" customFormat="1" ht="12.75" customHeight="1">
      <c r="B59" s="216">
        <v>45</v>
      </c>
      <c r="C59" s="174">
        <v>1090000</v>
      </c>
      <c r="D59" s="182"/>
      <c r="E59" s="174">
        <v>36330</v>
      </c>
      <c r="F59" s="177"/>
      <c r="G59" s="174">
        <v>1055000</v>
      </c>
      <c r="H59" s="175" t="s">
        <v>62</v>
      </c>
      <c r="I59" s="173">
        <v>1115000</v>
      </c>
      <c r="J59" s="238">
        <f t="shared" si="0"/>
        <v>108673</v>
      </c>
      <c r="K59" s="181"/>
      <c r="L59" s="245">
        <f t="shared" si="1"/>
        <v>54336.5</v>
      </c>
      <c r="M59" s="182"/>
      <c r="N59" s="237">
        <f t="shared" si="2"/>
        <v>125568</v>
      </c>
      <c r="O59" s="181"/>
      <c r="P59" s="253">
        <f t="shared" si="3"/>
        <v>62784</v>
      </c>
      <c r="Q59" s="214"/>
      <c r="R59" s="1507"/>
      <c r="S59" s="1507"/>
      <c r="T59" s="1507"/>
      <c r="U59" s="1507"/>
      <c r="V59" s="1507"/>
      <c r="W59" s="1507"/>
      <c r="X59" s="1507"/>
      <c r="Y59" s="1507"/>
      <c r="Z59" s="144"/>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row>
    <row r="60" spans="2:49" s="137" customFormat="1" ht="12.75" customHeight="1">
      <c r="B60" s="290">
        <v>46</v>
      </c>
      <c r="C60" s="259">
        <v>1150000</v>
      </c>
      <c r="D60" s="267"/>
      <c r="E60" s="259">
        <v>38330</v>
      </c>
      <c r="F60" s="262"/>
      <c r="G60" s="259">
        <v>1115000</v>
      </c>
      <c r="H60" s="260" t="s">
        <v>62</v>
      </c>
      <c r="I60" s="258">
        <v>1175000</v>
      </c>
      <c r="J60" s="294">
        <f t="shared" si="0"/>
        <v>114655</v>
      </c>
      <c r="K60" s="266"/>
      <c r="L60" s="297">
        <f t="shared" si="1"/>
        <v>57327.5</v>
      </c>
      <c r="M60" s="267"/>
      <c r="N60" s="293">
        <f t="shared" si="2"/>
        <v>132480</v>
      </c>
      <c r="O60" s="266"/>
      <c r="P60" s="301">
        <f t="shared" si="3"/>
        <v>66240</v>
      </c>
      <c r="Q60" s="268"/>
      <c r="R60" s="1507"/>
      <c r="S60" s="1507"/>
      <c r="T60" s="1507"/>
      <c r="U60" s="1507"/>
      <c r="V60" s="1507"/>
      <c r="W60" s="1507"/>
      <c r="X60" s="1507"/>
      <c r="Y60" s="1507"/>
      <c r="Z60" s="144"/>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row>
    <row r="61" spans="2:49" s="137" customFormat="1" ht="12.75" customHeight="1" thickBot="1">
      <c r="B61" s="217">
        <v>47</v>
      </c>
      <c r="C61" s="218">
        <v>1210000</v>
      </c>
      <c r="D61" s="219"/>
      <c r="E61" s="218">
        <v>40330</v>
      </c>
      <c r="F61" s="220"/>
      <c r="G61" s="218">
        <v>1175000</v>
      </c>
      <c r="H61" s="221" t="s">
        <v>62</v>
      </c>
      <c r="I61" s="222"/>
      <c r="J61" s="241">
        <f t="shared" si="0"/>
        <v>120637</v>
      </c>
      <c r="K61" s="223"/>
      <c r="L61" s="251">
        <f t="shared" si="1"/>
        <v>60318.5</v>
      </c>
      <c r="M61" s="219"/>
      <c r="N61" s="252">
        <f t="shared" si="2"/>
        <v>139392</v>
      </c>
      <c r="O61" s="223"/>
      <c r="P61" s="254">
        <f t="shared" si="3"/>
        <v>69696</v>
      </c>
      <c r="Q61" s="224"/>
      <c r="R61" s="1507"/>
      <c r="S61" s="1507"/>
      <c r="T61" s="1507"/>
      <c r="U61" s="1507"/>
      <c r="V61" s="1507"/>
      <c r="W61" s="1507"/>
      <c r="X61" s="1507"/>
      <c r="Y61" s="1507"/>
      <c r="Z61" s="144"/>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row>
    <row r="62" spans="2:26" s="137" customFormat="1" ht="5.25" customHeight="1" thickTop="1">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row>
    <row r="63" spans="1:26" s="137" customFormat="1" ht="12.75" customHeight="1">
      <c r="A63" s="1491">
        <f>J10</f>
        <v>0.0997</v>
      </c>
      <c r="B63" s="1491"/>
      <c r="C63" s="1491"/>
      <c r="D63" s="1491"/>
      <c r="E63" s="1491"/>
      <c r="F63" s="1491"/>
      <c r="G63" s="1491"/>
      <c r="H63" s="1491"/>
      <c r="I63" s="1491"/>
      <c r="J63" s="1491"/>
      <c r="K63" s="1491"/>
      <c r="L63" s="1491"/>
      <c r="M63" s="1491"/>
      <c r="N63" s="1491"/>
      <c r="O63" s="1491"/>
      <c r="P63" s="1491"/>
      <c r="Q63" s="1491"/>
      <c r="R63" s="1491"/>
      <c r="S63" s="1491"/>
      <c r="T63" s="1491"/>
      <c r="U63" s="1491"/>
      <c r="V63" s="1491"/>
      <c r="W63" s="1491"/>
      <c r="X63" s="1491"/>
      <c r="Y63" s="1491"/>
      <c r="Z63" s="1491"/>
    </row>
    <row r="64" spans="1:26" s="137" customFormat="1" ht="3" customHeight="1">
      <c r="A64" s="226"/>
      <c r="B64" s="227" t="s">
        <v>52</v>
      </c>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row>
    <row r="65" spans="1:26" s="137" customFormat="1" ht="12.75" customHeight="1">
      <c r="A65" s="1486" t="s">
        <v>159</v>
      </c>
      <c r="B65" s="1486"/>
      <c r="C65" s="1486"/>
      <c r="D65" s="1486"/>
      <c r="E65" s="1486"/>
      <c r="F65" s="1486"/>
      <c r="G65" s="1486"/>
      <c r="H65" s="1486"/>
      <c r="I65" s="1486"/>
      <c r="J65" s="1486"/>
      <c r="K65" s="1486"/>
      <c r="L65" s="1486"/>
      <c r="M65" s="1486"/>
      <c r="N65" s="1486"/>
      <c r="O65" s="1486"/>
      <c r="P65" s="1486"/>
      <c r="Q65" s="1486"/>
      <c r="R65" s="1486"/>
      <c r="S65" s="1486"/>
      <c r="T65" s="1486"/>
      <c r="U65" s="1486"/>
      <c r="V65" s="1486"/>
      <c r="W65" s="1486"/>
      <c r="X65" s="1486"/>
      <c r="Y65" s="1486"/>
      <c r="Z65" s="227"/>
    </row>
    <row r="66" spans="1:26" s="137" customFormat="1" ht="12.75" customHeight="1">
      <c r="A66" s="1492" t="s">
        <v>160</v>
      </c>
      <c r="B66" s="1492"/>
      <c r="C66" s="1492"/>
      <c r="D66" s="1492"/>
      <c r="E66" s="1492"/>
      <c r="F66" s="1492"/>
      <c r="G66" s="1492"/>
      <c r="H66" s="1492"/>
      <c r="I66" s="1492"/>
      <c r="J66" s="1492"/>
      <c r="K66" s="1492"/>
      <c r="L66" s="1492"/>
      <c r="M66" s="1492"/>
      <c r="N66" s="1492"/>
      <c r="O66" s="1492"/>
      <c r="P66" s="1492"/>
      <c r="Q66" s="1492"/>
      <c r="R66" s="1492"/>
      <c r="S66" s="1492"/>
      <c r="T66" s="1492"/>
      <c r="U66" s="1492"/>
      <c r="V66" s="1492"/>
      <c r="W66" s="1492"/>
      <c r="X66" s="1492"/>
      <c r="Y66" s="1492"/>
      <c r="Z66" s="227"/>
    </row>
    <row r="67" spans="1:26" s="137" customFormat="1" ht="12.75" customHeight="1">
      <c r="A67" s="1493" t="s">
        <v>161</v>
      </c>
      <c r="B67" s="1494"/>
      <c r="C67" s="1494"/>
      <c r="D67" s="1494"/>
      <c r="E67" s="1494"/>
      <c r="F67" s="1494"/>
      <c r="G67" s="1494"/>
      <c r="H67" s="1494"/>
      <c r="I67" s="1494"/>
      <c r="J67" s="1494"/>
      <c r="K67" s="1494"/>
      <c r="L67" s="1494"/>
      <c r="M67" s="1494"/>
      <c r="N67" s="1494"/>
      <c r="O67" s="1494"/>
      <c r="P67" s="1494"/>
      <c r="Q67" s="1494"/>
      <c r="R67" s="1494"/>
      <c r="S67" s="1494"/>
      <c r="T67" s="1494"/>
      <c r="U67" s="1494"/>
      <c r="V67" s="1494"/>
      <c r="W67" s="1494"/>
      <c r="X67" s="1494"/>
      <c r="Y67" s="1494"/>
      <c r="Z67" s="227"/>
    </row>
    <row r="68" spans="1:26" s="137" customFormat="1" ht="3" customHeight="1">
      <c r="A68" s="226"/>
      <c r="B68" s="227" t="s">
        <v>52</v>
      </c>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row>
    <row r="69" spans="1:26" s="137" customFormat="1" ht="12.75" customHeight="1">
      <c r="A69" s="1486" t="s">
        <v>178</v>
      </c>
      <c r="B69" s="1486"/>
      <c r="C69" s="1486"/>
      <c r="D69" s="1486"/>
      <c r="E69" s="1486"/>
      <c r="F69" s="1486"/>
      <c r="G69" s="1486"/>
      <c r="H69" s="1486"/>
      <c r="I69" s="1486"/>
      <c r="J69" s="1486"/>
      <c r="K69" s="1486"/>
      <c r="L69" s="1486"/>
      <c r="M69" s="1486"/>
      <c r="N69" s="1486"/>
      <c r="O69" s="1486"/>
      <c r="P69" s="1486"/>
      <c r="Q69" s="1486"/>
      <c r="R69" s="1486"/>
      <c r="S69" s="1486"/>
      <c r="T69" s="1486"/>
      <c r="U69" s="1486"/>
      <c r="V69" s="1486"/>
      <c r="W69" s="1486"/>
      <c r="X69" s="1486"/>
      <c r="Y69" s="1486"/>
      <c r="Z69" s="227"/>
    </row>
    <row r="70" spans="1:26" s="137" customFormat="1" ht="3" customHeight="1">
      <c r="A70" s="226"/>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row>
    <row r="71" spans="1:26" s="137" customFormat="1" ht="12.75" customHeight="1">
      <c r="A71" s="1486" t="s">
        <v>163</v>
      </c>
      <c r="B71" s="1495"/>
      <c r="C71" s="1495"/>
      <c r="D71" s="1495"/>
      <c r="E71" s="1495"/>
      <c r="F71" s="1495"/>
      <c r="G71" s="1495"/>
      <c r="H71" s="1495"/>
      <c r="I71" s="1495"/>
      <c r="J71" s="1495"/>
      <c r="K71" s="1495"/>
      <c r="L71" s="1495"/>
      <c r="M71" s="1495"/>
      <c r="N71" s="1495"/>
      <c r="O71" s="1495"/>
      <c r="P71" s="1495"/>
      <c r="Q71" s="1495"/>
      <c r="R71" s="228"/>
      <c r="S71" s="228"/>
      <c r="T71" s="228"/>
      <c r="U71" s="228"/>
      <c r="V71" s="228"/>
      <c r="W71" s="228"/>
      <c r="X71" s="228"/>
      <c r="Y71" s="228"/>
      <c r="Z71" s="226"/>
    </row>
    <row r="72" spans="1:25" s="137" customFormat="1" ht="12.75" customHeight="1">
      <c r="A72" s="1487" t="s">
        <v>164</v>
      </c>
      <c r="B72" s="1487"/>
      <c r="C72" s="1487"/>
      <c r="D72" s="1487"/>
      <c r="E72" s="1487"/>
      <c r="F72" s="1487"/>
      <c r="G72" s="1487"/>
      <c r="H72" s="1487"/>
      <c r="I72" s="1487"/>
      <c r="J72" s="1487"/>
      <c r="K72" s="1487"/>
      <c r="L72" s="1487"/>
      <c r="M72" s="1487"/>
      <c r="N72" s="1487"/>
      <c r="O72" s="1487"/>
      <c r="P72" s="1487"/>
      <c r="Q72" s="1487"/>
      <c r="R72" s="1487"/>
      <c r="S72" s="1487"/>
      <c r="T72" s="1487"/>
      <c r="U72" s="1487"/>
      <c r="V72" s="1488"/>
      <c r="W72" s="1488"/>
      <c r="X72" s="1488"/>
      <c r="Y72" s="1488"/>
    </row>
    <row r="73" spans="1:25" s="137" customFormat="1" ht="12.75" customHeight="1">
      <c r="A73" s="1487" t="s">
        <v>165</v>
      </c>
      <c r="B73" s="1487"/>
      <c r="C73" s="1487"/>
      <c r="D73" s="1487"/>
      <c r="E73" s="1487"/>
      <c r="F73" s="1487"/>
      <c r="G73" s="1487"/>
      <c r="H73" s="1487"/>
      <c r="I73" s="1487"/>
      <c r="J73" s="1487"/>
      <c r="K73" s="1487"/>
      <c r="L73" s="1487"/>
      <c r="M73" s="1487"/>
      <c r="N73" s="1487"/>
      <c r="O73" s="1487"/>
      <c r="P73" s="1487"/>
      <c r="Q73" s="1487"/>
      <c r="R73" s="1487"/>
      <c r="S73" s="1487"/>
      <c r="T73" s="1487"/>
      <c r="U73" s="1487"/>
      <c r="V73" s="1488"/>
      <c r="W73" s="1488"/>
      <c r="X73" s="1488"/>
      <c r="Y73" s="1488"/>
    </row>
    <row r="74" spans="1:25" s="137" customFormat="1" ht="12.75" customHeight="1">
      <c r="A74" s="1487" t="s">
        <v>166</v>
      </c>
      <c r="B74" s="1487"/>
      <c r="C74" s="1487"/>
      <c r="D74" s="1487"/>
      <c r="E74" s="1487"/>
      <c r="F74" s="1487"/>
      <c r="G74" s="1487"/>
      <c r="H74" s="1487"/>
      <c r="I74" s="1487"/>
      <c r="J74" s="1487"/>
      <c r="K74" s="1487"/>
      <c r="L74" s="1487"/>
      <c r="M74" s="1487"/>
      <c r="N74" s="1487"/>
      <c r="O74" s="1487"/>
      <c r="P74" s="1487"/>
      <c r="Q74" s="1487"/>
      <c r="R74" s="1487"/>
      <c r="S74" s="1487"/>
      <c r="T74" s="1487"/>
      <c r="U74" s="1487"/>
      <c r="V74" s="1488"/>
      <c r="W74" s="1488"/>
      <c r="X74" s="1488"/>
      <c r="Y74" s="1488"/>
    </row>
    <row r="75" spans="1:25" s="137" customFormat="1" ht="3.75" customHeight="1">
      <c r="A75" s="1485"/>
      <c r="B75" s="1485"/>
      <c r="C75" s="1485"/>
      <c r="D75" s="1485"/>
      <c r="E75" s="1485"/>
      <c r="F75" s="1485"/>
      <c r="G75" s="1485"/>
      <c r="H75" s="1485"/>
      <c r="I75" s="1485"/>
      <c r="J75" s="1485"/>
      <c r="K75" s="1485"/>
      <c r="L75" s="1485"/>
      <c r="M75" s="1485"/>
      <c r="N75" s="1485"/>
      <c r="O75" s="1485"/>
      <c r="P75" s="1485"/>
      <c r="Q75" s="1485"/>
      <c r="R75" s="229"/>
      <c r="S75" s="229"/>
      <c r="T75" s="229"/>
      <c r="U75" s="229"/>
      <c r="V75" s="229"/>
      <c r="W75" s="229"/>
      <c r="X75" s="229"/>
      <c r="Y75" s="229"/>
    </row>
    <row r="76" spans="1:25" s="137" customFormat="1" ht="12.75" customHeight="1">
      <c r="A76" s="1486" t="s">
        <v>167</v>
      </c>
      <c r="B76" s="1486"/>
      <c r="C76" s="1486"/>
      <c r="D76" s="1486"/>
      <c r="E76" s="1486"/>
      <c r="F76" s="1486"/>
      <c r="G76" s="1486"/>
      <c r="H76" s="1486"/>
      <c r="I76" s="1486"/>
      <c r="J76" s="1486"/>
      <c r="K76" s="1486"/>
      <c r="L76" s="1486"/>
      <c r="M76" s="1486"/>
      <c r="N76" s="1486"/>
      <c r="O76" s="1486"/>
      <c r="P76" s="1486"/>
      <c r="Q76" s="1486"/>
      <c r="R76" s="1486"/>
      <c r="S76" s="1486"/>
      <c r="T76" s="1486"/>
      <c r="U76" s="1486"/>
      <c r="V76" s="1486"/>
      <c r="W76" s="1486"/>
      <c r="X76" s="1486"/>
      <c r="Y76" s="229"/>
    </row>
    <row r="77" spans="1:25" s="137" customFormat="1" ht="12.75" customHeight="1">
      <c r="A77" s="1489" t="s">
        <v>168</v>
      </c>
      <c r="B77" s="1489"/>
      <c r="C77" s="1489"/>
      <c r="D77" s="1489"/>
      <c r="E77" s="1489"/>
      <c r="F77" s="1489"/>
      <c r="G77" s="1489"/>
      <c r="H77" s="1489"/>
      <c r="I77" s="1489"/>
      <c r="J77" s="1489"/>
      <c r="K77" s="1489"/>
      <c r="L77" s="1489"/>
      <c r="M77" s="1489"/>
      <c r="N77" s="1489"/>
      <c r="O77" s="1489"/>
      <c r="P77" s="1489"/>
      <c r="Q77" s="1489"/>
      <c r="R77" s="1489"/>
      <c r="S77" s="1489"/>
      <c r="T77" s="1489"/>
      <c r="U77" s="1489"/>
      <c r="V77" s="1490"/>
      <c r="W77" s="1490"/>
      <c r="X77" s="1490"/>
      <c r="Y77" s="229"/>
    </row>
    <row r="78" spans="1:25" s="137" customFormat="1" ht="3.75" customHeight="1">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row>
    <row r="79" spans="1:25" s="137" customFormat="1" ht="12.75" customHeight="1">
      <c r="A79" s="1486" t="s">
        <v>169</v>
      </c>
      <c r="B79" s="1486"/>
      <c r="C79" s="1486"/>
      <c r="D79" s="1486"/>
      <c r="E79" s="1486"/>
      <c r="F79" s="1486"/>
      <c r="G79" s="1486"/>
      <c r="H79" s="1486"/>
      <c r="I79" s="1486"/>
      <c r="J79" s="1486"/>
      <c r="K79" s="1486"/>
      <c r="L79" s="1486"/>
      <c r="M79" s="1486"/>
      <c r="N79" s="1486"/>
      <c r="O79" s="1486"/>
      <c r="P79" s="1486"/>
      <c r="Q79" s="1486"/>
      <c r="R79" s="229"/>
      <c r="S79" s="229"/>
      <c r="T79" s="229"/>
      <c r="U79" s="229"/>
      <c r="V79" s="229"/>
      <c r="W79" s="229"/>
      <c r="X79" s="229"/>
      <c r="Y79" s="229"/>
    </row>
    <row r="80" spans="1:25" s="137" customFormat="1" ht="12.75" customHeight="1">
      <c r="A80" s="1487" t="s">
        <v>170</v>
      </c>
      <c r="B80" s="1487"/>
      <c r="C80" s="1487"/>
      <c r="D80" s="1487"/>
      <c r="E80" s="1487"/>
      <c r="F80" s="1487"/>
      <c r="G80" s="1487"/>
      <c r="H80" s="1487"/>
      <c r="I80" s="1487"/>
      <c r="J80" s="1487"/>
      <c r="K80" s="1487"/>
      <c r="L80" s="1487"/>
      <c r="M80" s="1487"/>
      <c r="N80" s="1487"/>
      <c r="O80" s="1487"/>
      <c r="P80" s="1487"/>
      <c r="Q80" s="1487"/>
      <c r="R80" s="1487"/>
      <c r="S80" s="1487"/>
      <c r="T80" s="1487"/>
      <c r="U80" s="1487"/>
      <c r="V80" s="1488"/>
      <c r="W80" s="229"/>
      <c r="X80" s="229"/>
      <c r="Y80" s="229"/>
    </row>
    <row r="81" spans="1:25" s="137" customFormat="1" ht="12.75" customHeight="1">
      <c r="A81" s="1489" t="s">
        <v>171</v>
      </c>
      <c r="B81" s="1490"/>
      <c r="C81" s="1490"/>
      <c r="D81" s="1490"/>
      <c r="E81" s="1490"/>
      <c r="F81" s="1490"/>
      <c r="G81" s="1490"/>
      <c r="H81" s="1490"/>
      <c r="I81" s="1490"/>
      <c r="J81" s="1490"/>
      <c r="K81" s="1490"/>
      <c r="L81" s="1490"/>
      <c r="M81" s="1490"/>
      <c r="N81" s="1490"/>
      <c r="O81" s="1490"/>
      <c r="P81" s="1490"/>
      <c r="Q81" s="1490"/>
      <c r="R81" s="1490"/>
      <c r="S81" s="1490"/>
      <c r="T81" s="1490"/>
      <c r="U81" s="1490"/>
      <c r="V81" s="1490"/>
      <c r="W81" s="1490"/>
      <c r="X81" s="1490"/>
      <c r="Y81" s="1490"/>
    </row>
    <row r="82" spans="1:25" s="137" customFormat="1" ht="3" customHeight="1">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row>
    <row r="83" spans="1:25" s="137" customFormat="1" ht="12" customHeight="1">
      <c r="A83" s="1486" t="s">
        <v>172</v>
      </c>
      <c r="B83" s="1486"/>
      <c r="C83" s="1486"/>
      <c r="D83" s="1486"/>
      <c r="E83" s="1486"/>
      <c r="F83" s="1486"/>
      <c r="G83" s="1486"/>
      <c r="H83" s="1486"/>
      <c r="I83" s="1486"/>
      <c r="J83" s="1486"/>
      <c r="K83" s="1486"/>
      <c r="L83" s="1486"/>
      <c r="M83" s="1486"/>
      <c r="N83" s="1486"/>
      <c r="O83" s="1486"/>
      <c r="P83" s="1486"/>
      <c r="Q83" s="1486"/>
      <c r="R83" s="1486"/>
      <c r="S83" s="1486"/>
      <c r="T83" s="1486"/>
      <c r="U83" s="1486"/>
      <c r="V83" s="1486"/>
      <c r="W83" s="229"/>
      <c r="X83" s="229"/>
      <c r="Y83" s="229"/>
    </row>
    <row r="84" spans="1:25" s="137" customFormat="1" ht="12" customHeight="1">
      <c r="A84" s="1489" t="s">
        <v>173</v>
      </c>
      <c r="B84" s="1489"/>
      <c r="C84" s="1489"/>
      <c r="D84" s="1489"/>
      <c r="E84" s="1489"/>
      <c r="F84" s="1489"/>
      <c r="G84" s="1489"/>
      <c r="H84" s="1489"/>
      <c r="I84" s="1489"/>
      <c r="J84" s="1489"/>
      <c r="K84" s="1489"/>
      <c r="L84" s="1489"/>
      <c r="M84" s="1489"/>
      <c r="N84" s="1489"/>
      <c r="O84" s="1489"/>
      <c r="P84" s="1489"/>
      <c r="Q84" s="1489"/>
      <c r="R84" s="1489"/>
      <c r="S84" s="1489"/>
      <c r="T84" s="1489"/>
      <c r="U84" s="1489"/>
      <c r="V84" s="1489"/>
      <c r="W84" s="1489"/>
      <c r="X84" s="1489"/>
      <c r="Y84" s="1489"/>
    </row>
    <row r="85" spans="1:25" s="137" customFormat="1" ht="12" customHeight="1">
      <c r="A85" s="1487" t="s">
        <v>174</v>
      </c>
      <c r="B85" s="1487"/>
      <c r="C85" s="1487"/>
      <c r="D85" s="1487"/>
      <c r="E85" s="1487"/>
      <c r="F85" s="1487"/>
      <c r="G85" s="1487"/>
      <c r="H85" s="1487"/>
      <c r="I85" s="1487"/>
      <c r="J85" s="1487"/>
      <c r="K85" s="1487"/>
      <c r="L85" s="1487"/>
      <c r="M85" s="1487"/>
      <c r="N85" s="1487"/>
      <c r="O85" s="1487"/>
      <c r="P85" s="1487"/>
      <c r="Q85" s="1487"/>
      <c r="R85" s="1487"/>
      <c r="S85" s="1487"/>
      <c r="T85" s="1487"/>
      <c r="U85" s="1487"/>
      <c r="V85" s="1487"/>
      <c r="W85" s="1487"/>
      <c r="X85" s="1487"/>
      <c r="Y85" s="1487"/>
    </row>
    <row r="86" spans="1:25" s="137" customFormat="1" ht="2.25" customHeight="1">
      <c r="A86" s="1485"/>
      <c r="B86" s="1485"/>
      <c r="C86" s="1485"/>
      <c r="D86" s="1485"/>
      <c r="E86" s="1485"/>
      <c r="F86" s="1485"/>
      <c r="G86" s="1485"/>
      <c r="H86" s="1485"/>
      <c r="I86" s="1485"/>
      <c r="J86" s="1485"/>
      <c r="K86" s="1485"/>
      <c r="L86" s="1485"/>
      <c r="M86" s="1485"/>
      <c r="N86" s="1485"/>
      <c r="O86" s="1485"/>
      <c r="P86" s="1485"/>
      <c r="Q86" s="1485"/>
      <c r="R86" s="229"/>
      <c r="S86" s="229"/>
      <c r="T86" s="229"/>
      <c r="U86" s="229"/>
      <c r="V86" s="229"/>
      <c r="W86" s="229"/>
      <c r="X86" s="229"/>
      <c r="Y86" s="229"/>
    </row>
    <row r="87" spans="3:25" s="137" customFormat="1" ht="11.25">
      <c r="C87" s="230"/>
      <c r="D87" s="230"/>
      <c r="N87" s="231"/>
      <c r="O87" s="231"/>
      <c r="P87" s="231"/>
      <c r="Q87" s="231"/>
      <c r="R87" s="231"/>
      <c r="S87" s="231"/>
      <c r="T87" s="231"/>
      <c r="U87" s="231"/>
      <c r="V87" s="231"/>
      <c r="W87" s="231"/>
      <c r="X87" s="231"/>
      <c r="Y87" s="231"/>
    </row>
    <row r="88" spans="3:25" s="137" customFormat="1" ht="11.25">
      <c r="C88" s="230"/>
      <c r="D88" s="230"/>
      <c r="N88" s="231"/>
      <c r="O88" s="231"/>
      <c r="P88" s="231"/>
      <c r="Q88" s="231"/>
      <c r="R88" s="231"/>
      <c r="S88" s="231"/>
      <c r="T88" s="231"/>
      <c r="U88" s="231"/>
      <c r="V88" s="231"/>
      <c r="W88" s="231"/>
      <c r="X88" s="231"/>
      <c r="Y88" s="231"/>
    </row>
    <row r="89" spans="3:25" s="137" customFormat="1" ht="11.25">
      <c r="C89" s="230"/>
      <c r="D89" s="230"/>
      <c r="N89" s="231"/>
      <c r="O89" s="231"/>
      <c r="P89" s="231"/>
      <c r="Q89" s="231"/>
      <c r="R89" s="231"/>
      <c r="S89" s="231"/>
      <c r="T89" s="231"/>
      <c r="U89" s="231"/>
      <c r="V89" s="231"/>
      <c r="W89" s="231"/>
      <c r="X89" s="231"/>
      <c r="Y89" s="231"/>
    </row>
    <row r="90" spans="3:25" s="137" customFormat="1" ht="11.25">
      <c r="C90" s="230"/>
      <c r="D90" s="230"/>
      <c r="N90" s="231"/>
      <c r="O90" s="231"/>
      <c r="P90" s="231"/>
      <c r="Q90" s="231"/>
      <c r="R90" s="231"/>
      <c r="S90" s="231"/>
      <c r="T90" s="231"/>
      <c r="U90" s="231"/>
      <c r="V90" s="231"/>
      <c r="W90" s="231"/>
      <c r="X90" s="231"/>
      <c r="Y90" s="231"/>
    </row>
    <row r="91" spans="3:25" s="137" customFormat="1" ht="11.25">
      <c r="C91" s="230"/>
      <c r="D91" s="230"/>
      <c r="N91" s="231"/>
      <c r="O91" s="231"/>
      <c r="P91" s="231"/>
      <c r="Q91" s="231"/>
      <c r="R91" s="231"/>
      <c r="S91" s="231"/>
      <c r="T91" s="231"/>
      <c r="U91" s="231"/>
      <c r="V91" s="231"/>
      <c r="W91" s="231"/>
      <c r="X91" s="231"/>
      <c r="Y91" s="231"/>
    </row>
    <row r="92" spans="3:25" s="137" customFormat="1" ht="11.25">
      <c r="C92" s="230"/>
      <c r="D92" s="230"/>
      <c r="N92" s="231"/>
      <c r="O92" s="231"/>
      <c r="P92" s="231"/>
      <c r="Q92" s="231"/>
      <c r="R92" s="231"/>
      <c r="S92" s="231"/>
      <c r="T92" s="231"/>
      <c r="U92" s="231"/>
      <c r="V92" s="231"/>
      <c r="W92" s="231"/>
      <c r="X92" s="231"/>
      <c r="Y92" s="231"/>
    </row>
    <row r="93" spans="3:25" s="137" customFormat="1" ht="11.25">
      <c r="C93" s="230"/>
      <c r="D93" s="230"/>
      <c r="N93" s="231"/>
      <c r="O93" s="231"/>
      <c r="P93" s="231"/>
      <c r="Q93" s="231"/>
      <c r="R93" s="231"/>
      <c r="S93" s="231"/>
      <c r="T93" s="231"/>
      <c r="U93" s="231"/>
      <c r="V93" s="231"/>
      <c r="W93" s="231"/>
      <c r="X93" s="231"/>
      <c r="Y93" s="231"/>
    </row>
    <row r="94" spans="3:25" s="137" customFormat="1" ht="11.25">
      <c r="C94" s="230"/>
      <c r="D94" s="230"/>
      <c r="N94" s="231"/>
      <c r="O94" s="231"/>
      <c r="P94" s="231"/>
      <c r="Q94" s="231"/>
      <c r="R94" s="231"/>
      <c r="S94" s="231"/>
      <c r="T94" s="231"/>
      <c r="U94" s="231"/>
      <c r="V94" s="231"/>
      <c r="W94" s="231"/>
      <c r="X94" s="231"/>
      <c r="Y94" s="231"/>
    </row>
    <row r="95" spans="3:25" s="137" customFormat="1" ht="11.25">
      <c r="C95" s="230"/>
      <c r="D95" s="230"/>
      <c r="N95" s="231"/>
      <c r="O95" s="231"/>
      <c r="P95" s="231"/>
      <c r="Q95" s="231"/>
      <c r="R95" s="231"/>
      <c r="S95" s="231"/>
      <c r="T95" s="231"/>
      <c r="U95" s="231"/>
      <c r="V95" s="231"/>
      <c r="W95" s="231"/>
      <c r="X95" s="231"/>
      <c r="Y95" s="231"/>
    </row>
    <row r="96" spans="3:25" s="137" customFormat="1" ht="11.25">
      <c r="C96" s="230"/>
      <c r="D96" s="230"/>
      <c r="N96" s="231"/>
      <c r="O96" s="231"/>
      <c r="P96" s="231"/>
      <c r="Q96" s="231"/>
      <c r="R96" s="231"/>
      <c r="S96" s="231"/>
      <c r="T96" s="231"/>
      <c r="U96" s="231"/>
      <c r="V96" s="231"/>
      <c r="W96" s="231"/>
      <c r="X96" s="231"/>
      <c r="Y96" s="231"/>
    </row>
    <row r="97" spans="3:25" s="137" customFormat="1" ht="11.25">
      <c r="C97" s="230"/>
      <c r="D97" s="230"/>
      <c r="N97" s="231"/>
      <c r="O97" s="231"/>
      <c r="P97" s="231"/>
      <c r="Q97" s="231"/>
      <c r="R97" s="231"/>
      <c r="S97" s="231"/>
      <c r="T97" s="231"/>
      <c r="U97" s="231"/>
      <c r="V97" s="231"/>
      <c r="W97" s="231"/>
      <c r="X97" s="231"/>
      <c r="Y97" s="231"/>
    </row>
    <row r="98" spans="3:25" s="137" customFormat="1" ht="11.25">
      <c r="C98" s="230"/>
      <c r="D98" s="230"/>
      <c r="N98" s="231"/>
      <c r="O98" s="231"/>
      <c r="P98" s="231"/>
      <c r="Q98" s="231"/>
      <c r="R98" s="231"/>
      <c r="S98" s="231"/>
      <c r="T98" s="231"/>
      <c r="U98" s="231"/>
      <c r="V98" s="231"/>
      <c r="W98" s="231"/>
      <c r="X98" s="231"/>
      <c r="Y98" s="231"/>
    </row>
    <row r="99" spans="3:25" s="137" customFormat="1" ht="11.25">
      <c r="C99" s="230"/>
      <c r="D99" s="230"/>
      <c r="N99" s="231"/>
      <c r="O99" s="231"/>
      <c r="P99" s="231"/>
      <c r="Q99" s="231"/>
      <c r="R99" s="231"/>
      <c r="S99" s="231"/>
      <c r="T99" s="231"/>
      <c r="U99" s="231"/>
      <c r="V99" s="231"/>
      <c r="W99" s="231"/>
      <c r="X99" s="231"/>
      <c r="Y99" s="231"/>
    </row>
    <row r="100" spans="3:25" s="137" customFormat="1" ht="11.25">
      <c r="C100" s="230"/>
      <c r="D100" s="230"/>
      <c r="N100" s="231"/>
      <c r="O100" s="231"/>
      <c r="P100" s="231"/>
      <c r="Q100" s="231"/>
      <c r="R100" s="231"/>
      <c r="S100" s="231"/>
      <c r="T100" s="231"/>
      <c r="U100" s="231"/>
      <c r="V100" s="231"/>
      <c r="W100" s="231"/>
      <c r="X100" s="231"/>
      <c r="Y100" s="231"/>
    </row>
    <row r="101" spans="3:25" s="137" customFormat="1" ht="11.25">
      <c r="C101" s="230"/>
      <c r="D101" s="230"/>
      <c r="N101" s="231"/>
      <c r="O101" s="231"/>
      <c r="P101" s="231"/>
      <c r="Q101" s="231"/>
      <c r="R101" s="231"/>
      <c r="S101" s="231"/>
      <c r="T101" s="231"/>
      <c r="U101" s="231"/>
      <c r="V101" s="231"/>
      <c r="W101" s="231"/>
      <c r="X101" s="231"/>
      <c r="Y101" s="231"/>
    </row>
    <row r="102" spans="3:25" s="137" customFormat="1" ht="11.25">
      <c r="C102" s="230"/>
      <c r="D102" s="230"/>
      <c r="N102" s="231"/>
      <c r="O102" s="231"/>
      <c r="P102" s="231"/>
      <c r="Q102" s="231"/>
      <c r="R102" s="231"/>
      <c r="S102" s="231"/>
      <c r="T102" s="231"/>
      <c r="U102" s="231"/>
      <c r="V102" s="231"/>
      <c r="W102" s="231"/>
      <c r="X102" s="231"/>
      <c r="Y102" s="231"/>
    </row>
    <row r="103" spans="3:25" s="137" customFormat="1" ht="11.25">
      <c r="C103" s="230"/>
      <c r="D103" s="230"/>
      <c r="N103" s="231"/>
      <c r="O103" s="231"/>
      <c r="P103" s="231"/>
      <c r="Q103" s="231"/>
      <c r="R103" s="231"/>
      <c r="S103" s="231"/>
      <c r="T103" s="231"/>
      <c r="U103" s="231"/>
      <c r="V103" s="231"/>
      <c r="W103" s="231"/>
      <c r="X103" s="231"/>
      <c r="Y103" s="231"/>
    </row>
    <row r="104" spans="3:25" s="137" customFormat="1" ht="11.25">
      <c r="C104" s="230"/>
      <c r="D104" s="230"/>
      <c r="N104" s="231"/>
      <c r="O104" s="231"/>
      <c r="P104" s="231"/>
      <c r="Q104" s="231"/>
      <c r="R104" s="231"/>
      <c r="S104" s="231"/>
      <c r="T104" s="231"/>
      <c r="U104" s="231"/>
      <c r="V104" s="231"/>
      <c r="W104" s="231"/>
      <c r="X104" s="231"/>
      <c r="Y104" s="231"/>
    </row>
    <row r="105" spans="3:25" s="137" customFormat="1" ht="11.25">
      <c r="C105" s="230"/>
      <c r="D105" s="230"/>
      <c r="N105" s="231"/>
      <c r="O105" s="231"/>
      <c r="P105" s="231"/>
      <c r="Q105" s="231"/>
      <c r="R105" s="231"/>
      <c r="S105" s="231"/>
      <c r="T105" s="231"/>
      <c r="U105" s="231"/>
      <c r="V105" s="231"/>
      <c r="W105" s="231"/>
      <c r="X105" s="231"/>
      <c r="Y105" s="231"/>
    </row>
    <row r="106" spans="3:25" s="137" customFormat="1" ht="11.25">
      <c r="C106" s="230"/>
      <c r="D106" s="230"/>
      <c r="N106" s="231"/>
      <c r="O106" s="231"/>
      <c r="P106" s="231"/>
      <c r="Q106" s="231"/>
      <c r="R106" s="231"/>
      <c r="S106" s="231"/>
      <c r="T106" s="231"/>
      <c r="U106" s="231"/>
      <c r="V106" s="231"/>
      <c r="W106" s="231"/>
      <c r="X106" s="231"/>
      <c r="Y106" s="231"/>
    </row>
    <row r="107" spans="3:25" s="137" customFormat="1" ht="11.25">
      <c r="C107" s="230"/>
      <c r="D107" s="230"/>
      <c r="N107" s="231"/>
      <c r="O107" s="231"/>
      <c r="P107" s="231"/>
      <c r="Q107" s="231"/>
      <c r="R107" s="231"/>
      <c r="S107" s="231"/>
      <c r="T107" s="231"/>
      <c r="U107" s="231"/>
      <c r="V107" s="231"/>
      <c r="W107" s="231"/>
      <c r="X107" s="231"/>
      <c r="Y107" s="231"/>
    </row>
    <row r="108" spans="3:25" s="137" customFormat="1" ht="11.25">
      <c r="C108" s="230"/>
      <c r="D108" s="230"/>
      <c r="N108" s="231"/>
      <c r="O108" s="231"/>
      <c r="P108" s="231"/>
      <c r="Q108" s="231"/>
      <c r="R108" s="231"/>
      <c r="S108" s="231"/>
      <c r="T108" s="231"/>
      <c r="U108" s="231"/>
      <c r="V108" s="231"/>
      <c r="W108" s="231"/>
      <c r="X108" s="231"/>
      <c r="Y108" s="231"/>
    </row>
    <row r="109" spans="3:25" s="137" customFormat="1" ht="11.25">
      <c r="C109" s="230"/>
      <c r="D109" s="230"/>
      <c r="N109" s="231"/>
      <c r="O109" s="231"/>
      <c r="P109" s="231"/>
      <c r="Q109" s="231"/>
      <c r="R109" s="231"/>
      <c r="S109" s="231"/>
      <c r="T109" s="231"/>
      <c r="U109" s="231"/>
      <c r="V109" s="231"/>
      <c r="W109" s="231"/>
      <c r="X109" s="231"/>
      <c r="Y109" s="231"/>
    </row>
    <row r="110" spans="3:25" s="137" customFormat="1" ht="11.25">
      <c r="C110" s="230"/>
      <c r="D110" s="230"/>
      <c r="N110" s="231"/>
      <c r="O110" s="231"/>
      <c r="P110" s="231"/>
      <c r="Q110" s="231"/>
      <c r="R110" s="231"/>
      <c r="S110" s="231"/>
      <c r="T110" s="231"/>
      <c r="U110" s="231"/>
      <c r="V110" s="231"/>
      <c r="W110" s="231"/>
      <c r="X110" s="231"/>
      <c r="Y110" s="231"/>
    </row>
    <row r="111" spans="3:25" s="137" customFormat="1" ht="11.25">
      <c r="C111" s="230"/>
      <c r="D111" s="230"/>
      <c r="N111" s="231"/>
      <c r="O111" s="231"/>
      <c r="P111" s="231"/>
      <c r="Q111" s="231"/>
      <c r="R111" s="231"/>
      <c r="S111" s="231"/>
      <c r="T111" s="231"/>
      <c r="U111" s="231"/>
      <c r="V111" s="231"/>
      <c r="W111" s="231"/>
      <c r="X111" s="231"/>
      <c r="Y111" s="231"/>
    </row>
    <row r="112" spans="3:25" s="137" customFormat="1" ht="11.25">
      <c r="C112" s="230"/>
      <c r="D112" s="230"/>
      <c r="N112" s="231"/>
      <c r="O112" s="231"/>
      <c r="P112" s="231"/>
      <c r="Q112" s="231"/>
      <c r="R112" s="231"/>
      <c r="S112" s="231"/>
      <c r="T112" s="231"/>
      <c r="U112" s="231"/>
      <c r="V112" s="231"/>
      <c r="W112" s="231"/>
      <c r="X112" s="231"/>
      <c r="Y112" s="231"/>
    </row>
    <row r="113" spans="3:25" s="137" customFormat="1" ht="11.25">
      <c r="C113" s="230"/>
      <c r="D113" s="230"/>
      <c r="N113" s="231"/>
      <c r="O113" s="231"/>
      <c r="P113" s="231"/>
      <c r="Q113" s="231"/>
      <c r="R113" s="231"/>
      <c r="S113" s="231"/>
      <c r="T113" s="231"/>
      <c r="U113" s="231"/>
      <c r="V113" s="231"/>
      <c r="W113" s="231"/>
      <c r="X113" s="231"/>
      <c r="Y113" s="231"/>
    </row>
    <row r="114" spans="3:25" s="137" customFormat="1" ht="11.25">
      <c r="C114" s="230"/>
      <c r="D114" s="230"/>
      <c r="N114" s="231"/>
      <c r="O114" s="231"/>
      <c r="P114" s="231"/>
      <c r="Q114" s="231"/>
      <c r="R114" s="231"/>
      <c r="S114" s="231"/>
      <c r="T114" s="231"/>
      <c r="U114" s="231"/>
      <c r="V114" s="231"/>
      <c r="W114" s="231"/>
      <c r="X114" s="231"/>
      <c r="Y114" s="231"/>
    </row>
    <row r="115" spans="3:25" s="137" customFormat="1" ht="11.25">
      <c r="C115" s="230"/>
      <c r="D115" s="230"/>
      <c r="N115" s="231"/>
      <c r="O115" s="231"/>
      <c r="P115" s="231"/>
      <c r="Q115" s="231"/>
      <c r="R115" s="231"/>
      <c r="S115" s="231"/>
      <c r="T115" s="231"/>
      <c r="U115" s="231"/>
      <c r="V115" s="231"/>
      <c r="W115" s="231"/>
      <c r="X115" s="231"/>
      <c r="Y115" s="231"/>
    </row>
    <row r="116" spans="3:25" s="137" customFormat="1" ht="11.25">
      <c r="C116" s="230"/>
      <c r="D116" s="230"/>
      <c r="N116" s="231"/>
      <c r="O116" s="231"/>
      <c r="P116" s="231"/>
      <c r="Q116" s="231"/>
      <c r="R116" s="231"/>
      <c r="S116" s="231"/>
      <c r="T116" s="231"/>
      <c r="U116" s="231"/>
      <c r="V116" s="231"/>
      <c r="W116" s="231"/>
      <c r="X116" s="231"/>
      <c r="Y116" s="231"/>
    </row>
    <row r="117" spans="3:25" s="137" customFormat="1" ht="11.25">
      <c r="C117" s="230"/>
      <c r="D117" s="230"/>
      <c r="N117" s="231"/>
      <c r="O117" s="231"/>
      <c r="P117" s="231"/>
      <c r="Q117" s="231"/>
      <c r="R117" s="231"/>
      <c r="S117" s="231"/>
      <c r="T117" s="231"/>
      <c r="U117" s="231"/>
      <c r="V117" s="231"/>
      <c r="W117" s="231"/>
      <c r="X117" s="231"/>
      <c r="Y117" s="231"/>
    </row>
    <row r="118" spans="3:25" s="137" customFormat="1" ht="11.25">
      <c r="C118" s="230"/>
      <c r="D118" s="230"/>
      <c r="N118" s="231"/>
      <c r="O118" s="231"/>
      <c r="P118" s="231"/>
      <c r="Q118" s="231"/>
      <c r="R118" s="231"/>
      <c r="S118" s="231"/>
      <c r="T118" s="231"/>
      <c r="U118" s="231"/>
      <c r="V118" s="231"/>
      <c r="W118" s="231"/>
      <c r="X118" s="231"/>
      <c r="Y118" s="231"/>
    </row>
    <row r="119" spans="3:25" s="137" customFormat="1" ht="11.25">
      <c r="C119" s="230"/>
      <c r="D119" s="230"/>
      <c r="N119" s="231"/>
      <c r="O119" s="231"/>
      <c r="P119" s="231"/>
      <c r="Q119" s="231"/>
      <c r="R119" s="231"/>
      <c r="S119" s="231"/>
      <c r="T119" s="231"/>
      <c r="U119" s="231"/>
      <c r="V119" s="231"/>
      <c r="W119" s="231"/>
      <c r="X119" s="231"/>
      <c r="Y119" s="231"/>
    </row>
    <row r="120" spans="3:25" s="137" customFormat="1" ht="11.25">
      <c r="C120" s="230"/>
      <c r="D120" s="230"/>
      <c r="N120" s="231"/>
      <c r="O120" s="231"/>
      <c r="P120" s="231"/>
      <c r="Q120" s="231"/>
      <c r="R120" s="231"/>
      <c r="S120" s="231"/>
      <c r="T120" s="231"/>
      <c r="U120" s="231"/>
      <c r="V120" s="231"/>
      <c r="W120" s="231"/>
      <c r="X120" s="231"/>
      <c r="Y120" s="231"/>
    </row>
    <row r="121" spans="3:25" s="137" customFormat="1" ht="11.25">
      <c r="C121" s="230"/>
      <c r="D121" s="230"/>
      <c r="N121" s="231"/>
      <c r="O121" s="231"/>
      <c r="P121" s="231"/>
      <c r="Q121" s="231"/>
      <c r="R121" s="231"/>
      <c r="S121" s="231"/>
      <c r="T121" s="231"/>
      <c r="U121" s="231"/>
      <c r="V121" s="231"/>
      <c r="W121" s="231"/>
      <c r="X121" s="231"/>
      <c r="Y121" s="231"/>
    </row>
    <row r="122" spans="3:25" s="137" customFormat="1" ht="11.25">
      <c r="C122" s="230"/>
      <c r="D122" s="230"/>
      <c r="N122" s="231"/>
      <c r="O122" s="231"/>
      <c r="P122" s="231"/>
      <c r="Q122" s="231"/>
      <c r="R122" s="231"/>
      <c r="S122" s="231"/>
      <c r="T122" s="231"/>
      <c r="U122" s="231"/>
      <c r="V122" s="231"/>
      <c r="W122" s="231"/>
      <c r="X122" s="231"/>
      <c r="Y122" s="231"/>
    </row>
    <row r="123" spans="3:25" s="137" customFormat="1" ht="11.25">
      <c r="C123" s="230"/>
      <c r="D123" s="230"/>
      <c r="N123" s="231"/>
      <c r="O123" s="231"/>
      <c r="P123" s="231"/>
      <c r="Q123" s="231"/>
      <c r="R123" s="231"/>
      <c r="S123" s="231"/>
      <c r="T123" s="231"/>
      <c r="U123" s="231"/>
      <c r="V123" s="231"/>
      <c r="W123" s="231"/>
      <c r="X123" s="231"/>
      <c r="Y123" s="231"/>
    </row>
    <row r="124" spans="3:25" s="137" customFormat="1" ht="11.25">
      <c r="C124" s="230"/>
      <c r="D124" s="230"/>
      <c r="N124" s="231"/>
      <c r="O124" s="231"/>
      <c r="P124" s="231"/>
      <c r="Q124" s="231"/>
      <c r="R124" s="231"/>
      <c r="S124" s="231"/>
      <c r="T124" s="231"/>
      <c r="U124" s="231"/>
      <c r="V124" s="231"/>
      <c r="W124" s="231"/>
      <c r="X124" s="231"/>
      <c r="Y124" s="231"/>
    </row>
    <row r="125" spans="3:25" s="137" customFormat="1" ht="11.25">
      <c r="C125" s="230"/>
      <c r="D125" s="230"/>
      <c r="N125" s="231"/>
      <c r="O125" s="231"/>
      <c r="P125" s="231"/>
      <c r="Q125" s="231"/>
      <c r="R125" s="231"/>
      <c r="S125" s="231"/>
      <c r="T125" s="231"/>
      <c r="U125" s="231"/>
      <c r="V125" s="231"/>
      <c r="W125" s="231"/>
      <c r="X125" s="231"/>
      <c r="Y125" s="231"/>
    </row>
    <row r="126" spans="3:25" s="137" customFormat="1" ht="11.25">
      <c r="C126" s="230"/>
      <c r="D126" s="230"/>
      <c r="N126" s="231"/>
      <c r="O126" s="231"/>
      <c r="P126" s="231"/>
      <c r="Q126" s="231"/>
      <c r="R126" s="231"/>
      <c r="S126" s="231"/>
      <c r="T126" s="231"/>
      <c r="U126" s="231"/>
      <c r="V126" s="231"/>
      <c r="W126" s="231"/>
      <c r="X126" s="231"/>
      <c r="Y126" s="231"/>
    </row>
    <row r="127" spans="3:25" s="137" customFormat="1" ht="11.25">
      <c r="C127" s="230"/>
      <c r="D127" s="230"/>
      <c r="N127" s="231"/>
      <c r="O127" s="231"/>
      <c r="P127" s="231"/>
      <c r="Q127" s="231"/>
      <c r="R127" s="231"/>
      <c r="S127" s="231"/>
      <c r="T127" s="231"/>
      <c r="U127" s="231"/>
      <c r="V127" s="231"/>
      <c r="W127" s="231"/>
      <c r="X127" s="231"/>
      <c r="Y127" s="231"/>
    </row>
    <row r="128" spans="3:25" s="137" customFormat="1" ht="11.25">
      <c r="C128" s="230"/>
      <c r="D128" s="230"/>
      <c r="N128" s="231"/>
      <c r="O128" s="231"/>
      <c r="P128" s="231"/>
      <c r="Q128" s="231"/>
      <c r="R128" s="231"/>
      <c r="S128" s="231"/>
      <c r="T128" s="231"/>
      <c r="U128" s="231"/>
      <c r="V128" s="231"/>
      <c r="W128" s="231"/>
      <c r="X128" s="231"/>
      <c r="Y128" s="231"/>
    </row>
    <row r="129" spans="3:25" s="137" customFormat="1" ht="11.25">
      <c r="C129" s="230"/>
      <c r="D129" s="230"/>
      <c r="N129" s="231"/>
      <c r="O129" s="231"/>
      <c r="P129" s="231"/>
      <c r="Q129" s="231"/>
      <c r="R129" s="231"/>
      <c r="S129" s="231"/>
      <c r="T129" s="231"/>
      <c r="U129" s="231"/>
      <c r="V129" s="231"/>
      <c r="W129" s="231"/>
      <c r="X129" s="231"/>
      <c r="Y129" s="231"/>
    </row>
    <row r="130" spans="3:25" s="137" customFormat="1" ht="11.25">
      <c r="C130" s="230"/>
      <c r="D130" s="230"/>
      <c r="N130" s="231"/>
      <c r="O130" s="231"/>
      <c r="P130" s="231"/>
      <c r="Q130" s="231"/>
      <c r="R130" s="231"/>
      <c r="S130" s="231"/>
      <c r="T130" s="231"/>
      <c r="U130" s="231"/>
      <c r="V130" s="231"/>
      <c r="W130" s="231"/>
      <c r="X130" s="231"/>
      <c r="Y130" s="231"/>
    </row>
    <row r="131" spans="3:25" s="137" customFormat="1" ht="11.25">
      <c r="C131" s="230"/>
      <c r="D131" s="230"/>
      <c r="N131" s="231"/>
      <c r="O131" s="231"/>
      <c r="P131" s="231"/>
      <c r="Q131" s="231"/>
      <c r="R131" s="231"/>
      <c r="S131" s="231"/>
      <c r="T131" s="231"/>
      <c r="U131" s="231"/>
      <c r="V131" s="231"/>
      <c r="W131" s="231"/>
      <c r="X131" s="231"/>
      <c r="Y131" s="231"/>
    </row>
    <row r="132" spans="3:25" s="137" customFormat="1" ht="11.25">
      <c r="C132" s="230"/>
      <c r="D132" s="230"/>
      <c r="N132" s="231"/>
      <c r="O132" s="231"/>
      <c r="P132" s="231"/>
      <c r="Q132" s="231"/>
      <c r="R132" s="231"/>
      <c r="S132" s="231"/>
      <c r="T132" s="231"/>
      <c r="U132" s="231"/>
      <c r="V132" s="231"/>
      <c r="W132" s="231"/>
      <c r="X132" s="231"/>
      <c r="Y132" s="231"/>
    </row>
    <row r="133" spans="3:25" s="137" customFormat="1" ht="11.25">
      <c r="C133" s="230"/>
      <c r="D133" s="230"/>
      <c r="N133" s="231"/>
      <c r="O133" s="231"/>
      <c r="P133" s="231"/>
      <c r="Q133" s="231"/>
      <c r="R133" s="231"/>
      <c r="S133" s="231"/>
      <c r="T133" s="231"/>
      <c r="U133" s="231"/>
      <c r="V133" s="231"/>
      <c r="W133" s="231"/>
      <c r="X133" s="231"/>
      <c r="Y133" s="231"/>
    </row>
    <row r="134" spans="3:25" s="137" customFormat="1" ht="11.25">
      <c r="C134" s="230"/>
      <c r="D134" s="230"/>
      <c r="N134" s="231"/>
      <c r="O134" s="231"/>
      <c r="P134" s="231"/>
      <c r="Q134" s="231"/>
      <c r="R134" s="231"/>
      <c r="S134" s="231"/>
      <c r="T134" s="231"/>
      <c r="U134" s="231"/>
      <c r="V134" s="231"/>
      <c r="W134" s="231"/>
      <c r="X134" s="231"/>
      <c r="Y134" s="231"/>
    </row>
    <row r="135" spans="3:25" s="137" customFormat="1" ht="11.25">
      <c r="C135" s="230"/>
      <c r="D135" s="230"/>
      <c r="N135" s="231"/>
      <c r="O135" s="231"/>
      <c r="P135" s="231"/>
      <c r="Q135" s="231"/>
      <c r="R135" s="231"/>
      <c r="S135" s="231"/>
      <c r="T135" s="231"/>
      <c r="U135" s="231"/>
      <c r="V135" s="231"/>
      <c r="W135" s="231"/>
      <c r="X135" s="231"/>
      <c r="Y135" s="231"/>
    </row>
    <row r="136" spans="2:26" ht="13.5">
      <c r="B136" s="137"/>
      <c r="C136" s="230"/>
      <c r="D136" s="230"/>
      <c r="E136" s="137"/>
      <c r="F136" s="137"/>
      <c r="G136" s="137"/>
      <c r="H136" s="137"/>
      <c r="I136" s="137"/>
      <c r="J136" s="137"/>
      <c r="K136" s="137"/>
      <c r="L136" s="137"/>
      <c r="M136" s="137"/>
      <c r="N136" s="231"/>
      <c r="O136" s="231"/>
      <c r="P136" s="231"/>
      <c r="Q136" s="231"/>
      <c r="R136" s="231"/>
      <c r="S136" s="231"/>
      <c r="T136" s="231"/>
      <c r="U136" s="231"/>
      <c r="V136" s="231"/>
      <c r="W136" s="231"/>
      <c r="X136" s="231"/>
      <c r="Y136" s="231"/>
      <c r="Z136" s="137"/>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I102"/>
  <sheetViews>
    <sheetView view="pageBreakPreview" zoomScale="60" zoomScalePageLayoutView="0" workbookViewId="0" topLeftCell="A1">
      <selection activeCell="A1" sqref="A1"/>
    </sheetView>
  </sheetViews>
  <sheetFormatPr defaultColWidth="33.57421875" defaultRowHeight="30.75" customHeight="1"/>
  <cols>
    <col min="1" max="1" width="8.28125" style="1109" customWidth="1"/>
    <col min="2" max="2" width="33.57421875" style="1106" customWidth="1"/>
    <col min="3" max="3" width="33.57421875" style="1106" hidden="1" customWidth="1"/>
    <col min="4" max="4" width="15.28125" style="1105" hidden="1" customWidth="1"/>
    <col min="5" max="5" width="33.57421875" style="1106" hidden="1" customWidth="1"/>
    <col min="6" max="6" width="33.57421875" style="1104" hidden="1" customWidth="1"/>
    <col min="7" max="7" width="33.57421875" style="1109" hidden="1" customWidth="1"/>
    <col min="8" max="9" width="0" style="1104" hidden="1" customWidth="1"/>
    <col min="10" max="16384" width="33.57421875" style="1104" customWidth="1"/>
  </cols>
  <sheetData>
    <row r="1" spans="1:9" ht="30.75" customHeight="1">
      <c r="A1" s="1101" t="s">
        <v>489</v>
      </c>
      <c r="B1" s="1102" t="s">
        <v>490</v>
      </c>
      <c r="C1" s="1102" t="str">
        <f>CONCATENATE(A1,B1)</f>
        <v>中分類　コード内容</v>
      </c>
      <c r="D1" s="1101" t="s">
        <v>491</v>
      </c>
      <c r="E1" s="1102" t="s">
        <v>490</v>
      </c>
      <c r="F1" s="1102" t="str">
        <f>CONCATENATE(D1,E1)</f>
        <v>全中分類コード内容</v>
      </c>
      <c r="G1" s="1103" t="s">
        <v>492</v>
      </c>
      <c r="H1" s="1101" t="str">
        <f>CONCATENATE(D1,I1)</f>
        <v>全中分類コード小分類</v>
      </c>
      <c r="I1" s="1103" t="s">
        <v>493</v>
      </c>
    </row>
    <row r="2" spans="1:9" ht="30.75" customHeight="1">
      <c r="A2" s="1105" t="s">
        <v>494</v>
      </c>
      <c r="B2" s="1106" t="s">
        <v>495</v>
      </c>
      <c r="C2" s="1107" t="str">
        <f>CONCATENATE(A2,B2)</f>
        <v>01　農業</v>
      </c>
      <c r="D2" s="1108" t="s">
        <v>496</v>
      </c>
      <c r="E2" s="1106" t="s">
        <v>495</v>
      </c>
      <c r="F2" s="1106" t="str">
        <f>CONCATENATE(D2,E2)</f>
        <v>010000　農業</v>
      </c>
      <c r="G2" s="1109" t="s">
        <v>497</v>
      </c>
      <c r="H2" s="1106" t="str">
        <f>CONCATENATE(D2,I2)</f>
        <v>010000管理，補助的経済活動を行う事業所（01農業） </v>
      </c>
      <c r="I2" s="1104" t="s">
        <v>498</v>
      </c>
    </row>
    <row r="3" spans="1:9" ht="30.75" customHeight="1">
      <c r="A3" s="1109" t="s">
        <v>499</v>
      </c>
      <c r="B3" s="1106" t="s">
        <v>500</v>
      </c>
      <c r="C3" s="1107" t="str">
        <f aca="true" t="shared" si="0" ref="C3:C66">CONCATENATE(A3,B3)</f>
        <v>02　林業</v>
      </c>
      <c r="D3" s="1108" t="s">
        <v>501</v>
      </c>
      <c r="E3" s="1106" t="s">
        <v>500</v>
      </c>
      <c r="F3" s="1106" t="str">
        <f aca="true" t="shared" si="1" ref="F3:F66">CONCATENATE(D3,E3)</f>
        <v>020000　林業</v>
      </c>
      <c r="G3" s="1109" t="s">
        <v>502</v>
      </c>
      <c r="H3" s="1106" t="str">
        <f aca="true" t="shared" si="2" ref="H3:H66">CONCATENATE(D3,I3)</f>
        <v>020000管理，補助的経済活動を行う事業所（02林業） </v>
      </c>
      <c r="I3" s="1104" t="s">
        <v>503</v>
      </c>
    </row>
    <row r="4" spans="1:9" ht="30.75" customHeight="1">
      <c r="A4" s="1109" t="s">
        <v>504</v>
      </c>
      <c r="B4" s="1106" t="s">
        <v>505</v>
      </c>
      <c r="C4" s="1107" t="str">
        <f t="shared" si="0"/>
        <v>03　漁業（水産養殖業を除く）</v>
      </c>
      <c r="D4" s="1108" t="s">
        <v>506</v>
      </c>
      <c r="E4" s="1106" t="s">
        <v>505</v>
      </c>
      <c r="F4" s="1106" t="str">
        <f t="shared" si="1"/>
        <v>030000　漁業（水産養殖業を除く）</v>
      </c>
      <c r="G4" s="1109" t="s">
        <v>507</v>
      </c>
      <c r="H4" s="1106" t="str">
        <f t="shared" si="2"/>
        <v>030000管理，補助的経済活動を行う事業所（03漁業） </v>
      </c>
      <c r="I4" s="1104" t="s">
        <v>508</v>
      </c>
    </row>
    <row r="5" spans="1:9" ht="30.75" customHeight="1">
      <c r="A5" s="1109" t="s">
        <v>509</v>
      </c>
      <c r="B5" s="1106" t="s">
        <v>510</v>
      </c>
      <c r="C5" s="1107" t="str">
        <f t="shared" si="0"/>
        <v>04　水産養殖業</v>
      </c>
      <c r="D5" s="1108" t="s">
        <v>506</v>
      </c>
      <c r="E5" s="1106" t="s">
        <v>510</v>
      </c>
      <c r="F5" s="1106" t="str">
        <f t="shared" si="1"/>
        <v>030000　水産養殖業</v>
      </c>
      <c r="G5" s="1109" t="s">
        <v>511</v>
      </c>
      <c r="H5" s="1106" t="str">
        <f t="shared" si="2"/>
        <v>030000管理，補助的経済活動を行う事業所（04水産養殖業） </v>
      </c>
      <c r="I5" s="1104" t="s">
        <v>512</v>
      </c>
    </row>
    <row r="6" spans="1:9" ht="30.75" customHeight="1">
      <c r="A6" s="1109" t="s">
        <v>513</v>
      </c>
      <c r="B6" s="1106" t="s">
        <v>514</v>
      </c>
      <c r="C6" s="1107" t="str">
        <f t="shared" si="0"/>
        <v>05　鉱業，採石業，砂利採取業</v>
      </c>
      <c r="D6" s="1108" t="s">
        <v>515</v>
      </c>
      <c r="E6" s="1106" t="s">
        <v>516</v>
      </c>
      <c r="F6" s="1106" t="str">
        <f t="shared" si="1"/>
        <v>040000　鉱業</v>
      </c>
      <c r="G6" s="1109" t="s">
        <v>517</v>
      </c>
      <c r="H6" s="1106" t="str">
        <f t="shared" si="2"/>
        <v>040000管理，補助的経済活動を行う事業所（05鉱業，採石業，砂利採取業） </v>
      </c>
      <c r="I6" s="1104" t="s">
        <v>518</v>
      </c>
    </row>
    <row r="7" spans="1:9" ht="30.75" customHeight="1">
      <c r="A7" s="1109" t="s">
        <v>519</v>
      </c>
      <c r="B7" s="1106" t="s">
        <v>520</v>
      </c>
      <c r="C7" s="1107" t="str">
        <f t="shared" si="0"/>
        <v>06　総合工事業</v>
      </c>
      <c r="D7" s="1108" t="s">
        <v>521</v>
      </c>
      <c r="E7" s="1106" t="s">
        <v>520</v>
      </c>
      <c r="F7" s="1106" t="str">
        <f t="shared" si="1"/>
        <v>050100　総合工事業</v>
      </c>
      <c r="G7" s="1109" t="s">
        <v>522</v>
      </c>
      <c r="H7" s="1106" t="str">
        <f t="shared" si="2"/>
        <v>050100管理，補助的経済活動を行う事業所（06総合工事業） </v>
      </c>
      <c r="I7" s="1104" t="s">
        <v>523</v>
      </c>
    </row>
    <row r="8" spans="1:9" ht="30.75" customHeight="1">
      <c r="A8" s="1109" t="s">
        <v>524</v>
      </c>
      <c r="B8" s="1106" t="s">
        <v>525</v>
      </c>
      <c r="C8" s="1107" t="str">
        <f t="shared" si="0"/>
        <v>07　職別工事業(設備工事業を除く)</v>
      </c>
      <c r="D8" s="1108" t="s">
        <v>526</v>
      </c>
      <c r="E8" s="1106" t="s">
        <v>525</v>
      </c>
      <c r="F8" s="1106" t="str">
        <f t="shared" si="1"/>
        <v>050300　職別工事業(設備工事業を除く)</v>
      </c>
      <c r="G8" s="1109" t="s">
        <v>527</v>
      </c>
      <c r="H8" s="1106" t="str">
        <f t="shared" si="2"/>
        <v>050300管理，補助的経済活動を行う事業所（07職別工事業） </v>
      </c>
      <c r="I8" s="1104" t="s">
        <v>528</v>
      </c>
    </row>
    <row r="9" spans="1:9" ht="30.75" customHeight="1">
      <c r="A9" s="1109" t="s">
        <v>529</v>
      </c>
      <c r="B9" s="1106" t="s">
        <v>530</v>
      </c>
      <c r="C9" s="1107" t="str">
        <f t="shared" si="0"/>
        <v>08　設備工事業</v>
      </c>
      <c r="D9" s="1108" t="s">
        <v>531</v>
      </c>
      <c r="E9" s="1106" t="s">
        <v>530</v>
      </c>
      <c r="F9" s="1106" t="str">
        <f t="shared" si="1"/>
        <v>050500　設備工事業</v>
      </c>
      <c r="G9" s="1109" t="s">
        <v>532</v>
      </c>
      <c r="H9" s="1106" t="str">
        <f t="shared" si="2"/>
        <v>050500管理，補助的経済活動を行う事業所（08設備工事業） </v>
      </c>
      <c r="I9" s="1104" t="s">
        <v>533</v>
      </c>
    </row>
    <row r="10" spans="1:9" ht="30.75" customHeight="1">
      <c r="A10" s="1109" t="s">
        <v>534</v>
      </c>
      <c r="B10" s="1106" t="s">
        <v>535</v>
      </c>
      <c r="C10" s="1107" t="str">
        <f t="shared" si="0"/>
        <v>09　食料品製造業</v>
      </c>
      <c r="D10" s="1108" t="s">
        <v>536</v>
      </c>
      <c r="E10" s="1106" t="s">
        <v>535</v>
      </c>
      <c r="F10" s="1106" t="str">
        <f t="shared" si="1"/>
        <v>060100　食料品製造業</v>
      </c>
      <c r="G10" s="1109" t="s">
        <v>537</v>
      </c>
      <c r="H10" s="1106" t="str">
        <f t="shared" si="2"/>
        <v>060100管理，補助的経済活動を行う事業所（09食料品製造業） </v>
      </c>
      <c r="I10" s="1104" t="s">
        <v>538</v>
      </c>
    </row>
    <row r="11" spans="1:9" ht="30.75" customHeight="1">
      <c r="A11" s="1109" t="s">
        <v>539</v>
      </c>
      <c r="B11" s="1106" t="s">
        <v>540</v>
      </c>
      <c r="C11" s="1107" t="str">
        <f t="shared" si="0"/>
        <v>10　飲料・たばこ・飼料製造業</v>
      </c>
      <c r="D11" s="1108" t="s">
        <v>541</v>
      </c>
      <c r="E11" s="1106" t="s">
        <v>540</v>
      </c>
      <c r="F11" s="1106" t="str">
        <f t="shared" si="1"/>
        <v>060300　飲料・たばこ・飼料製造業</v>
      </c>
      <c r="G11" s="1109" t="s">
        <v>542</v>
      </c>
      <c r="H11" s="1106" t="str">
        <f t="shared" si="2"/>
        <v>060300管理，補助的経済活動を行う事業所（10飲料・たばこ・飼料製造業） </v>
      </c>
      <c r="I11" s="1104" t="s">
        <v>543</v>
      </c>
    </row>
    <row r="12" spans="1:9" ht="30.75" customHeight="1">
      <c r="A12" s="1109" t="s">
        <v>544</v>
      </c>
      <c r="B12" s="1106" t="s">
        <v>545</v>
      </c>
      <c r="C12" s="1107" t="str">
        <f t="shared" si="0"/>
        <v>11　繊維工業</v>
      </c>
      <c r="D12" s="1108" t="s">
        <v>546</v>
      </c>
      <c r="E12" s="1106" t="s">
        <v>547</v>
      </c>
      <c r="F12" s="1106" t="str">
        <f t="shared" si="1"/>
        <v>060500繊維工業（衣服、その他の繊維製品を除く）</v>
      </c>
      <c r="G12" s="1109" t="s">
        <v>548</v>
      </c>
      <c r="H12" s="1106" t="str">
        <f t="shared" si="2"/>
        <v>060500管理，補助的経済活動を行う事業所（11繊維工業） </v>
      </c>
      <c r="I12" s="1104" t="s">
        <v>549</v>
      </c>
    </row>
    <row r="13" spans="1:9" ht="30.75" customHeight="1">
      <c r="A13" s="1109" t="s">
        <v>550</v>
      </c>
      <c r="B13" s="1106" t="s">
        <v>551</v>
      </c>
      <c r="C13" s="1107" t="str">
        <f t="shared" si="0"/>
        <v>12　木材・木製品製造業（家具を除く）</v>
      </c>
      <c r="D13" s="1108" t="s">
        <v>552</v>
      </c>
      <c r="E13" s="1106" t="s">
        <v>551</v>
      </c>
      <c r="F13" s="1106" t="str">
        <f t="shared" si="1"/>
        <v>060900　木材・木製品製造業（家具を除く）</v>
      </c>
      <c r="G13" s="1109" t="s">
        <v>553</v>
      </c>
      <c r="H13" s="1106" t="str">
        <f t="shared" si="2"/>
        <v>060900管理，補助的経済活動を行う事業所（12木材・木製品製造業） </v>
      </c>
      <c r="I13" s="1104" t="s">
        <v>554</v>
      </c>
    </row>
    <row r="14" spans="1:9" ht="30.75" customHeight="1">
      <c r="A14" s="1109" t="s">
        <v>555</v>
      </c>
      <c r="B14" s="1106" t="s">
        <v>556</v>
      </c>
      <c r="C14" s="1107" t="str">
        <f t="shared" si="0"/>
        <v>13　家具・装備品製造業</v>
      </c>
      <c r="D14" s="1108" t="s">
        <v>557</v>
      </c>
      <c r="E14" s="1106" t="s">
        <v>556</v>
      </c>
      <c r="F14" s="1106" t="str">
        <f t="shared" si="1"/>
        <v>061100　家具・装備品製造業</v>
      </c>
      <c r="G14" s="1109" t="s">
        <v>558</v>
      </c>
      <c r="H14" s="1106" t="str">
        <f t="shared" si="2"/>
        <v>061100管理，補助的経済活動を行う事業所（13家具・装備品製造業） </v>
      </c>
      <c r="I14" s="1104" t="s">
        <v>559</v>
      </c>
    </row>
    <row r="15" spans="1:9" ht="30.75" customHeight="1">
      <c r="A15" s="1109" t="s">
        <v>560</v>
      </c>
      <c r="B15" s="1106" t="s">
        <v>561</v>
      </c>
      <c r="C15" s="1107" t="str">
        <f t="shared" si="0"/>
        <v>14　パルプ・紙・紙加工品製造業</v>
      </c>
      <c r="D15" s="1108" t="s">
        <v>562</v>
      </c>
      <c r="E15" s="1106" t="s">
        <v>561</v>
      </c>
      <c r="F15" s="1106" t="str">
        <f t="shared" si="1"/>
        <v>061300　パルプ・紙・紙加工品製造業</v>
      </c>
      <c r="G15" s="1109" t="s">
        <v>563</v>
      </c>
      <c r="H15" s="1106" t="str">
        <f t="shared" si="2"/>
        <v>061300管理，補助的経済活動を行う事業所（14パルプ・紙・紙加工品製造業） </v>
      </c>
      <c r="I15" s="1104" t="s">
        <v>564</v>
      </c>
    </row>
    <row r="16" spans="1:9" ht="30.75" customHeight="1">
      <c r="A16" s="1109" t="s">
        <v>565</v>
      </c>
      <c r="B16" s="1106" t="s">
        <v>566</v>
      </c>
      <c r="C16" s="1107" t="str">
        <f t="shared" si="0"/>
        <v>15　印刷・同関連業</v>
      </c>
      <c r="D16" s="1108" t="s">
        <v>567</v>
      </c>
      <c r="E16" s="1106" t="s">
        <v>566</v>
      </c>
      <c r="F16" s="1106" t="str">
        <f t="shared" si="1"/>
        <v>061500　印刷・同関連業</v>
      </c>
      <c r="G16" s="1109" t="s">
        <v>568</v>
      </c>
      <c r="H16" s="1106" t="str">
        <f t="shared" si="2"/>
        <v>061500管理，補助的経済活動を行う事業所（15印刷・同関連業） </v>
      </c>
      <c r="I16" s="1104" t="s">
        <v>569</v>
      </c>
    </row>
    <row r="17" spans="1:9" ht="30.75" customHeight="1">
      <c r="A17" s="1109" t="s">
        <v>570</v>
      </c>
      <c r="B17" s="1106" t="s">
        <v>571</v>
      </c>
      <c r="C17" s="1107" t="str">
        <f t="shared" si="0"/>
        <v>16　化学工業</v>
      </c>
      <c r="D17" s="1108" t="s">
        <v>572</v>
      </c>
      <c r="E17" s="1106" t="s">
        <v>571</v>
      </c>
      <c r="F17" s="1106" t="str">
        <f t="shared" si="1"/>
        <v>061700　化学工業</v>
      </c>
      <c r="G17" s="1109" t="s">
        <v>573</v>
      </c>
      <c r="H17" s="1106" t="str">
        <f t="shared" si="2"/>
        <v>061700管理，補助的経済活動を行う事業所（16化学工業） </v>
      </c>
      <c r="I17" s="1104" t="s">
        <v>574</v>
      </c>
    </row>
    <row r="18" spans="1:9" ht="30.75" customHeight="1">
      <c r="A18" s="1109" t="s">
        <v>575</v>
      </c>
      <c r="B18" s="1106" t="s">
        <v>576</v>
      </c>
      <c r="C18" s="1107" t="str">
        <f t="shared" si="0"/>
        <v>17　石油製品・石炭製品製造業</v>
      </c>
      <c r="D18" s="1108" t="s">
        <v>577</v>
      </c>
      <c r="E18" s="1106" t="s">
        <v>576</v>
      </c>
      <c r="F18" s="1106" t="str">
        <f t="shared" si="1"/>
        <v>061900　石油製品・石炭製品製造業</v>
      </c>
      <c r="G18" s="1109" t="s">
        <v>578</v>
      </c>
      <c r="H18" s="1106" t="str">
        <f t="shared" si="2"/>
        <v>061900管理，補助的経済活動を行う事業所（17石油製品・石炭製品製造業） </v>
      </c>
      <c r="I18" s="1104" t="s">
        <v>579</v>
      </c>
    </row>
    <row r="19" spans="1:9" ht="30.75" customHeight="1">
      <c r="A19" s="1109" t="s">
        <v>580</v>
      </c>
      <c r="B19" s="1106" t="s">
        <v>581</v>
      </c>
      <c r="C19" s="1107" t="str">
        <f t="shared" si="0"/>
        <v>18　プラスチック製品製造業（別掲を除く）</v>
      </c>
      <c r="D19" s="1108" t="s">
        <v>582</v>
      </c>
      <c r="E19" s="1106" t="s">
        <v>581</v>
      </c>
      <c r="F19" s="1106" t="str">
        <f t="shared" si="1"/>
        <v>062100　プラスチック製品製造業（別掲を除く）</v>
      </c>
      <c r="G19" s="1109" t="s">
        <v>583</v>
      </c>
      <c r="H19" s="1106" t="str">
        <f t="shared" si="2"/>
        <v>062100管理，補助的経済活動を行う事業所（18プラスチック製品製造業） </v>
      </c>
      <c r="I19" s="1104" t="s">
        <v>584</v>
      </c>
    </row>
    <row r="20" spans="1:9" ht="30.75" customHeight="1">
      <c r="A20" s="1109" t="s">
        <v>585</v>
      </c>
      <c r="B20" s="1106" t="s">
        <v>586</v>
      </c>
      <c r="C20" s="1107" t="str">
        <f t="shared" si="0"/>
        <v>19　ゴム製品製造業</v>
      </c>
      <c r="D20" s="1108" t="s">
        <v>587</v>
      </c>
      <c r="E20" s="1106" t="s">
        <v>586</v>
      </c>
      <c r="F20" s="1106" t="str">
        <f t="shared" si="1"/>
        <v>062300　ゴム製品製造業</v>
      </c>
      <c r="G20" s="1109" t="s">
        <v>588</v>
      </c>
      <c r="H20" s="1106" t="str">
        <f t="shared" si="2"/>
        <v>062300管理，補助的経済活動を行う事業所（19ゴム製品製造業） </v>
      </c>
      <c r="I20" s="1104" t="s">
        <v>589</v>
      </c>
    </row>
    <row r="21" spans="1:9" ht="30.75" customHeight="1">
      <c r="A21" s="1109" t="s">
        <v>590</v>
      </c>
      <c r="B21" s="1106" t="s">
        <v>591</v>
      </c>
      <c r="C21" s="1107" t="str">
        <f t="shared" si="0"/>
        <v>20　なめし革・同製品・毛皮製造業</v>
      </c>
      <c r="D21" s="1108" t="s">
        <v>592</v>
      </c>
      <c r="E21" s="1106" t="s">
        <v>591</v>
      </c>
      <c r="F21" s="1106" t="str">
        <f t="shared" si="1"/>
        <v>062500　なめし革・同製品・毛皮製造業</v>
      </c>
      <c r="G21" s="1109" t="s">
        <v>593</v>
      </c>
      <c r="H21" s="1106" t="str">
        <f t="shared" si="2"/>
        <v>062500管理，補助的経済活動を行う事業所（20なめし革・同製品・毛皮製造業） </v>
      </c>
      <c r="I21" s="1104" t="s">
        <v>594</v>
      </c>
    </row>
    <row r="22" spans="1:9" ht="30.75" customHeight="1">
      <c r="A22" s="1109" t="s">
        <v>595</v>
      </c>
      <c r="B22" s="1106" t="s">
        <v>596</v>
      </c>
      <c r="C22" s="1107" t="str">
        <f t="shared" si="0"/>
        <v>21　窯業・土石製品製造業</v>
      </c>
      <c r="D22" s="1108" t="s">
        <v>597</v>
      </c>
      <c r="E22" s="1106" t="s">
        <v>596</v>
      </c>
      <c r="F22" s="1106" t="str">
        <f t="shared" si="1"/>
        <v>062700　窯業・土石製品製造業</v>
      </c>
      <c r="G22" s="1109" t="s">
        <v>598</v>
      </c>
      <c r="H22" s="1106" t="str">
        <f t="shared" si="2"/>
        <v>062700管理，補助的経済活動を行う事業所（21窯業・土石製品製造業） </v>
      </c>
      <c r="I22" s="1104" t="s">
        <v>599</v>
      </c>
    </row>
    <row r="23" spans="1:9" ht="30.75" customHeight="1">
      <c r="A23" s="1109" t="s">
        <v>600</v>
      </c>
      <c r="B23" s="1106" t="s">
        <v>601</v>
      </c>
      <c r="C23" s="1107" t="str">
        <f t="shared" si="0"/>
        <v>22　鉄鋼業</v>
      </c>
      <c r="D23" s="1108" t="s">
        <v>602</v>
      </c>
      <c r="E23" s="1106" t="s">
        <v>601</v>
      </c>
      <c r="F23" s="1106" t="str">
        <f t="shared" si="1"/>
        <v>062900　鉄鋼業</v>
      </c>
      <c r="G23" s="1109" t="s">
        <v>603</v>
      </c>
      <c r="H23" s="1106" t="str">
        <f t="shared" si="2"/>
        <v>062900管理，補助的経済活動を行う事業所（22鉄鋼業） </v>
      </c>
      <c r="I23" s="1104" t="s">
        <v>604</v>
      </c>
    </row>
    <row r="24" spans="1:9" ht="30.75" customHeight="1">
      <c r="A24" s="1109" t="s">
        <v>605</v>
      </c>
      <c r="B24" s="1106" t="s">
        <v>606</v>
      </c>
      <c r="C24" s="1107" t="str">
        <f t="shared" si="0"/>
        <v>23　非鉄金属製造業</v>
      </c>
      <c r="D24" s="1108" t="s">
        <v>607</v>
      </c>
      <c r="E24" s="1106" t="s">
        <v>606</v>
      </c>
      <c r="F24" s="1106" t="str">
        <f t="shared" si="1"/>
        <v>063100　非鉄金属製造業</v>
      </c>
      <c r="G24" s="1109" t="s">
        <v>608</v>
      </c>
      <c r="H24" s="1106" t="str">
        <f t="shared" si="2"/>
        <v>063100管理，補助的経済活動を行う事業所（23非鉄金属製造業） </v>
      </c>
      <c r="I24" s="1104" t="s">
        <v>609</v>
      </c>
    </row>
    <row r="25" spans="1:9" ht="30.75" customHeight="1">
      <c r="A25" s="1109" t="s">
        <v>610</v>
      </c>
      <c r="B25" s="1106" t="s">
        <v>611</v>
      </c>
      <c r="C25" s="1107" t="str">
        <f t="shared" si="0"/>
        <v>24　金属製品製造業</v>
      </c>
      <c r="D25" s="1108" t="s">
        <v>612</v>
      </c>
      <c r="E25" s="1106" t="s">
        <v>611</v>
      </c>
      <c r="F25" s="1106" t="str">
        <f t="shared" si="1"/>
        <v>063300　金属製品製造業</v>
      </c>
      <c r="G25" s="1109" t="s">
        <v>613</v>
      </c>
      <c r="H25" s="1106" t="str">
        <f t="shared" si="2"/>
        <v>063300管理，補助的経済活動を行う事業所（24金属製品製造業） </v>
      </c>
      <c r="I25" s="1104" t="s">
        <v>614</v>
      </c>
    </row>
    <row r="26" spans="1:9" ht="30.75" customHeight="1">
      <c r="A26" s="1109" t="s">
        <v>615</v>
      </c>
      <c r="B26" s="1106" t="s">
        <v>616</v>
      </c>
      <c r="C26" s="1107" t="str">
        <f t="shared" si="0"/>
        <v>25　はん用機械器具製造業</v>
      </c>
      <c r="D26" s="1108" t="s">
        <v>617</v>
      </c>
      <c r="E26" s="1106" t="s">
        <v>618</v>
      </c>
      <c r="F26" s="1106" t="str">
        <f t="shared" si="1"/>
        <v>063500一般機械器具製造業　 </v>
      </c>
      <c r="G26" s="1109" t="s">
        <v>619</v>
      </c>
      <c r="H26" s="1106" t="str">
        <f t="shared" si="2"/>
        <v>063500管理，補助的経済活動を行う事業所（25はん用機械器具製造業） </v>
      </c>
      <c r="I26" s="1104" t="s">
        <v>620</v>
      </c>
    </row>
    <row r="27" spans="1:9" ht="30.75" customHeight="1">
      <c r="A27" s="1109" t="s">
        <v>621</v>
      </c>
      <c r="B27" s="1106" t="s">
        <v>622</v>
      </c>
      <c r="C27" s="1107" t="str">
        <f t="shared" si="0"/>
        <v>26　生産用機械器具製造業</v>
      </c>
      <c r="D27" s="1108" t="s">
        <v>617</v>
      </c>
      <c r="E27" s="1106" t="s">
        <v>618</v>
      </c>
      <c r="F27" s="1106" t="str">
        <f t="shared" si="1"/>
        <v>063500一般機械器具製造業　 </v>
      </c>
      <c r="G27" s="1109" t="s">
        <v>623</v>
      </c>
      <c r="H27" s="1106" t="str">
        <f t="shared" si="2"/>
        <v>063500管理，補助的経済活動を行う事業所（26生産用機械器具製造業） </v>
      </c>
      <c r="I27" s="1104" t="s">
        <v>624</v>
      </c>
    </row>
    <row r="28" spans="1:9" ht="30.75" customHeight="1">
      <c r="A28" s="1109" t="s">
        <v>625</v>
      </c>
      <c r="B28" s="1106" t="s">
        <v>626</v>
      </c>
      <c r="C28" s="1107" t="str">
        <f t="shared" si="0"/>
        <v>27　業務用機械器具製造業</v>
      </c>
      <c r="D28" s="1108" t="s">
        <v>627</v>
      </c>
      <c r="E28" s="1106" t="s">
        <v>628</v>
      </c>
      <c r="F28" s="1106" t="str">
        <f t="shared" si="1"/>
        <v>064500精密機械器具製造業   　</v>
      </c>
      <c r="G28" s="1109" t="s">
        <v>629</v>
      </c>
      <c r="H28" s="1106" t="str">
        <f t="shared" si="2"/>
        <v>064500管理，補助的経済活動を行う事業所（27業務用機械器具製造業） </v>
      </c>
      <c r="I28" s="1104" t="s">
        <v>630</v>
      </c>
    </row>
    <row r="29" spans="1:9" ht="30.75" customHeight="1">
      <c r="A29" s="1109" t="s">
        <v>631</v>
      </c>
      <c r="B29" s="1106" t="s">
        <v>632</v>
      </c>
      <c r="C29" s="1107" t="str">
        <f t="shared" si="0"/>
        <v>28　電子部品・デバイス製造業</v>
      </c>
      <c r="D29" s="1108" t="s">
        <v>633</v>
      </c>
      <c r="E29" s="1106" t="s">
        <v>634</v>
      </c>
      <c r="F29" s="1106" t="str">
        <f t="shared" si="1"/>
        <v>064100　電子部品・デバイス・電子回路製造業</v>
      </c>
      <c r="G29" s="1109" t="s">
        <v>635</v>
      </c>
      <c r="H29" s="1106" t="str">
        <f t="shared" si="2"/>
        <v>064100管理，補助的経済活動を行う事業所（28電子部品・デバイス・電子回路製造業） </v>
      </c>
      <c r="I29" s="1104" t="s">
        <v>636</v>
      </c>
    </row>
    <row r="30" spans="1:9" ht="30.75" customHeight="1">
      <c r="A30" s="1109" t="s">
        <v>637</v>
      </c>
      <c r="B30" s="1106" t="s">
        <v>638</v>
      </c>
      <c r="C30" s="1107" t="str">
        <f t="shared" si="0"/>
        <v>29　電気機械器具製造業</v>
      </c>
      <c r="D30" s="1108" t="s">
        <v>639</v>
      </c>
      <c r="E30" s="1106" t="s">
        <v>638</v>
      </c>
      <c r="F30" s="1106" t="str">
        <f t="shared" si="1"/>
        <v>063700　電気機械器具製造業</v>
      </c>
      <c r="G30" s="1109" t="s">
        <v>640</v>
      </c>
      <c r="H30" s="1106" t="str">
        <f t="shared" si="2"/>
        <v>063700管理，補助的経済活動を行う事業所（29電気機械器具製造業） </v>
      </c>
      <c r="I30" s="1104" t="s">
        <v>641</v>
      </c>
    </row>
    <row r="31" spans="1:9" ht="30.75" customHeight="1">
      <c r="A31" s="1109" t="s">
        <v>642</v>
      </c>
      <c r="B31" s="1106" t="s">
        <v>643</v>
      </c>
      <c r="C31" s="1107" t="str">
        <f t="shared" si="0"/>
        <v>30　情報通信機械器具製造業</v>
      </c>
      <c r="D31" s="1108" t="s">
        <v>644</v>
      </c>
      <c r="E31" s="1106" t="s">
        <v>643</v>
      </c>
      <c r="F31" s="1106" t="str">
        <f t="shared" si="1"/>
        <v>063900　情報通信機械器具製造業</v>
      </c>
      <c r="G31" s="1109" t="s">
        <v>645</v>
      </c>
      <c r="H31" s="1106" t="str">
        <f t="shared" si="2"/>
        <v>063900管理，補助的経済活動を行う事業所（30情報通信機械器具製造業） </v>
      </c>
      <c r="I31" s="1104" t="s">
        <v>646</v>
      </c>
    </row>
    <row r="32" spans="1:9" ht="30.75" customHeight="1">
      <c r="A32" s="1109" t="s">
        <v>647</v>
      </c>
      <c r="B32" s="1106" t="s">
        <v>648</v>
      </c>
      <c r="C32" s="1107" t="str">
        <f t="shared" si="0"/>
        <v>31　輸送用機械器具製造業</v>
      </c>
      <c r="D32" s="1108" t="s">
        <v>649</v>
      </c>
      <c r="E32" s="1106" t="s">
        <v>648</v>
      </c>
      <c r="F32" s="1106" t="str">
        <f t="shared" si="1"/>
        <v>064300　輸送用機械器具製造業</v>
      </c>
      <c r="G32" s="1109" t="s">
        <v>650</v>
      </c>
      <c r="H32" s="1106" t="str">
        <f t="shared" si="2"/>
        <v>064300管理，補助的経済活動を行う事業所（31輸送用機械器具製造業） </v>
      </c>
      <c r="I32" s="1104" t="s">
        <v>651</v>
      </c>
    </row>
    <row r="33" spans="1:9" ht="30.75" customHeight="1">
      <c r="A33" s="1109" t="s">
        <v>652</v>
      </c>
      <c r="B33" s="1106" t="s">
        <v>653</v>
      </c>
      <c r="C33" s="1107" t="str">
        <f t="shared" si="0"/>
        <v>32　その他の製造業</v>
      </c>
      <c r="D33" s="1108" t="s">
        <v>654</v>
      </c>
      <c r="E33" s="1106" t="s">
        <v>653</v>
      </c>
      <c r="F33" s="1106" t="str">
        <f t="shared" si="1"/>
        <v>064700　その他の製造業</v>
      </c>
      <c r="G33" s="1109" t="s">
        <v>655</v>
      </c>
      <c r="H33" s="1106" t="str">
        <f t="shared" si="2"/>
        <v>064700管理，補助的経済活動を行う事業所（32その他の製造業） </v>
      </c>
      <c r="I33" s="1104" t="s">
        <v>656</v>
      </c>
    </row>
    <row r="34" spans="1:9" ht="30.75" customHeight="1">
      <c r="A34" s="1109" t="s">
        <v>652</v>
      </c>
      <c r="B34" s="1106" t="s">
        <v>653</v>
      </c>
      <c r="C34" s="1107" t="str">
        <f t="shared" si="0"/>
        <v>32　その他の製造業</v>
      </c>
      <c r="D34" s="1108" t="s">
        <v>654</v>
      </c>
      <c r="E34" s="1106" t="s">
        <v>653</v>
      </c>
      <c r="F34" s="1106" t="str">
        <f t="shared" si="1"/>
        <v>064700　その他の製造業</v>
      </c>
      <c r="G34" s="1109" t="s">
        <v>657</v>
      </c>
      <c r="H34" s="1106" t="str">
        <f t="shared" si="2"/>
        <v>064700漆器製造業 </v>
      </c>
      <c r="I34" s="1104" t="s">
        <v>658</v>
      </c>
    </row>
    <row r="35" spans="1:9" ht="30.75" customHeight="1">
      <c r="A35" s="1109" t="s">
        <v>659</v>
      </c>
      <c r="B35" s="1106" t="s">
        <v>660</v>
      </c>
      <c r="C35" s="1107" t="str">
        <f t="shared" si="0"/>
        <v>33　電気業</v>
      </c>
      <c r="D35" s="1108" t="s">
        <v>661</v>
      </c>
      <c r="E35" s="1106" t="s">
        <v>660</v>
      </c>
      <c r="F35" s="1106" t="str">
        <f t="shared" si="1"/>
        <v>070000　電気業</v>
      </c>
      <c r="G35" s="1109" t="s">
        <v>662</v>
      </c>
      <c r="H35" s="1106" t="str">
        <f t="shared" si="2"/>
        <v>070000管理，補助的経済活動を行う事業所（33電気業） </v>
      </c>
      <c r="I35" s="1104" t="s">
        <v>663</v>
      </c>
    </row>
    <row r="36" spans="1:9" ht="30.75" customHeight="1">
      <c r="A36" s="1109" t="s">
        <v>664</v>
      </c>
      <c r="B36" s="1106" t="s">
        <v>665</v>
      </c>
      <c r="C36" s="1107" t="str">
        <f t="shared" si="0"/>
        <v>34　ガス業</v>
      </c>
      <c r="D36" s="1108" t="s">
        <v>661</v>
      </c>
      <c r="E36" s="1106" t="s">
        <v>665</v>
      </c>
      <c r="F36" s="1106" t="str">
        <f t="shared" si="1"/>
        <v>070000　ガス業</v>
      </c>
      <c r="G36" s="1109" t="s">
        <v>666</v>
      </c>
      <c r="H36" s="1106" t="str">
        <f t="shared" si="2"/>
        <v>070000管理，補助的経済活動を行う事業所（34ガス業） </v>
      </c>
      <c r="I36" s="1104" t="s">
        <v>667</v>
      </c>
    </row>
    <row r="37" spans="1:9" ht="30.75" customHeight="1">
      <c r="A37" s="1109" t="s">
        <v>668</v>
      </c>
      <c r="B37" s="1106" t="s">
        <v>669</v>
      </c>
      <c r="C37" s="1107" t="str">
        <f t="shared" si="0"/>
        <v>35　熱供給業</v>
      </c>
      <c r="D37" s="1108" t="s">
        <v>661</v>
      </c>
      <c r="E37" s="1106" t="s">
        <v>669</v>
      </c>
      <c r="F37" s="1106" t="str">
        <f t="shared" si="1"/>
        <v>070000　熱供給業</v>
      </c>
      <c r="G37" s="1109" t="s">
        <v>670</v>
      </c>
      <c r="H37" s="1106" t="str">
        <f t="shared" si="2"/>
        <v>070000管理，補助的経済活動を行う事業所（35熱供給業） </v>
      </c>
      <c r="I37" s="1104" t="s">
        <v>671</v>
      </c>
    </row>
    <row r="38" spans="1:9" ht="30.75" customHeight="1">
      <c r="A38" s="1109" t="s">
        <v>672</v>
      </c>
      <c r="B38" s="1106" t="s">
        <v>673</v>
      </c>
      <c r="C38" s="1107" t="str">
        <f t="shared" si="0"/>
        <v>36　水道業</v>
      </c>
      <c r="D38" s="1108" t="s">
        <v>661</v>
      </c>
      <c r="E38" s="1106" t="s">
        <v>673</v>
      </c>
      <c r="F38" s="1106" t="str">
        <f t="shared" si="1"/>
        <v>070000　水道業</v>
      </c>
      <c r="G38" s="1109" t="s">
        <v>674</v>
      </c>
      <c r="H38" s="1106" t="str">
        <f t="shared" si="2"/>
        <v>070000管理，補助的経済活動を行う事業所（36水道業） </v>
      </c>
      <c r="I38" s="1104" t="s">
        <v>675</v>
      </c>
    </row>
    <row r="39" spans="1:9" ht="30.75" customHeight="1">
      <c r="A39" s="1109" t="s">
        <v>676</v>
      </c>
      <c r="B39" s="1106" t="s">
        <v>677</v>
      </c>
      <c r="C39" s="1107" t="str">
        <f t="shared" si="0"/>
        <v>37　通信業</v>
      </c>
      <c r="D39" s="1108" t="s">
        <v>678</v>
      </c>
      <c r="E39" s="1106" t="s">
        <v>677</v>
      </c>
      <c r="F39" s="1106" t="str">
        <f t="shared" si="1"/>
        <v>080100　通信業</v>
      </c>
      <c r="G39" s="1109" t="s">
        <v>679</v>
      </c>
      <c r="H39" s="1106" t="str">
        <f t="shared" si="2"/>
        <v>080100管理，補助的経済活動を行う事業所（37通信業） </v>
      </c>
      <c r="I39" s="1104" t="s">
        <v>680</v>
      </c>
    </row>
    <row r="40" spans="1:9" ht="30.75" customHeight="1">
      <c r="A40" s="1109" t="s">
        <v>681</v>
      </c>
      <c r="B40" s="1106" t="s">
        <v>682</v>
      </c>
      <c r="C40" s="1107" t="str">
        <f t="shared" si="0"/>
        <v>38　放送業</v>
      </c>
      <c r="D40" s="1108" t="s">
        <v>683</v>
      </c>
      <c r="E40" s="1106" t="s">
        <v>682</v>
      </c>
      <c r="F40" s="1106" t="str">
        <f t="shared" si="1"/>
        <v>080300　放送業</v>
      </c>
      <c r="G40" s="1109" t="s">
        <v>684</v>
      </c>
      <c r="H40" s="1106" t="str">
        <f t="shared" si="2"/>
        <v>080300管理，補助的経済活動を行う事業所（38放送業） </v>
      </c>
      <c r="I40" s="1104" t="s">
        <v>685</v>
      </c>
    </row>
    <row r="41" spans="1:9" ht="30.75" customHeight="1">
      <c r="A41" s="1109" t="s">
        <v>686</v>
      </c>
      <c r="B41" s="1106" t="s">
        <v>687</v>
      </c>
      <c r="C41" s="1107" t="str">
        <f t="shared" si="0"/>
        <v>39　情報サービス業</v>
      </c>
      <c r="D41" s="1108" t="s">
        <v>688</v>
      </c>
      <c r="E41" s="1106" t="s">
        <v>687</v>
      </c>
      <c r="F41" s="1106" t="str">
        <f t="shared" si="1"/>
        <v>080500　情報サービス業</v>
      </c>
      <c r="G41" s="1109" t="s">
        <v>689</v>
      </c>
      <c r="H41" s="1106" t="str">
        <f t="shared" si="2"/>
        <v>080500管理，補助的経済活動を行う事業所（39情報サービス業） </v>
      </c>
      <c r="I41" s="1104" t="s">
        <v>690</v>
      </c>
    </row>
    <row r="42" spans="1:9" ht="30.75" customHeight="1">
      <c r="A42" s="1109" t="s">
        <v>691</v>
      </c>
      <c r="B42" s="1106" t="s">
        <v>692</v>
      </c>
      <c r="C42" s="1107" t="str">
        <f t="shared" si="0"/>
        <v>40　インターネット附随サービス業</v>
      </c>
      <c r="D42" s="1108" t="s">
        <v>693</v>
      </c>
      <c r="E42" s="1106" t="s">
        <v>692</v>
      </c>
      <c r="F42" s="1106" t="str">
        <f t="shared" si="1"/>
        <v>080700　インターネット附随サービス業</v>
      </c>
      <c r="G42" s="1109" t="s">
        <v>694</v>
      </c>
      <c r="H42" s="1106" t="str">
        <f t="shared" si="2"/>
        <v>080700管理，補助的経済活動を行う事業所（40インターネット附随サービス業） </v>
      </c>
      <c r="I42" s="1104" t="s">
        <v>695</v>
      </c>
    </row>
    <row r="43" spans="1:9" ht="30.75" customHeight="1">
      <c r="A43" s="1109" t="s">
        <v>696</v>
      </c>
      <c r="B43" s="1106" t="s">
        <v>697</v>
      </c>
      <c r="C43" s="1107" t="str">
        <f t="shared" si="0"/>
        <v>41　映像・音声・文字情報制作業</v>
      </c>
      <c r="D43" s="1108" t="s">
        <v>698</v>
      </c>
      <c r="E43" s="1106" t="s">
        <v>697</v>
      </c>
      <c r="F43" s="1106" t="str">
        <f t="shared" si="1"/>
        <v>080900　映像・音声・文字情報制作業</v>
      </c>
      <c r="G43" s="1109" t="s">
        <v>699</v>
      </c>
      <c r="H43" s="1106" t="str">
        <f t="shared" si="2"/>
        <v>080900管理，補助的経済活動を行う事業所（41映像・音声・文字情報制作業） </v>
      </c>
      <c r="I43" s="1104" t="s">
        <v>700</v>
      </c>
    </row>
    <row r="44" spans="1:9" ht="30.75" customHeight="1">
      <c r="A44" s="1109" t="s">
        <v>701</v>
      </c>
      <c r="B44" s="1106" t="s">
        <v>702</v>
      </c>
      <c r="C44" s="1107" t="str">
        <f t="shared" si="0"/>
        <v>42　鉄道業</v>
      </c>
      <c r="D44" s="1108" t="s">
        <v>703</v>
      </c>
      <c r="E44" s="1106" t="s">
        <v>702</v>
      </c>
      <c r="F44" s="1106" t="str">
        <f t="shared" si="1"/>
        <v>090000　鉄道業</v>
      </c>
      <c r="G44" s="1109" t="s">
        <v>704</v>
      </c>
      <c r="H44" s="1106" t="str">
        <f t="shared" si="2"/>
        <v>090000管理，補助的経済活動を行う事業所（42鉄道業） </v>
      </c>
      <c r="I44" s="1104" t="s">
        <v>705</v>
      </c>
    </row>
    <row r="45" spans="1:9" ht="30.75" customHeight="1">
      <c r="A45" s="1109" t="s">
        <v>701</v>
      </c>
      <c r="B45" s="1106" t="s">
        <v>702</v>
      </c>
      <c r="C45" s="1107" t="str">
        <f t="shared" si="0"/>
        <v>42　鉄道業</v>
      </c>
      <c r="D45" s="1108" t="s">
        <v>703</v>
      </c>
      <c r="E45" s="1106" t="s">
        <v>702</v>
      </c>
      <c r="F45" s="1106" t="str">
        <f t="shared" si="1"/>
        <v>090000　鉄道業</v>
      </c>
      <c r="G45" s="1109" t="s">
        <v>706</v>
      </c>
      <c r="H45" s="1106" t="str">
        <f t="shared" si="2"/>
        <v>090000鉄道業 </v>
      </c>
      <c r="I45" s="1104" t="s">
        <v>707</v>
      </c>
    </row>
    <row r="46" spans="1:9" ht="30.75" customHeight="1">
      <c r="A46" s="1109" t="s">
        <v>708</v>
      </c>
      <c r="B46" s="1106" t="s">
        <v>709</v>
      </c>
      <c r="C46" s="1107" t="str">
        <f t="shared" si="0"/>
        <v>43　道路旅客運送業</v>
      </c>
      <c r="D46" s="1108" t="s">
        <v>703</v>
      </c>
      <c r="E46" s="1106" t="s">
        <v>709</v>
      </c>
      <c r="F46" s="1106" t="str">
        <f t="shared" si="1"/>
        <v>090000　道路旅客運送業</v>
      </c>
      <c r="G46" s="1109" t="s">
        <v>710</v>
      </c>
      <c r="H46" s="1106" t="str">
        <f t="shared" si="2"/>
        <v>090000管理，補助的経済活動を行う事業所（43道路旅客運送業） </v>
      </c>
      <c r="I46" s="1104" t="s">
        <v>711</v>
      </c>
    </row>
    <row r="47" spans="1:9" ht="30.75" customHeight="1">
      <c r="A47" s="1109" t="s">
        <v>712</v>
      </c>
      <c r="B47" s="1106" t="s">
        <v>713</v>
      </c>
      <c r="C47" s="1107" t="str">
        <f t="shared" si="0"/>
        <v>44　道路貨物運送業</v>
      </c>
      <c r="D47" s="1108" t="s">
        <v>703</v>
      </c>
      <c r="E47" s="1106" t="s">
        <v>713</v>
      </c>
      <c r="F47" s="1106" t="str">
        <f t="shared" si="1"/>
        <v>090000　道路貨物運送業</v>
      </c>
      <c r="G47" s="1109" t="s">
        <v>714</v>
      </c>
      <c r="H47" s="1106" t="str">
        <f t="shared" si="2"/>
        <v>090000管理，補助的経済活動を行う事業所（44道路貨物運送業） </v>
      </c>
      <c r="I47" s="1104" t="s">
        <v>715</v>
      </c>
    </row>
    <row r="48" spans="1:9" ht="30.75" customHeight="1">
      <c r="A48" s="1109" t="s">
        <v>716</v>
      </c>
      <c r="B48" s="1106" t="s">
        <v>717</v>
      </c>
      <c r="C48" s="1107" t="str">
        <f t="shared" si="0"/>
        <v>45　水運業</v>
      </c>
      <c r="D48" s="1108" t="s">
        <v>703</v>
      </c>
      <c r="E48" s="1106" t="s">
        <v>717</v>
      </c>
      <c r="F48" s="1106" t="str">
        <f t="shared" si="1"/>
        <v>090000　水運業</v>
      </c>
      <c r="G48" s="1109" t="s">
        <v>718</v>
      </c>
      <c r="H48" s="1106" t="str">
        <f t="shared" si="2"/>
        <v>090000管理，補助的経済活動を行う事業所（45水運業） </v>
      </c>
      <c r="I48" s="1104" t="s">
        <v>719</v>
      </c>
    </row>
    <row r="49" spans="1:9" ht="30.75" customHeight="1">
      <c r="A49" s="1109" t="s">
        <v>720</v>
      </c>
      <c r="B49" s="1106" t="s">
        <v>721</v>
      </c>
      <c r="C49" s="1107" t="str">
        <f t="shared" si="0"/>
        <v>46　航空運輸業</v>
      </c>
      <c r="D49" s="1108" t="s">
        <v>703</v>
      </c>
      <c r="E49" s="1106" t="s">
        <v>721</v>
      </c>
      <c r="F49" s="1106" t="str">
        <f t="shared" si="1"/>
        <v>090000　航空運輸業</v>
      </c>
      <c r="G49" s="1109" t="s">
        <v>722</v>
      </c>
      <c r="H49" s="1106" t="str">
        <f t="shared" si="2"/>
        <v>090000管理，補助的経済活動を行う事業所（46航空運輸業） </v>
      </c>
      <c r="I49" s="1104" t="s">
        <v>723</v>
      </c>
    </row>
    <row r="50" spans="1:9" ht="30.75" customHeight="1">
      <c r="A50" s="1109" t="s">
        <v>724</v>
      </c>
      <c r="B50" s="1106" t="s">
        <v>725</v>
      </c>
      <c r="C50" s="1107" t="str">
        <f t="shared" si="0"/>
        <v>47　倉庫業</v>
      </c>
      <c r="D50" s="1108" t="s">
        <v>703</v>
      </c>
      <c r="E50" s="1106" t="s">
        <v>725</v>
      </c>
      <c r="F50" s="1106" t="str">
        <f t="shared" si="1"/>
        <v>090000　倉庫業</v>
      </c>
      <c r="G50" s="1109" t="s">
        <v>726</v>
      </c>
      <c r="H50" s="1106" t="str">
        <f t="shared" si="2"/>
        <v>090000管理，補助的経済活動を行う事業所（47倉庫業） </v>
      </c>
      <c r="I50" s="1104" t="s">
        <v>727</v>
      </c>
    </row>
    <row r="51" spans="1:9" ht="30.75" customHeight="1">
      <c r="A51" s="1109" t="s">
        <v>728</v>
      </c>
      <c r="B51" s="1106" t="s">
        <v>729</v>
      </c>
      <c r="C51" s="1107" t="str">
        <f t="shared" si="0"/>
        <v>48　運輸に附帯するサービス業</v>
      </c>
      <c r="D51" s="1108" t="s">
        <v>703</v>
      </c>
      <c r="E51" s="1106" t="s">
        <v>729</v>
      </c>
      <c r="F51" s="1106" t="str">
        <f t="shared" si="1"/>
        <v>090000　運輸に附帯するサービス業</v>
      </c>
      <c r="G51" s="1109" t="s">
        <v>730</v>
      </c>
      <c r="H51" s="1106" t="str">
        <f t="shared" si="2"/>
        <v>090000管理，補助的経済活動を行う事業所（48運輸に附帯するサービス業） </v>
      </c>
      <c r="I51" s="1104" t="s">
        <v>731</v>
      </c>
    </row>
    <row r="52" spans="1:9" ht="30.75" customHeight="1">
      <c r="A52" s="1109" t="s">
        <v>732</v>
      </c>
      <c r="B52" s="1106" t="s">
        <v>733</v>
      </c>
      <c r="C52" s="1107" t="str">
        <f t="shared" si="0"/>
        <v>49　郵便業（信書便事業を含む）</v>
      </c>
      <c r="D52" s="1108" t="s">
        <v>703</v>
      </c>
      <c r="E52" s="1106" t="s">
        <v>733</v>
      </c>
      <c r="F52" s="1106" t="str">
        <f t="shared" si="1"/>
        <v>090000　郵便業（信書便事業を含む）</v>
      </c>
      <c r="G52" s="1109" t="s">
        <v>734</v>
      </c>
      <c r="H52" s="1106" t="str">
        <f t="shared" si="2"/>
        <v>090000管理，補助的経済活動を行う事業所（49郵便業） </v>
      </c>
      <c r="I52" s="1104" t="s">
        <v>735</v>
      </c>
    </row>
    <row r="53" spans="1:9" ht="30.75" customHeight="1">
      <c r="A53" s="1109" t="s">
        <v>736</v>
      </c>
      <c r="B53" s="1106" t="s">
        <v>737</v>
      </c>
      <c r="C53" s="1107" t="str">
        <f t="shared" si="0"/>
        <v>50　各種商品卸売業</v>
      </c>
      <c r="D53" s="1110" t="s">
        <v>738</v>
      </c>
      <c r="E53" s="1106" t="s">
        <v>737</v>
      </c>
      <c r="F53" s="1106" t="str">
        <f t="shared" si="1"/>
        <v>100100　各種商品卸売業</v>
      </c>
      <c r="G53" s="1109" t="s">
        <v>739</v>
      </c>
      <c r="H53" s="1106" t="str">
        <f t="shared" si="2"/>
        <v>100100管理，補助的経済活動を行う事業所（50各種商品卸売業） </v>
      </c>
      <c r="I53" s="1104" t="s">
        <v>740</v>
      </c>
    </row>
    <row r="54" spans="1:9" ht="30.75" customHeight="1">
      <c r="A54" s="1109" t="s">
        <v>741</v>
      </c>
      <c r="B54" s="1106" t="s">
        <v>742</v>
      </c>
      <c r="C54" s="1107" t="str">
        <f t="shared" si="0"/>
        <v>51　繊維・衣服等卸売業</v>
      </c>
      <c r="D54" s="1110" t="s">
        <v>743</v>
      </c>
      <c r="E54" s="1106" t="s">
        <v>742</v>
      </c>
      <c r="F54" s="1106" t="str">
        <f t="shared" si="1"/>
        <v>100300　繊維・衣服等卸売業</v>
      </c>
      <c r="G54" s="1109" t="s">
        <v>744</v>
      </c>
      <c r="H54" s="1106" t="str">
        <f t="shared" si="2"/>
        <v>100300管理，補助的経済活動を行う事業所（51繊維・衣服等卸売業） </v>
      </c>
      <c r="I54" s="1104" t="s">
        <v>745</v>
      </c>
    </row>
    <row r="55" spans="1:9" ht="30.75" customHeight="1">
      <c r="A55" s="1109" t="s">
        <v>746</v>
      </c>
      <c r="B55" s="1106" t="s">
        <v>747</v>
      </c>
      <c r="C55" s="1107" t="str">
        <f t="shared" si="0"/>
        <v>52　飲食料品卸売業</v>
      </c>
      <c r="D55" s="1110" t="s">
        <v>748</v>
      </c>
      <c r="E55" s="1106" t="s">
        <v>747</v>
      </c>
      <c r="F55" s="1106" t="str">
        <f t="shared" si="1"/>
        <v>100500　飲食料品卸売業</v>
      </c>
      <c r="G55" s="1109" t="s">
        <v>749</v>
      </c>
      <c r="H55" s="1106" t="str">
        <f t="shared" si="2"/>
        <v>100500管理，補助的経済活動を行う事業所（52飲食料品卸売業） </v>
      </c>
      <c r="I55" s="1104" t="s">
        <v>750</v>
      </c>
    </row>
    <row r="56" spans="1:9" ht="30.75" customHeight="1">
      <c r="A56" s="1109" t="s">
        <v>751</v>
      </c>
      <c r="B56" s="1106" t="s">
        <v>752</v>
      </c>
      <c r="C56" s="1107" t="str">
        <f t="shared" si="0"/>
        <v>53　建築材料，鉱物・金属材料等卸売業</v>
      </c>
      <c r="D56" s="1110" t="s">
        <v>753</v>
      </c>
      <c r="E56" s="1106" t="s">
        <v>752</v>
      </c>
      <c r="F56" s="1106" t="str">
        <f t="shared" si="1"/>
        <v>100700　建築材料，鉱物・金属材料等卸売業</v>
      </c>
      <c r="G56" s="1109" t="s">
        <v>754</v>
      </c>
      <c r="H56" s="1106" t="str">
        <f t="shared" si="2"/>
        <v>100700管理，補助的経済活動を行う事業所（53建築材料，鉱物・金属材料等卸売業） </v>
      </c>
      <c r="I56" s="1104" t="s">
        <v>755</v>
      </c>
    </row>
    <row r="57" spans="1:9" ht="30.75" customHeight="1">
      <c r="A57" s="1109" t="s">
        <v>756</v>
      </c>
      <c r="B57" s="1106" t="s">
        <v>757</v>
      </c>
      <c r="C57" s="1107" t="str">
        <f t="shared" si="0"/>
        <v>54　機械器具卸売業</v>
      </c>
      <c r="D57" s="1110" t="s">
        <v>758</v>
      </c>
      <c r="E57" s="1106" t="s">
        <v>757</v>
      </c>
      <c r="F57" s="1106" t="str">
        <f t="shared" si="1"/>
        <v>100900　機械器具卸売業</v>
      </c>
      <c r="G57" s="1109" t="s">
        <v>759</v>
      </c>
      <c r="H57" s="1106" t="str">
        <f t="shared" si="2"/>
        <v>100900管理，補助的経済活動を行う事業所（54機械器具卸売業） </v>
      </c>
      <c r="I57" s="1104" t="s">
        <v>760</v>
      </c>
    </row>
    <row r="58" spans="1:9" ht="30.75" customHeight="1">
      <c r="A58" s="1109" t="s">
        <v>761</v>
      </c>
      <c r="B58" s="1106" t="s">
        <v>762</v>
      </c>
      <c r="C58" s="1107" t="str">
        <f t="shared" si="0"/>
        <v>55　その他の卸売業</v>
      </c>
      <c r="D58" s="1110" t="s">
        <v>763</v>
      </c>
      <c r="E58" s="1106" t="s">
        <v>762</v>
      </c>
      <c r="F58" s="1106" t="str">
        <f t="shared" si="1"/>
        <v>101100　その他の卸売業</v>
      </c>
      <c r="G58" s="1109" t="s">
        <v>764</v>
      </c>
      <c r="H58" s="1106" t="str">
        <f t="shared" si="2"/>
        <v>101100管理，補助的経済活動を行う事業所（55その他の卸売業） </v>
      </c>
      <c r="I58" s="1104" t="s">
        <v>765</v>
      </c>
    </row>
    <row r="59" spans="1:9" ht="30.75" customHeight="1">
      <c r="A59" s="1109" t="s">
        <v>766</v>
      </c>
      <c r="B59" s="1106" t="s">
        <v>767</v>
      </c>
      <c r="C59" s="1107" t="str">
        <f t="shared" si="0"/>
        <v>56　各種商品小売業</v>
      </c>
      <c r="D59" s="1110" t="s">
        <v>768</v>
      </c>
      <c r="E59" s="1106" t="s">
        <v>767</v>
      </c>
      <c r="F59" s="1106" t="str">
        <f t="shared" si="1"/>
        <v>105100　各種商品小売業</v>
      </c>
      <c r="G59" s="1109" t="s">
        <v>769</v>
      </c>
      <c r="H59" s="1106" t="str">
        <f t="shared" si="2"/>
        <v>105100管理，補助的経済活動を行う事業所（56各種商品小売業） </v>
      </c>
      <c r="I59" s="1104" t="s">
        <v>770</v>
      </c>
    </row>
    <row r="60" spans="1:9" ht="30.75" customHeight="1">
      <c r="A60" s="1109" t="s">
        <v>771</v>
      </c>
      <c r="B60" s="1106" t="s">
        <v>772</v>
      </c>
      <c r="C60" s="1107" t="str">
        <f t="shared" si="0"/>
        <v>57　織物・衣服・身の回り品小売業</v>
      </c>
      <c r="D60" s="1110" t="s">
        <v>773</v>
      </c>
      <c r="E60" s="1106" t="s">
        <v>772</v>
      </c>
      <c r="F60" s="1106" t="str">
        <f t="shared" si="1"/>
        <v>105300　織物・衣服・身の回り品小売業</v>
      </c>
      <c r="G60" s="1109" t="s">
        <v>774</v>
      </c>
      <c r="H60" s="1106" t="str">
        <f t="shared" si="2"/>
        <v>105300管理，補助的経済活動を行う事業所（57織物・衣服・身の回り品小売業） </v>
      </c>
      <c r="I60" s="1104" t="s">
        <v>775</v>
      </c>
    </row>
    <row r="61" spans="1:9" ht="30.75" customHeight="1">
      <c r="A61" s="1109" t="s">
        <v>776</v>
      </c>
      <c r="B61" s="1106" t="s">
        <v>777</v>
      </c>
      <c r="C61" s="1107" t="str">
        <f t="shared" si="0"/>
        <v>58　飲食料品小売業</v>
      </c>
      <c r="D61" s="1110" t="s">
        <v>778</v>
      </c>
      <c r="E61" s="1106" t="s">
        <v>777</v>
      </c>
      <c r="F61" s="1106" t="str">
        <f t="shared" si="1"/>
        <v>105500　飲食料品小売業</v>
      </c>
      <c r="G61" s="1109" t="s">
        <v>779</v>
      </c>
      <c r="H61" s="1106" t="str">
        <f t="shared" si="2"/>
        <v>105500管理，補助的経済活動を行う事業所（58飲食料品小売業） </v>
      </c>
      <c r="I61" s="1104" t="s">
        <v>780</v>
      </c>
    </row>
    <row r="62" spans="1:9" ht="30.75" customHeight="1">
      <c r="A62" s="1109" t="s">
        <v>781</v>
      </c>
      <c r="B62" s="1106" t="s">
        <v>782</v>
      </c>
      <c r="C62" s="1107" t="str">
        <f t="shared" si="0"/>
        <v>59　機械器具小売業</v>
      </c>
      <c r="D62" s="1110" t="s">
        <v>783</v>
      </c>
      <c r="E62" s="1106" t="s">
        <v>784</v>
      </c>
      <c r="F62" s="1106" t="str">
        <f t="shared" si="1"/>
        <v>105700自動車・自転車小売業   　　　　</v>
      </c>
      <c r="G62" s="1109" t="s">
        <v>785</v>
      </c>
      <c r="H62" s="1106" t="str">
        <f t="shared" si="2"/>
        <v>105700管理，補助的経済活動を行う事業所（59機械器具小売業） </v>
      </c>
      <c r="I62" s="1104" t="s">
        <v>786</v>
      </c>
    </row>
    <row r="63" spans="1:9" ht="30.75" customHeight="1">
      <c r="A63" s="1109" t="s">
        <v>787</v>
      </c>
      <c r="B63" s="1106" t="s">
        <v>788</v>
      </c>
      <c r="C63" s="1107" t="str">
        <f t="shared" si="0"/>
        <v>60　その他の小売業</v>
      </c>
      <c r="D63" s="1110" t="s">
        <v>789</v>
      </c>
      <c r="E63" s="1106" t="s">
        <v>790</v>
      </c>
      <c r="F63" s="1106" t="str">
        <f t="shared" si="1"/>
        <v>105900家具・じゅう器・機械器具小売業</v>
      </c>
      <c r="G63" s="1109" t="s">
        <v>791</v>
      </c>
      <c r="H63" s="1106" t="str">
        <f t="shared" si="2"/>
        <v>105900管理，補助的経済活動を行う事業所（60その他の小売業） </v>
      </c>
      <c r="I63" s="1104" t="s">
        <v>792</v>
      </c>
    </row>
    <row r="64" spans="1:9" ht="30.75" customHeight="1">
      <c r="A64" s="1109" t="s">
        <v>793</v>
      </c>
      <c r="B64" s="1106" t="s">
        <v>794</v>
      </c>
      <c r="C64" s="1107" t="str">
        <f t="shared" si="0"/>
        <v>61　無店舗小売業</v>
      </c>
      <c r="D64" s="1110" t="s">
        <v>795</v>
      </c>
      <c r="E64" s="1106" t="s">
        <v>788</v>
      </c>
      <c r="F64" s="1106" t="str">
        <f t="shared" si="1"/>
        <v>106100　その他の小売業</v>
      </c>
      <c r="G64" s="1109" t="s">
        <v>796</v>
      </c>
      <c r="H64" s="1106" t="str">
        <f t="shared" si="2"/>
        <v>106100管理，補助的経済活動を行う事業所（61無店舗小売業） </v>
      </c>
      <c r="I64" s="1104" t="s">
        <v>797</v>
      </c>
    </row>
    <row r="65" spans="1:9" ht="30.75" customHeight="1">
      <c r="A65" s="1109" t="s">
        <v>798</v>
      </c>
      <c r="B65" s="1106" t="s">
        <v>799</v>
      </c>
      <c r="C65" s="1107" t="str">
        <f t="shared" si="0"/>
        <v>62　銀行業</v>
      </c>
      <c r="D65" s="1110" t="s">
        <v>800</v>
      </c>
      <c r="E65" s="1106" t="s">
        <v>799</v>
      </c>
      <c r="F65" s="1106" t="str">
        <f t="shared" si="1"/>
        <v>110000　銀行業</v>
      </c>
      <c r="G65" s="1109" t="s">
        <v>801</v>
      </c>
      <c r="H65" s="1106" t="str">
        <f t="shared" si="2"/>
        <v>110000管理，補助的経済活動を行う事業所（62銀行業） </v>
      </c>
      <c r="I65" s="1104" t="s">
        <v>802</v>
      </c>
    </row>
    <row r="66" spans="1:9" ht="30.75" customHeight="1">
      <c r="A66" s="1109" t="s">
        <v>803</v>
      </c>
      <c r="B66" s="1106" t="s">
        <v>804</v>
      </c>
      <c r="C66" s="1107" t="str">
        <f t="shared" si="0"/>
        <v>63　協同組織金融業</v>
      </c>
      <c r="D66" s="1110" t="s">
        <v>800</v>
      </c>
      <c r="E66" s="1106" t="s">
        <v>804</v>
      </c>
      <c r="F66" s="1106" t="str">
        <f t="shared" si="1"/>
        <v>110000　協同組織金融業</v>
      </c>
      <c r="G66" s="1109" t="s">
        <v>805</v>
      </c>
      <c r="H66" s="1106" t="str">
        <f t="shared" si="2"/>
        <v>110000管理，補助的経済活動を行う事業所（63協同組織金融業） </v>
      </c>
      <c r="I66" s="1104" t="s">
        <v>806</v>
      </c>
    </row>
    <row r="67" spans="1:9" ht="30.75" customHeight="1">
      <c r="A67" s="1109">
        <v>64</v>
      </c>
      <c r="B67" s="1106" t="s">
        <v>807</v>
      </c>
      <c r="C67" s="1107" t="str">
        <f aca="true" t="shared" si="3" ref="C67:C97">CONCATENATE(A67,B67)</f>
        <v>64　貸金業，クレジットカード業等非預金信用機関</v>
      </c>
      <c r="D67" s="1110" t="s">
        <v>800</v>
      </c>
      <c r="E67" s="1106" t="s">
        <v>807</v>
      </c>
      <c r="F67" s="1106" t="str">
        <f aca="true" t="shared" si="4" ref="F67:F97">CONCATENATE(D67,E67)</f>
        <v>110000　貸金業，クレジットカード業等非預金信用機関</v>
      </c>
      <c r="G67" s="1109" t="s">
        <v>808</v>
      </c>
      <c r="H67" s="1106" t="str">
        <f aca="true" t="shared" si="5" ref="H67:H97">CONCATENATE(D67,I67)</f>
        <v>110000管理，補助的経済活動を行う事業所（64貸金業，クレジットカード業等非預金信用機関） </v>
      </c>
      <c r="I67" s="1104" t="s">
        <v>809</v>
      </c>
    </row>
    <row r="68" spans="1:9" ht="30.75" customHeight="1">
      <c r="A68" s="1109" t="s">
        <v>810</v>
      </c>
      <c r="B68" s="1106" t="s">
        <v>811</v>
      </c>
      <c r="C68" s="1107" t="str">
        <f t="shared" si="3"/>
        <v>65　金融商品取引業，商品先物取引業</v>
      </c>
      <c r="D68" s="1110" t="s">
        <v>800</v>
      </c>
      <c r="E68" s="1106" t="s">
        <v>811</v>
      </c>
      <c r="F68" s="1106" t="str">
        <f t="shared" si="4"/>
        <v>110000　金融商品取引業，商品先物取引業</v>
      </c>
      <c r="G68" s="1109" t="s">
        <v>812</v>
      </c>
      <c r="H68" s="1106" t="str">
        <f t="shared" si="5"/>
        <v>110000管理，補助的経済活動を行う事業所（65金融商品取引業，商品先物取引業） </v>
      </c>
      <c r="I68" s="1104" t="s">
        <v>813</v>
      </c>
    </row>
    <row r="69" spans="1:9" ht="30.75" customHeight="1">
      <c r="A69" s="1109" t="s">
        <v>814</v>
      </c>
      <c r="B69" s="1106" t="s">
        <v>815</v>
      </c>
      <c r="C69" s="1107" t="str">
        <f t="shared" si="3"/>
        <v>66　補助的金融業等</v>
      </c>
      <c r="D69" s="1110" t="s">
        <v>800</v>
      </c>
      <c r="E69" s="1106" t="s">
        <v>815</v>
      </c>
      <c r="F69" s="1106" t="str">
        <f t="shared" si="4"/>
        <v>110000　補助的金融業等</v>
      </c>
      <c r="G69" s="1109" t="s">
        <v>816</v>
      </c>
      <c r="H69" s="1106" t="str">
        <f t="shared" si="5"/>
        <v>110000管理，補助的経済活動を行う事業所（66補助的金融業等） </v>
      </c>
      <c r="I69" s="1104" t="s">
        <v>817</v>
      </c>
    </row>
    <row r="70" spans="1:9" ht="30.75" customHeight="1">
      <c r="A70" s="1109" t="s">
        <v>818</v>
      </c>
      <c r="B70" s="1106" t="s">
        <v>819</v>
      </c>
      <c r="C70" s="1107" t="str">
        <f t="shared" si="3"/>
        <v>67　保険業（保険媒介代理業，保険サービス業を含む）</v>
      </c>
      <c r="D70" s="1110" t="s">
        <v>800</v>
      </c>
      <c r="E70" s="1106" t="s">
        <v>819</v>
      </c>
      <c r="F70" s="1106" t="str">
        <f t="shared" si="4"/>
        <v>110000　保険業（保険媒介代理業，保険サービス業を含む）</v>
      </c>
      <c r="G70" s="1109" t="s">
        <v>820</v>
      </c>
      <c r="H70" s="1106" t="str">
        <f t="shared" si="5"/>
        <v>110000管理，補助的経済活動を行う事業所（67保険業） </v>
      </c>
      <c r="I70" s="1104" t="s">
        <v>821</v>
      </c>
    </row>
    <row r="71" spans="1:9" ht="30.75" customHeight="1">
      <c r="A71" s="1109" t="s">
        <v>822</v>
      </c>
      <c r="B71" s="1106" t="s">
        <v>823</v>
      </c>
      <c r="C71" s="1107" t="str">
        <f t="shared" si="3"/>
        <v>68　不動産取引業</v>
      </c>
      <c r="D71" s="1110" t="s">
        <v>824</v>
      </c>
      <c r="E71" s="1106" t="s">
        <v>823</v>
      </c>
      <c r="F71" s="1106" t="str">
        <f t="shared" si="4"/>
        <v>120000　不動産取引業</v>
      </c>
      <c r="G71" s="1109" t="s">
        <v>825</v>
      </c>
      <c r="H71" s="1106" t="str">
        <f t="shared" si="5"/>
        <v>120000管理，補助的経済活動を行う事業所（68不動産取引業） </v>
      </c>
      <c r="I71" s="1104" t="s">
        <v>826</v>
      </c>
    </row>
    <row r="72" spans="1:9" ht="30.75" customHeight="1">
      <c r="A72" s="1109" t="s">
        <v>827</v>
      </c>
      <c r="B72" s="1106" t="s">
        <v>828</v>
      </c>
      <c r="C72" s="1107" t="str">
        <f t="shared" si="3"/>
        <v>69　不動産賃貸業・管理業</v>
      </c>
      <c r="D72" s="1110" t="s">
        <v>824</v>
      </c>
      <c r="E72" s="1106" t="s">
        <v>828</v>
      </c>
      <c r="F72" s="1106" t="str">
        <f t="shared" si="4"/>
        <v>120000　不動産賃貸業・管理業</v>
      </c>
      <c r="G72" s="1109" t="s">
        <v>829</v>
      </c>
      <c r="H72" s="1106" t="str">
        <f t="shared" si="5"/>
        <v>120000管理，補助的経済活動を行う事業所（69不動産賃貸業・管理業） </v>
      </c>
      <c r="I72" s="1104" t="s">
        <v>830</v>
      </c>
    </row>
    <row r="73" spans="1:9" ht="30.75" customHeight="1">
      <c r="A73" s="1109" t="s">
        <v>831</v>
      </c>
      <c r="B73" s="1106" t="s">
        <v>832</v>
      </c>
      <c r="C73" s="1107" t="str">
        <f t="shared" si="3"/>
        <v>70　物品賃貸業</v>
      </c>
      <c r="D73" s="1110" t="s">
        <v>833</v>
      </c>
      <c r="E73" s="1106" t="s">
        <v>832</v>
      </c>
      <c r="F73" s="1106" t="str">
        <f t="shared" si="4"/>
        <v>171700　物品賃貸業</v>
      </c>
      <c r="G73" s="1109" t="s">
        <v>834</v>
      </c>
      <c r="H73" s="1106" t="str">
        <f t="shared" si="5"/>
        <v>171700管理，補助的経済活動を行う事業所（70物品賃貸業） </v>
      </c>
      <c r="I73" s="1104" t="s">
        <v>835</v>
      </c>
    </row>
    <row r="74" spans="1:9" ht="30.75" customHeight="1">
      <c r="A74" s="1109" t="s">
        <v>836</v>
      </c>
      <c r="B74" s="1106" t="s">
        <v>837</v>
      </c>
      <c r="C74" s="1107" t="str">
        <f t="shared" si="3"/>
        <v>71　学術・開発研究機関</v>
      </c>
      <c r="D74" s="1110" t="s">
        <v>838</v>
      </c>
      <c r="E74" s="1106" t="s">
        <v>837</v>
      </c>
      <c r="F74" s="1106" t="str">
        <f t="shared" si="4"/>
        <v>170300　学術・開発研究機関</v>
      </c>
      <c r="G74" s="1109" t="s">
        <v>839</v>
      </c>
      <c r="H74" s="1106" t="str">
        <f t="shared" si="5"/>
        <v>170300管理，補助的経済活動を行う事業所（71学術・開発研究機関） </v>
      </c>
      <c r="I74" s="1104" t="s">
        <v>840</v>
      </c>
    </row>
    <row r="75" spans="1:9" ht="30.75" customHeight="1">
      <c r="A75" s="1109">
        <v>72</v>
      </c>
      <c r="B75" s="1111" t="s">
        <v>841</v>
      </c>
      <c r="C75" s="1107" t="str">
        <f t="shared" si="3"/>
        <v>72専門サービス業</v>
      </c>
      <c r="D75" s="1110" t="s">
        <v>842</v>
      </c>
      <c r="E75" s="1106" t="s">
        <v>841</v>
      </c>
      <c r="F75" s="1106" t="str">
        <f t="shared" si="4"/>
        <v>170100専門サービス業</v>
      </c>
      <c r="G75" s="1109" t="s">
        <v>843</v>
      </c>
      <c r="H75" s="1106" t="str">
        <f t="shared" si="5"/>
        <v>170100管理，補助的経済活動を行う事業所（72専門サービス業） </v>
      </c>
      <c r="I75" s="1104" t="s">
        <v>844</v>
      </c>
    </row>
    <row r="76" spans="1:9" ht="30.75" customHeight="1">
      <c r="A76" s="1109">
        <v>73</v>
      </c>
      <c r="B76" s="1111" t="s">
        <v>845</v>
      </c>
      <c r="C76" s="1107" t="str">
        <f t="shared" si="3"/>
        <v>73広告業</v>
      </c>
      <c r="D76" s="1110" t="s">
        <v>846</v>
      </c>
      <c r="E76" s="1106" t="s">
        <v>847</v>
      </c>
      <c r="F76" s="1106" t="str">
        <f t="shared" si="4"/>
        <v>171900　広告業</v>
      </c>
      <c r="G76" s="1109" t="s">
        <v>848</v>
      </c>
      <c r="H76" s="1106" t="str">
        <f t="shared" si="5"/>
        <v>171900管理，補助的経済活動を行う事業所（73広告業） </v>
      </c>
      <c r="I76" s="1104" t="s">
        <v>849</v>
      </c>
    </row>
    <row r="77" spans="1:9" ht="30.75" customHeight="1">
      <c r="A77" s="1109" t="s">
        <v>850</v>
      </c>
      <c r="B77" s="1106" t="s">
        <v>851</v>
      </c>
      <c r="C77" s="1107" t="str">
        <f t="shared" si="3"/>
        <v>74　技術サービス業（他に分類されないもの）</v>
      </c>
      <c r="D77" s="1110" t="s">
        <v>842</v>
      </c>
      <c r="E77" s="1111" t="s">
        <v>852</v>
      </c>
      <c r="F77" s="1106" t="str">
        <f t="shared" si="4"/>
        <v>170100専門サービス業</v>
      </c>
      <c r="G77" s="1109" t="s">
        <v>853</v>
      </c>
      <c r="H77" s="1106" t="str">
        <f t="shared" si="5"/>
        <v>170100管理，補助的経済活動を行う事業所（74技術サービス業） </v>
      </c>
      <c r="I77" s="1104" t="s">
        <v>854</v>
      </c>
    </row>
    <row r="78" spans="1:9" ht="30.75" customHeight="1">
      <c r="A78" s="1109">
        <v>75</v>
      </c>
      <c r="B78" s="1106" t="s">
        <v>855</v>
      </c>
      <c r="C78" s="1107" t="str">
        <f t="shared" si="3"/>
        <v>75　宿泊業</v>
      </c>
      <c r="D78" s="1110" t="s">
        <v>856</v>
      </c>
      <c r="E78" s="1106" t="s">
        <v>855</v>
      </c>
      <c r="F78" s="1106" t="str">
        <f t="shared" si="4"/>
        <v>130500　宿泊業</v>
      </c>
      <c r="G78" s="1109" t="s">
        <v>857</v>
      </c>
      <c r="H78" s="1106" t="str">
        <f t="shared" si="5"/>
        <v>130500管理，補助的経済活動を行う事業所（75宿泊業） </v>
      </c>
      <c r="I78" s="1104" t="s">
        <v>858</v>
      </c>
    </row>
    <row r="79" spans="1:9" ht="30.75" customHeight="1">
      <c r="A79" s="1109">
        <v>76</v>
      </c>
      <c r="B79" s="1106" t="s">
        <v>859</v>
      </c>
      <c r="C79" s="1107" t="str">
        <f t="shared" si="3"/>
        <v>76　飲食店</v>
      </c>
      <c r="D79" s="1110" t="s">
        <v>860</v>
      </c>
      <c r="E79" s="1106" t="s">
        <v>861</v>
      </c>
      <c r="F79" s="1106" t="str">
        <f t="shared" si="4"/>
        <v>130100一般飲食店　</v>
      </c>
      <c r="G79" s="1109" t="s">
        <v>862</v>
      </c>
      <c r="H79" s="1106" t="str">
        <f t="shared" si="5"/>
        <v>130100管理，補助的経済活動を行う事業所（76飲食店） </v>
      </c>
      <c r="I79" s="1104" t="s">
        <v>863</v>
      </c>
    </row>
    <row r="80" spans="1:9" ht="30.75" customHeight="1">
      <c r="A80" s="1109" t="s">
        <v>864</v>
      </c>
      <c r="B80" s="1106" t="s">
        <v>865</v>
      </c>
      <c r="C80" s="1107" t="str">
        <f t="shared" si="3"/>
        <v>77　持ち帰り・配達飲食サービス業</v>
      </c>
      <c r="D80" s="1110" t="s">
        <v>778</v>
      </c>
      <c r="E80" s="1106" t="s">
        <v>777</v>
      </c>
      <c r="F80" s="1106" t="str">
        <f t="shared" si="4"/>
        <v>105500　飲食料品小売業</v>
      </c>
      <c r="G80" s="1109" t="s">
        <v>866</v>
      </c>
      <c r="H80" s="1106" t="str">
        <f t="shared" si="5"/>
        <v>105500管理，補助的経済活動を行う事業所（77持ち帰り・配達飲食サービス業） </v>
      </c>
      <c r="I80" s="1104" t="s">
        <v>867</v>
      </c>
    </row>
    <row r="81" spans="1:9" ht="30.75" customHeight="1">
      <c r="A81" s="1109">
        <v>78</v>
      </c>
      <c r="B81" s="1106" t="s">
        <v>868</v>
      </c>
      <c r="C81" s="1107" t="str">
        <f t="shared" si="3"/>
        <v>78　洗濯・理容・美容・浴場業</v>
      </c>
      <c r="D81" s="1110" t="s">
        <v>869</v>
      </c>
      <c r="E81" s="1106" t="s">
        <v>868</v>
      </c>
      <c r="F81" s="1106" t="str">
        <f t="shared" si="4"/>
        <v>170500　洗濯・理容・美容・浴場業</v>
      </c>
      <c r="G81" s="1109" t="s">
        <v>870</v>
      </c>
      <c r="H81" s="1106" t="str">
        <f t="shared" si="5"/>
        <v>170500管理，補助的経済活動を行う事業所（78洗濯・理容・美容・浴場業） </v>
      </c>
      <c r="I81" s="1104" t="s">
        <v>871</v>
      </c>
    </row>
    <row r="82" spans="1:9" ht="30.75" customHeight="1">
      <c r="A82" s="1109" t="s">
        <v>872</v>
      </c>
      <c r="B82" s="1106" t="s">
        <v>873</v>
      </c>
      <c r="C82" s="1107" t="str">
        <f t="shared" si="3"/>
        <v>79　その他の生活関連サービス業</v>
      </c>
      <c r="D82" s="1110" t="s">
        <v>874</v>
      </c>
      <c r="E82" s="1106" t="s">
        <v>873</v>
      </c>
      <c r="F82" s="1106" t="str">
        <f t="shared" si="4"/>
        <v>170700　その他の生活関連サービス業</v>
      </c>
      <c r="G82" s="1109" t="s">
        <v>875</v>
      </c>
      <c r="H82" s="1106" t="str">
        <f t="shared" si="5"/>
        <v>170700管理，補助的経済活動を行う事業所（79その他の生活関連サービス業） </v>
      </c>
      <c r="I82" s="1104" t="s">
        <v>876</v>
      </c>
    </row>
    <row r="83" spans="1:9" ht="30.75" customHeight="1">
      <c r="A83" s="1109" t="s">
        <v>877</v>
      </c>
      <c r="B83" s="1106" t="s">
        <v>878</v>
      </c>
      <c r="C83" s="1107" t="str">
        <f t="shared" si="3"/>
        <v>80　娯楽業</v>
      </c>
      <c r="D83" s="1110" t="s">
        <v>879</v>
      </c>
      <c r="E83" s="1106" t="s">
        <v>878</v>
      </c>
      <c r="F83" s="1106" t="str">
        <f t="shared" si="4"/>
        <v>170900　娯楽業</v>
      </c>
      <c r="G83" s="1109" t="s">
        <v>880</v>
      </c>
      <c r="H83" s="1106" t="str">
        <f t="shared" si="5"/>
        <v>170900管理，補助的経済活動を行う事業所（80娯楽業） </v>
      </c>
      <c r="I83" s="1104" t="s">
        <v>881</v>
      </c>
    </row>
    <row r="84" spans="1:9" ht="30.75" customHeight="1">
      <c r="A84" s="1109" t="s">
        <v>882</v>
      </c>
      <c r="B84" s="1106" t="s">
        <v>883</v>
      </c>
      <c r="C84" s="1107" t="str">
        <f t="shared" si="3"/>
        <v>81　学校教育</v>
      </c>
      <c r="D84" s="1110" t="s">
        <v>884</v>
      </c>
      <c r="E84" s="1106" t="s">
        <v>883</v>
      </c>
      <c r="F84" s="1106" t="str">
        <f t="shared" si="4"/>
        <v>150000　学校教育</v>
      </c>
      <c r="G84" s="1109" t="s">
        <v>885</v>
      </c>
      <c r="H84" s="1106" t="str">
        <f t="shared" si="5"/>
        <v>150000管理，補助的経済活動を行う事業所（81学校教育） </v>
      </c>
      <c r="I84" s="1104" t="s">
        <v>886</v>
      </c>
    </row>
    <row r="85" spans="1:9" ht="30.75" customHeight="1">
      <c r="A85" s="1109">
        <v>82</v>
      </c>
      <c r="B85" s="1106" t="s">
        <v>887</v>
      </c>
      <c r="C85" s="1107" t="str">
        <f t="shared" si="3"/>
        <v>82　その他の教育，学習支援業</v>
      </c>
      <c r="D85" s="1110" t="s">
        <v>884</v>
      </c>
      <c r="E85" s="1106" t="s">
        <v>887</v>
      </c>
      <c r="F85" s="1106" t="str">
        <f t="shared" si="4"/>
        <v>150000　その他の教育，学習支援業</v>
      </c>
      <c r="G85" s="1109" t="s">
        <v>888</v>
      </c>
      <c r="H85" s="1106" t="str">
        <f t="shared" si="5"/>
        <v>150000管理，補助的経済活動を行う事業所（82その他の教育，学習支援業） </v>
      </c>
      <c r="I85" s="1104" t="s">
        <v>889</v>
      </c>
    </row>
    <row r="86" spans="1:9" ht="30.75" customHeight="1">
      <c r="A86" s="1109" t="s">
        <v>890</v>
      </c>
      <c r="B86" s="1106" t="s">
        <v>891</v>
      </c>
      <c r="C86" s="1107" t="str">
        <f t="shared" si="3"/>
        <v>83　医療業</v>
      </c>
      <c r="D86" s="1110" t="s">
        <v>892</v>
      </c>
      <c r="E86" s="1106" t="s">
        <v>891</v>
      </c>
      <c r="F86" s="1106" t="str">
        <f t="shared" si="4"/>
        <v>140100　医療業</v>
      </c>
      <c r="G86" s="1109" t="s">
        <v>893</v>
      </c>
      <c r="H86" s="1106" t="str">
        <f t="shared" si="5"/>
        <v>140100管理，補助的経済活動を行う事業所（83医療業） </v>
      </c>
      <c r="I86" s="1104" t="s">
        <v>894</v>
      </c>
    </row>
    <row r="87" spans="1:9" ht="30.75" customHeight="1">
      <c r="A87" s="1109" t="s">
        <v>895</v>
      </c>
      <c r="B87" s="1106" t="s">
        <v>896</v>
      </c>
      <c r="C87" s="1107" t="str">
        <f t="shared" si="3"/>
        <v>84　保健衛生</v>
      </c>
      <c r="D87" s="1110" t="s">
        <v>897</v>
      </c>
      <c r="E87" s="1106" t="s">
        <v>896</v>
      </c>
      <c r="F87" s="1106" t="str">
        <f t="shared" si="4"/>
        <v>140300　保健衛生</v>
      </c>
      <c r="G87" s="1109" t="s">
        <v>898</v>
      </c>
      <c r="H87" s="1106" t="str">
        <f t="shared" si="5"/>
        <v>140300管理，補助的経済活動を行う事業所（84保健衛生） </v>
      </c>
      <c r="I87" s="1104" t="s">
        <v>899</v>
      </c>
    </row>
    <row r="88" spans="1:9" ht="30.75" customHeight="1">
      <c r="A88" s="1109" t="s">
        <v>900</v>
      </c>
      <c r="B88" s="1106" t="s">
        <v>901</v>
      </c>
      <c r="C88" s="1107" t="str">
        <f t="shared" si="3"/>
        <v>85　社会保険・社会福祉・介護事業</v>
      </c>
      <c r="D88" s="1110" t="s">
        <v>902</v>
      </c>
      <c r="E88" s="1106" t="s">
        <v>901</v>
      </c>
      <c r="F88" s="1106" t="str">
        <f t="shared" si="4"/>
        <v>140500　社会保険・社会福祉・介護事業</v>
      </c>
      <c r="G88" s="1109" t="s">
        <v>903</v>
      </c>
      <c r="H88" s="1106" t="str">
        <f t="shared" si="5"/>
        <v>140500管理，補助的経済活動を行う事業所（85社会保険・社会福祉・介護事業） </v>
      </c>
      <c r="I88" s="1104" t="s">
        <v>904</v>
      </c>
    </row>
    <row r="89" spans="1:9" ht="30.75" customHeight="1">
      <c r="A89" s="1109" t="s">
        <v>905</v>
      </c>
      <c r="B89" s="1106" t="s">
        <v>906</v>
      </c>
      <c r="C89" s="1107" t="str">
        <f t="shared" si="3"/>
        <v>86　郵便局</v>
      </c>
      <c r="D89" s="1110" t="s">
        <v>907</v>
      </c>
      <c r="E89" s="1106" t="s">
        <v>906</v>
      </c>
      <c r="F89" s="1106" t="str">
        <f t="shared" si="4"/>
        <v>160000　郵便局</v>
      </c>
      <c r="G89" s="1109" t="s">
        <v>908</v>
      </c>
      <c r="H89" s="1106" t="str">
        <f t="shared" si="5"/>
        <v>160000管理，補助的経済活動を行う事業所（86郵便局） </v>
      </c>
      <c r="I89" s="1104" t="s">
        <v>909</v>
      </c>
    </row>
    <row r="90" spans="1:9" ht="30.75" customHeight="1">
      <c r="A90" s="1109" t="s">
        <v>910</v>
      </c>
      <c r="B90" s="1106" t="s">
        <v>911</v>
      </c>
      <c r="C90" s="1107" t="str">
        <f t="shared" si="3"/>
        <v>87　協同組合（他に分類されないもの）</v>
      </c>
      <c r="D90" s="1110" t="s">
        <v>907</v>
      </c>
      <c r="E90" s="1106" t="s">
        <v>911</v>
      </c>
      <c r="F90" s="1106" t="str">
        <f t="shared" si="4"/>
        <v>160000　協同組合（他に分類されないもの）</v>
      </c>
      <c r="G90" s="1109" t="s">
        <v>912</v>
      </c>
      <c r="H90" s="1106" t="str">
        <f t="shared" si="5"/>
        <v>160000管理，補助的経済活動を行う事業所（87協同組合） </v>
      </c>
      <c r="I90" s="1104" t="s">
        <v>913</v>
      </c>
    </row>
    <row r="91" spans="1:9" ht="30.75" customHeight="1">
      <c r="A91" s="1109" t="s">
        <v>914</v>
      </c>
      <c r="B91" s="1106" t="s">
        <v>915</v>
      </c>
      <c r="C91" s="1107" t="str">
        <f t="shared" si="3"/>
        <v>88　廃棄物処理業</v>
      </c>
      <c r="D91" s="1110" t="s">
        <v>916</v>
      </c>
      <c r="E91" s="1106" t="s">
        <v>915</v>
      </c>
      <c r="F91" s="1106" t="str">
        <f t="shared" si="4"/>
        <v>171100　廃棄物処理業</v>
      </c>
      <c r="G91" s="1109" t="s">
        <v>917</v>
      </c>
      <c r="H91" s="1106" t="str">
        <f t="shared" si="5"/>
        <v>171100管理，補助的経済活動を行う事業所（88廃棄物処理業） </v>
      </c>
      <c r="I91" s="1104" t="s">
        <v>918</v>
      </c>
    </row>
    <row r="92" spans="1:9" ht="30.75" customHeight="1">
      <c r="A92" s="1109" t="s">
        <v>919</v>
      </c>
      <c r="B92" s="1106" t="s">
        <v>920</v>
      </c>
      <c r="C92" s="1107" t="str">
        <f t="shared" si="3"/>
        <v>89　自動車整備業</v>
      </c>
      <c r="D92" s="1110" t="s">
        <v>921</v>
      </c>
      <c r="E92" s="1106" t="s">
        <v>920</v>
      </c>
      <c r="F92" s="1106" t="str">
        <f t="shared" si="4"/>
        <v>171300　自動車整備業</v>
      </c>
      <c r="G92" s="1109" t="s">
        <v>922</v>
      </c>
      <c r="H92" s="1106" t="str">
        <f t="shared" si="5"/>
        <v>171300管理，補助的経済活動を行う事業所（89自動車整備業） </v>
      </c>
      <c r="I92" s="1104" t="s">
        <v>923</v>
      </c>
    </row>
    <row r="93" spans="1:9" ht="30.75" customHeight="1">
      <c r="A93" s="1109" t="s">
        <v>924</v>
      </c>
      <c r="B93" s="1106" t="s">
        <v>925</v>
      </c>
      <c r="C93" s="1107" t="str">
        <f t="shared" si="3"/>
        <v>90　機械等修理業（別掲を除く）</v>
      </c>
      <c r="D93" s="1110" t="s">
        <v>926</v>
      </c>
      <c r="E93" s="1106" t="s">
        <v>925</v>
      </c>
      <c r="F93" s="1106" t="str">
        <f t="shared" si="4"/>
        <v>171500　機械等修理業（別掲を除く）</v>
      </c>
      <c r="G93" s="1109" t="s">
        <v>927</v>
      </c>
      <c r="H93" s="1106" t="str">
        <f t="shared" si="5"/>
        <v>171500管理，補助的経済活動を行う事業所（90機械等修理業） </v>
      </c>
      <c r="I93" s="1104" t="s">
        <v>928</v>
      </c>
    </row>
    <row r="94" spans="1:9" ht="30.75" customHeight="1">
      <c r="A94" s="1109">
        <v>91</v>
      </c>
      <c r="B94" s="1112" t="s">
        <v>929</v>
      </c>
      <c r="C94" s="1107" t="str">
        <f t="shared" si="3"/>
        <v>91　職業紹介・労働者派遣業</v>
      </c>
      <c r="D94" s="1110" t="s">
        <v>930</v>
      </c>
      <c r="E94" s="1106" t="s">
        <v>931</v>
      </c>
      <c r="F94" s="1106" t="str">
        <f t="shared" si="4"/>
        <v>172100　その他の事業サービス業</v>
      </c>
      <c r="G94" s="1109" t="s">
        <v>932</v>
      </c>
      <c r="H94" s="1106" t="str">
        <f t="shared" si="5"/>
        <v>172100管理，補助的経済活動を行う事業所（91職業紹介・労働者派遣業） </v>
      </c>
      <c r="I94" s="1104" t="s">
        <v>933</v>
      </c>
    </row>
    <row r="95" spans="1:9" ht="30.75" customHeight="1">
      <c r="A95" s="1109" t="s">
        <v>934</v>
      </c>
      <c r="B95" s="1106" t="s">
        <v>931</v>
      </c>
      <c r="C95" s="1107" t="str">
        <f t="shared" si="3"/>
        <v>92　その他の事業サービス業</v>
      </c>
      <c r="D95" s="1110" t="s">
        <v>930</v>
      </c>
      <c r="E95" s="1106" t="s">
        <v>931</v>
      </c>
      <c r="F95" s="1106" t="str">
        <f t="shared" si="4"/>
        <v>172100　その他の事業サービス業</v>
      </c>
      <c r="G95" s="1109" t="s">
        <v>935</v>
      </c>
      <c r="H95" s="1106" t="str">
        <f t="shared" si="5"/>
        <v>172100管理，補助的経済活動を行う事業所（92その他の事業サービス業） </v>
      </c>
      <c r="I95" s="1104" t="s">
        <v>936</v>
      </c>
    </row>
    <row r="96" spans="1:9" ht="30.75" customHeight="1">
      <c r="A96" s="1109" t="s">
        <v>937</v>
      </c>
      <c r="B96" s="1106" t="s">
        <v>938</v>
      </c>
      <c r="C96" s="1107" t="str">
        <f t="shared" si="3"/>
        <v>93　政治・経済・文化団体</v>
      </c>
      <c r="D96" s="1110" t="s">
        <v>939</v>
      </c>
      <c r="E96" s="1106" t="s">
        <v>938</v>
      </c>
      <c r="F96" s="1106" t="str">
        <f t="shared" si="4"/>
        <v>172300　政治・経済・文化団体</v>
      </c>
      <c r="G96" s="1109" t="s">
        <v>940</v>
      </c>
      <c r="H96" s="1106" t="str">
        <f t="shared" si="5"/>
        <v>172300経済団体 </v>
      </c>
      <c r="I96" s="1104" t="s">
        <v>941</v>
      </c>
    </row>
    <row r="97" spans="1:9" ht="30.75" customHeight="1">
      <c r="A97" s="1109" t="s">
        <v>942</v>
      </c>
      <c r="B97" s="1106" t="s">
        <v>943</v>
      </c>
      <c r="C97" s="1107" t="str">
        <f t="shared" si="3"/>
        <v>94　宗教</v>
      </c>
      <c r="D97" s="1110" t="s">
        <v>939</v>
      </c>
      <c r="E97" s="1106" t="s">
        <v>943</v>
      </c>
      <c r="F97" s="1106" t="str">
        <f t="shared" si="4"/>
        <v>172300　宗教</v>
      </c>
      <c r="G97" s="1109" t="s">
        <v>944</v>
      </c>
      <c r="H97" s="1106" t="str">
        <f t="shared" si="5"/>
        <v>172300神道系宗教 </v>
      </c>
      <c r="I97" s="1104" t="s">
        <v>945</v>
      </c>
    </row>
    <row r="98" spans="1:9" ht="30.75" customHeight="1">
      <c r="A98" s="1109" t="s">
        <v>946</v>
      </c>
      <c r="B98" s="1106" t="s">
        <v>947</v>
      </c>
      <c r="C98" s="1107" t="str">
        <f>CONCATENATE(A98,B98)</f>
        <v>95　その他のサービス業</v>
      </c>
      <c r="D98" s="1110" t="s">
        <v>939</v>
      </c>
      <c r="E98" s="1106" t="s">
        <v>947</v>
      </c>
      <c r="F98" s="1106" t="str">
        <f>CONCATENATE(D98,E98)</f>
        <v>172300　その他のサービス業</v>
      </c>
      <c r="G98" s="1109" t="s">
        <v>948</v>
      </c>
      <c r="H98" s="1106" t="str">
        <f>CONCATENATE(D98,I98)</f>
        <v>172300管理，補助的経済活動を行う事業所（95その他のサービス業） </v>
      </c>
      <c r="I98" s="1104" t="s">
        <v>949</v>
      </c>
    </row>
    <row r="99" spans="1:9" ht="30.75" customHeight="1">
      <c r="A99" s="1109" t="s">
        <v>950</v>
      </c>
      <c r="B99" s="1106" t="s">
        <v>951</v>
      </c>
      <c r="C99" s="1107" t="str">
        <f>CONCATENATE(A99,B99)</f>
        <v>96　外国公務</v>
      </c>
      <c r="D99" s="1110" t="s">
        <v>939</v>
      </c>
      <c r="E99" s="1106" t="s">
        <v>951</v>
      </c>
      <c r="F99" s="1106" t="str">
        <f>CONCATENATE(D99,E99)</f>
        <v>172300　外国公務</v>
      </c>
      <c r="G99" s="1109" t="s">
        <v>952</v>
      </c>
      <c r="H99" s="1106" t="str">
        <f>CONCATENATE(D99,I99)</f>
        <v>172300外国公館 </v>
      </c>
      <c r="I99" s="1104" t="s">
        <v>953</v>
      </c>
    </row>
    <row r="100" spans="1:9" ht="30.75" customHeight="1">
      <c r="A100" s="1109">
        <v>97</v>
      </c>
      <c r="B100" s="1106" t="s">
        <v>954</v>
      </c>
      <c r="C100" s="1107" t="str">
        <f>CONCATENATE(A100,B100)</f>
        <v>97　国家公務</v>
      </c>
      <c r="D100" s="1110" t="s">
        <v>939</v>
      </c>
      <c r="E100" s="1106" t="s">
        <v>954</v>
      </c>
      <c r="F100" s="1106" t="str">
        <f>CONCATENATE(D100,E100)</f>
        <v>172300　国家公務</v>
      </c>
      <c r="G100" s="1109" t="s">
        <v>955</v>
      </c>
      <c r="H100" s="1106" t="str">
        <f>CONCATENATE(D100,I100)</f>
        <v>172300立法機関 </v>
      </c>
      <c r="I100" s="1104" t="s">
        <v>956</v>
      </c>
    </row>
    <row r="101" spans="1:9" ht="30.75" customHeight="1">
      <c r="A101" s="1109" t="s">
        <v>957</v>
      </c>
      <c r="B101" s="1106" t="s">
        <v>958</v>
      </c>
      <c r="C101" s="1107" t="str">
        <f>CONCATENATE(A101,B101)</f>
        <v>98　地方公務</v>
      </c>
      <c r="D101" s="1110" t="s">
        <v>939</v>
      </c>
      <c r="E101" s="1106" t="s">
        <v>958</v>
      </c>
      <c r="F101" s="1106" t="str">
        <f>CONCATENATE(D101,E101)</f>
        <v>172300　地方公務</v>
      </c>
      <c r="G101" s="1109" t="s">
        <v>959</v>
      </c>
      <c r="H101" s="1106" t="str">
        <f>CONCATENATE(D101,I101)</f>
        <v>172300都道府県機関 </v>
      </c>
      <c r="I101" s="1104" t="s">
        <v>960</v>
      </c>
    </row>
    <row r="102" spans="1:9" ht="30.75" customHeight="1">
      <c r="A102" s="1109" t="s">
        <v>961</v>
      </c>
      <c r="B102" s="1106" t="s">
        <v>962</v>
      </c>
      <c r="C102" s="1107" t="str">
        <f>CONCATENATE(A102,B102)</f>
        <v>99分類不能の産業</v>
      </c>
      <c r="D102" s="1110" t="s">
        <v>963</v>
      </c>
      <c r="E102" s="1106" t="s">
        <v>962</v>
      </c>
      <c r="F102" s="1106" t="str">
        <f>CONCATENATE(D102,E102)</f>
        <v>990000分類不能の産業</v>
      </c>
      <c r="G102" s="1109" t="s">
        <v>964</v>
      </c>
      <c r="H102" s="1106" t="str">
        <f>CONCATENATE(D102,I102)</f>
        <v>990000分類不能の産業 </v>
      </c>
      <c r="I102" s="1104" t="s">
        <v>965</v>
      </c>
    </row>
  </sheetData>
  <sheetProtection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FF00"/>
    <pageSetUpPr fitToPage="1"/>
  </sheetPr>
  <dimension ref="A1:R38"/>
  <sheetViews>
    <sheetView showGridLines="0" view="pageBreakPreview" zoomScaleNormal="85" zoomScaleSheetLayoutView="100" workbookViewId="0" topLeftCell="A1">
      <selection activeCell="A1" sqref="A1:E1"/>
    </sheetView>
  </sheetViews>
  <sheetFormatPr defaultColWidth="9.140625" defaultRowHeight="15"/>
  <cols>
    <col min="1" max="1" width="3.140625" style="4" customWidth="1"/>
    <col min="2" max="3" width="2.57421875" style="558" customWidth="1"/>
    <col min="4" max="4" width="5.140625" style="558" customWidth="1"/>
    <col min="5" max="5" width="12.140625" style="8" customWidth="1"/>
    <col min="6" max="6" width="12.57421875" style="19" customWidth="1"/>
    <col min="7" max="7" width="9.7109375" style="558" customWidth="1"/>
    <col min="8" max="8" width="6.28125" style="558" customWidth="1"/>
    <col min="9" max="9" width="10.7109375" style="558" customWidth="1"/>
    <col min="10" max="10" width="12.421875" style="558" customWidth="1"/>
    <col min="11" max="11" width="12.7109375" style="558" customWidth="1"/>
    <col min="12" max="12" width="13.00390625" style="558" customWidth="1"/>
    <col min="13" max="13" width="12.8515625" style="558" customWidth="1"/>
    <col min="14" max="14" width="3.140625" style="35" customWidth="1"/>
    <col min="15" max="15" width="4.421875" style="4" customWidth="1"/>
    <col min="16" max="16" width="10.421875" style="558" bestFit="1" customWidth="1"/>
    <col min="17" max="17" width="9.00390625" style="558" customWidth="1"/>
    <col min="18" max="18" width="10.421875" style="558" bestFit="1" customWidth="1"/>
    <col min="19" max="16384" width="9.00390625" style="558" customWidth="1"/>
  </cols>
  <sheetData>
    <row r="1" spans="1:6" ht="13.5" customHeight="1">
      <c r="A1" s="1304" t="s">
        <v>29</v>
      </c>
      <c r="B1" s="1304"/>
      <c r="C1" s="1304"/>
      <c r="D1" s="1304"/>
      <c r="E1" s="1304"/>
      <c r="F1" s="4"/>
    </row>
    <row r="2" spans="1:14" ht="13.5" customHeight="1">
      <c r="A2" s="5"/>
      <c r="B2" s="5"/>
      <c r="C2" s="5"/>
      <c r="D2" s="5"/>
      <c r="E2" s="6"/>
      <c r="F2" s="4"/>
      <c r="N2" s="349"/>
    </row>
    <row r="3" spans="1:14" ht="13.5" customHeight="1">
      <c r="A3" s="5"/>
      <c r="B3" s="5" t="s">
        <v>239</v>
      </c>
      <c r="C3" s="585" t="s">
        <v>34</v>
      </c>
      <c r="D3" s="5"/>
      <c r="E3" s="6"/>
      <c r="F3" s="584" t="s">
        <v>28</v>
      </c>
      <c r="N3" s="349"/>
    </row>
    <row r="4" spans="1:14" ht="13.5" customHeight="1">
      <c r="A4" s="5"/>
      <c r="B4" s="5"/>
      <c r="C4" s="5"/>
      <c r="D4" s="5"/>
      <c r="E4" s="6"/>
      <c r="F4" s="584" t="s">
        <v>43</v>
      </c>
      <c r="N4" s="349"/>
    </row>
    <row r="5" spans="1:15" ht="13.5" customHeight="1">
      <c r="A5" s="5"/>
      <c r="B5" s="5"/>
      <c r="C5" s="5"/>
      <c r="D5" s="5"/>
      <c r="E5" s="6"/>
      <c r="F5" s="4"/>
      <c r="M5" s="558" t="s">
        <v>38</v>
      </c>
      <c r="N5" s="349"/>
      <c r="O5" s="541"/>
    </row>
    <row r="6" spans="1:14" ht="13.5" customHeight="1">
      <c r="A6" s="5"/>
      <c r="F6" s="4"/>
      <c r="I6" s="9" t="s">
        <v>200</v>
      </c>
      <c r="J6" s="20" t="str">
        <f>'使い方'!E6</f>
        <v>Ｂ金属株式会社</v>
      </c>
      <c r="K6" s="10"/>
      <c r="N6" s="349"/>
    </row>
    <row r="7" spans="1:14" ht="13.5" customHeight="1" thickBot="1">
      <c r="A7" s="5"/>
      <c r="F7" s="4"/>
      <c r="I7" s="11"/>
      <c r="J7" s="11"/>
      <c r="N7" s="349"/>
    </row>
    <row r="8" spans="1:15" ht="27" customHeight="1">
      <c r="A8" s="1305" t="s">
        <v>13</v>
      </c>
      <c r="B8" s="1307" t="s">
        <v>14</v>
      </c>
      <c r="C8" s="1307"/>
      <c r="D8" s="1308"/>
      <c r="E8" s="12" t="s">
        <v>15</v>
      </c>
      <c r="F8" s="13" t="s">
        <v>16</v>
      </c>
      <c r="G8" s="13" t="s">
        <v>17</v>
      </c>
      <c r="H8" s="13" t="s">
        <v>18</v>
      </c>
      <c r="I8" s="13" t="s">
        <v>7</v>
      </c>
      <c r="J8" s="13" t="s">
        <v>7</v>
      </c>
      <c r="K8" s="1309" t="s">
        <v>19</v>
      </c>
      <c r="L8" s="1308"/>
      <c r="M8" s="1034" t="s">
        <v>20</v>
      </c>
      <c r="N8" s="1310" t="s">
        <v>13</v>
      </c>
      <c r="O8" s="1312" t="s">
        <v>238</v>
      </c>
    </row>
    <row r="9" spans="1:15" ht="42" customHeight="1" thickBot="1">
      <c r="A9" s="1306"/>
      <c r="B9" s="1061" t="s">
        <v>21</v>
      </c>
      <c r="C9" s="1061" t="s">
        <v>22</v>
      </c>
      <c r="D9" s="1062" t="s">
        <v>23</v>
      </c>
      <c r="E9" s="1063"/>
      <c r="F9" s="1064"/>
      <c r="G9" s="1065"/>
      <c r="H9" s="1065"/>
      <c r="I9" s="1065" t="s">
        <v>24</v>
      </c>
      <c r="J9" s="1065" t="s">
        <v>44</v>
      </c>
      <c r="K9" s="1065" t="s">
        <v>25</v>
      </c>
      <c r="L9" s="1066" t="s">
        <v>42</v>
      </c>
      <c r="M9" s="1066" t="s">
        <v>26</v>
      </c>
      <c r="N9" s="1311"/>
      <c r="O9" s="1313"/>
    </row>
    <row r="10" spans="1:15" ht="30.75" customHeight="1">
      <c r="A10" s="355">
        <v>1</v>
      </c>
      <c r="B10" s="1302"/>
      <c r="C10" s="1303"/>
      <c r="D10" s="1303"/>
      <c r="E10" s="576" t="s">
        <v>400</v>
      </c>
      <c r="F10" s="329" t="s">
        <v>401</v>
      </c>
      <c r="G10" s="1072">
        <v>500</v>
      </c>
      <c r="H10" s="1073" t="s">
        <v>241</v>
      </c>
      <c r="I10" s="1074">
        <f>IF(G10="","",ROUNDDOWN(J10*(1+O10/100),0))</f>
        <v>1080</v>
      </c>
      <c r="J10" s="1075">
        <v>1000</v>
      </c>
      <c r="K10" s="1074">
        <f>IF(I10="","",ROUNDDOWN(L10*(1+O10/100),0))</f>
        <v>540000</v>
      </c>
      <c r="L10" s="1074">
        <f aca="true" t="shared" si="0" ref="L10:L29">IF(J10="","",ROUNDDOWN(J10*G10,0))</f>
        <v>500000</v>
      </c>
      <c r="M10" s="1087">
        <f aca="true" t="shared" si="1" ref="M10:M29">L10</f>
        <v>500000</v>
      </c>
      <c r="N10" s="1076">
        <v>1</v>
      </c>
      <c r="O10" s="1097">
        <v>8</v>
      </c>
    </row>
    <row r="11" spans="1:16" ht="30.75" customHeight="1">
      <c r="A11" s="356">
        <v>2</v>
      </c>
      <c r="B11" s="1296"/>
      <c r="C11" s="1297"/>
      <c r="D11" s="1297"/>
      <c r="E11" s="352"/>
      <c r="F11" s="330"/>
      <c r="G11" s="340"/>
      <c r="H11" s="354"/>
      <c r="I11" s="326">
        <f aca="true" t="shared" si="2" ref="I11:I29">IF(G11="","",ROUNDDOWN(J11*(1+O11/100),0))</f>
      </c>
      <c r="J11" s="345"/>
      <c r="K11" s="326">
        <f aca="true" t="shared" si="3" ref="K11:K29">IF(I11="","",ROUNDDOWN(L11*(1+O11/100),0))</f>
      </c>
      <c r="L11" s="333">
        <f t="shared" si="0"/>
      </c>
      <c r="M11" s="1088">
        <f t="shared" si="1"/>
      </c>
      <c r="N11" s="1077">
        <v>2</v>
      </c>
      <c r="O11" s="1098">
        <v>8</v>
      </c>
      <c r="P11" s="541"/>
    </row>
    <row r="12" spans="1:16" ht="30.75" customHeight="1">
      <c r="A12" s="355">
        <v>3</v>
      </c>
      <c r="B12" s="1296"/>
      <c r="C12" s="1297"/>
      <c r="D12" s="1297"/>
      <c r="E12" s="342"/>
      <c r="F12" s="343"/>
      <c r="G12" s="340"/>
      <c r="H12" s="344"/>
      <c r="I12" s="326">
        <f>IF(G12="","",ROUNDDOWN(J12*(1+O12/100),0))</f>
      </c>
      <c r="J12" s="345"/>
      <c r="K12" s="326">
        <f t="shared" si="3"/>
      </c>
      <c r="L12" s="333">
        <f t="shared" si="0"/>
      </c>
      <c r="M12" s="1088">
        <f t="shared" si="1"/>
      </c>
      <c r="N12" s="1078">
        <v>3</v>
      </c>
      <c r="O12" s="1099">
        <v>8</v>
      </c>
      <c r="P12" s="541"/>
    </row>
    <row r="13" spans="1:18" s="16" customFormat="1" ht="30.75" customHeight="1">
      <c r="A13" s="356">
        <v>4</v>
      </c>
      <c r="B13" s="1296"/>
      <c r="C13" s="1297"/>
      <c r="D13" s="1297"/>
      <c r="E13" s="342"/>
      <c r="F13" s="343"/>
      <c r="G13" s="353"/>
      <c r="H13" s="344"/>
      <c r="I13" s="326">
        <f t="shared" si="2"/>
      </c>
      <c r="J13" s="345"/>
      <c r="K13" s="326">
        <f t="shared" si="3"/>
      </c>
      <c r="L13" s="333">
        <f t="shared" si="0"/>
      </c>
      <c r="M13" s="1088">
        <f t="shared" si="1"/>
      </c>
      <c r="N13" s="1077">
        <v>4</v>
      </c>
      <c r="O13" s="1098">
        <v>8</v>
      </c>
      <c r="P13" s="541"/>
      <c r="Q13" s="558"/>
      <c r="R13" s="558"/>
    </row>
    <row r="14" spans="1:18" s="16" customFormat="1" ht="30.75" customHeight="1">
      <c r="A14" s="355">
        <v>5</v>
      </c>
      <c r="B14" s="1296"/>
      <c r="C14" s="1297"/>
      <c r="D14" s="1297"/>
      <c r="E14" s="342"/>
      <c r="F14" s="343"/>
      <c r="G14" s="340"/>
      <c r="H14" s="344"/>
      <c r="I14" s="326">
        <f t="shared" si="2"/>
      </c>
      <c r="J14" s="345"/>
      <c r="K14" s="326">
        <f t="shared" si="3"/>
      </c>
      <c r="L14" s="333">
        <f t="shared" si="0"/>
      </c>
      <c r="M14" s="1088">
        <f t="shared" si="1"/>
      </c>
      <c r="N14" s="1078">
        <v>5</v>
      </c>
      <c r="O14" s="1099">
        <v>8</v>
      </c>
      <c r="P14" s="558"/>
      <c r="Q14" s="558"/>
      <c r="R14" s="558"/>
    </row>
    <row r="15" spans="1:15" ht="30.75" customHeight="1">
      <c r="A15" s="356">
        <v>6</v>
      </c>
      <c r="B15" s="1296"/>
      <c r="C15" s="1297"/>
      <c r="D15" s="1297"/>
      <c r="E15" s="347"/>
      <c r="F15" s="343"/>
      <c r="G15" s="340"/>
      <c r="H15" s="344"/>
      <c r="I15" s="326">
        <f t="shared" si="2"/>
      </c>
      <c r="J15" s="345"/>
      <c r="K15" s="326">
        <f t="shared" si="3"/>
      </c>
      <c r="L15" s="333">
        <f t="shared" si="0"/>
      </c>
      <c r="M15" s="1088">
        <f t="shared" si="1"/>
      </c>
      <c r="N15" s="1077">
        <v>6</v>
      </c>
      <c r="O15" s="1098">
        <v>8</v>
      </c>
    </row>
    <row r="16" spans="1:15" ht="30.75" customHeight="1">
      <c r="A16" s="355">
        <v>7</v>
      </c>
      <c r="B16" s="1296"/>
      <c r="C16" s="1297"/>
      <c r="D16" s="1297"/>
      <c r="E16" s="348"/>
      <c r="F16" s="343"/>
      <c r="G16" s="353"/>
      <c r="H16" s="344"/>
      <c r="I16" s="326">
        <f t="shared" si="2"/>
      </c>
      <c r="J16" s="345"/>
      <c r="K16" s="326">
        <f t="shared" si="3"/>
      </c>
      <c r="L16" s="333">
        <f t="shared" si="0"/>
      </c>
      <c r="M16" s="1088">
        <f t="shared" si="1"/>
      </c>
      <c r="N16" s="1078">
        <v>7</v>
      </c>
      <c r="O16" s="1099">
        <v>8</v>
      </c>
    </row>
    <row r="17" spans="1:15" ht="30.75" customHeight="1">
      <c r="A17" s="356">
        <v>8</v>
      </c>
      <c r="B17" s="1296"/>
      <c r="C17" s="1297"/>
      <c r="D17" s="1297"/>
      <c r="E17" s="348"/>
      <c r="F17" s="343"/>
      <c r="G17" s="340"/>
      <c r="H17" s="344"/>
      <c r="I17" s="326">
        <f t="shared" si="2"/>
      </c>
      <c r="J17" s="345"/>
      <c r="K17" s="326">
        <f t="shared" si="3"/>
      </c>
      <c r="L17" s="333">
        <f t="shared" si="0"/>
      </c>
      <c r="M17" s="1088">
        <f t="shared" si="1"/>
      </c>
      <c r="N17" s="1077">
        <v>8</v>
      </c>
      <c r="O17" s="1098">
        <v>8</v>
      </c>
    </row>
    <row r="18" spans="1:15" ht="30.75" customHeight="1">
      <c r="A18" s="355">
        <v>9</v>
      </c>
      <c r="B18" s="1296"/>
      <c r="C18" s="1297"/>
      <c r="D18" s="1297"/>
      <c r="E18" s="348"/>
      <c r="F18" s="343"/>
      <c r="G18" s="340"/>
      <c r="H18" s="344"/>
      <c r="I18" s="326">
        <f t="shared" si="2"/>
      </c>
      <c r="J18" s="345"/>
      <c r="K18" s="326">
        <f t="shared" si="3"/>
      </c>
      <c r="L18" s="333">
        <f t="shared" si="0"/>
      </c>
      <c r="M18" s="1088">
        <f t="shared" si="1"/>
      </c>
      <c r="N18" s="1078">
        <v>9</v>
      </c>
      <c r="O18" s="1099">
        <v>8</v>
      </c>
    </row>
    <row r="19" spans="1:15" ht="30.75" customHeight="1">
      <c r="A19" s="356">
        <v>10</v>
      </c>
      <c r="B19" s="1296"/>
      <c r="C19" s="1297"/>
      <c r="D19" s="1297"/>
      <c r="E19" s="348"/>
      <c r="F19" s="343"/>
      <c r="G19" s="353"/>
      <c r="H19" s="344"/>
      <c r="I19" s="326">
        <f t="shared" si="2"/>
      </c>
      <c r="J19" s="345"/>
      <c r="K19" s="326">
        <f t="shared" si="3"/>
      </c>
      <c r="L19" s="333">
        <f t="shared" si="0"/>
      </c>
      <c r="M19" s="1088">
        <f t="shared" si="1"/>
      </c>
      <c r="N19" s="1077">
        <v>10</v>
      </c>
      <c r="O19" s="1098">
        <v>8</v>
      </c>
    </row>
    <row r="20" spans="1:15" ht="30.75" customHeight="1">
      <c r="A20" s="355">
        <v>11</v>
      </c>
      <c r="B20" s="1296"/>
      <c r="C20" s="1297"/>
      <c r="D20" s="1297"/>
      <c r="E20" s="348"/>
      <c r="F20" s="343"/>
      <c r="G20" s="340"/>
      <c r="H20" s="344"/>
      <c r="I20" s="326">
        <f t="shared" si="2"/>
      </c>
      <c r="J20" s="345"/>
      <c r="K20" s="326">
        <f t="shared" si="3"/>
      </c>
      <c r="L20" s="333">
        <f t="shared" si="0"/>
      </c>
      <c r="M20" s="1088">
        <f t="shared" si="1"/>
      </c>
      <c r="N20" s="1078">
        <v>11</v>
      </c>
      <c r="O20" s="1099">
        <v>8</v>
      </c>
    </row>
    <row r="21" spans="1:15" ht="30.75" customHeight="1">
      <c r="A21" s="356">
        <v>12</v>
      </c>
      <c r="B21" s="1296"/>
      <c r="C21" s="1297"/>
      <c r="D21" s="1297"/>
      <c r="E21" s="348"/>
      <c r="F21" s="343"/>
      <c r="G21" s="340"/>
      <c r="H21" s="344"/>
      <c r="I21" s="326">
        <f t="shared" si="2"/>
      </c>
      <c r="J21" s="345"/>
      <c r="K21" s="326">
        <f t="shared" si="3"/>
      </c>
      <c r="L21" s="333">
        <f t="shared" si="0"/>
      </c>
      <c r="M21" s="1088">
        <f t="shared" si="1"/>
      </c>
      <c r="N21" s="1077">
        <v>12</v>
      </c>
      <c r="O21" s="1098">
        <v>8</v>
      </c>
    </row>
    <row r="22" spans="1:15" ht="30.75" customHeight="1">
      <c r="A22" s="355">
        <v>13</v>
      </c>
      <c r="B22" s="1296"/>
      <c r="C22" s="1297"/>
      <c r="D22" s="1297"/>
      <c r="E22" s="348"/>
      <c r="F22" s="343"/>
      <c r="G22" s="353"/>
      <c r="H22" s="344"/>
      <c r="I22" s="326">
        <f t="shared" si="2"/>
      </c>
      <c r="J22" s="345"/>
      <c r="K22" s="326">
        <f t="shared" si="3"/>
      </c>
      <c r="L22" s="333">
        <f t="shared" si="0"/>
      </c>
      <c r="M22" s="1088">
        <f t="shared" si="1"/>
      </c>
      <c r="N22" s="1078">
        <v>13</v>
      </c>
      <c r="O22" s="1099">
        <v>8</v>
      </c>
    </row>
    <row r="23" spans="1:15" ht="30.75" customHeight="1">
      <c r="A23" s="356">
        <v>14</v>
      </c>
      <c r="B23" s="1296"/>
      <c r="C23" s="1297"/>
      <c r="D23" s="1297"/>
      <c r="E23" s="348"/>
      <c r="F23" s="343"/>
      <c r="G23" s="340"/>
      <c r="H23" s="344"/>
      <c r="I23" s="326">
        <f t="shared" si="2"/>
      </c>
      <c r="J23" s="345"/>
      <c r="K23" s="326">
        <f t="shared" si="3"/>
      </c>
      <c r="L23" s="333">
        <f t="shared" si="0"/>
      </c>
      <c r="M23" s="1088">
        <f t="shared" si="1"/>
      </c>
      <c r="N23" s="1077">
        <v>14</v>
      </c>
      <c r="O23" s="1098">
        <v>8</v>
      </c>
    </row>
    <row r="24" spans="1:15" ht="30.75" customHeight="1">
      <c r="A24" s="355">
        <v>15</v>
      </c>
      <c r="B24" s="1296"/>
      <c r="C24" s="1297"/>
      <c r="D24" s="1297"/>
      <c r="E24" s="348"/>
      <c r="F24" s="343"/>
      <c r="G24" s="353"/>
      <c r="H24" s="344"/>
      <c r="I24" s="326">
        <f t="shared" si="2"/>
      </c>
      <c r="J24" s="345"/>
      <c r="K24" s="326">
        <f t="shared" si="3"/>
      </c>
      <c r="L24" s="333">
        <f t="shared" si="0"/>
      </c>
      <c r="M24" s="1088">
        <f t="shared" si="1"/>
      </c>
      <c r="N24" s="1078">
        <v>15</v>
      </c>
      <c r="O24" s="1099">
        <v>8</v>
      </c>
    </row>
    <row r="25" spans="1:15" ht="30.75" customHeight="1">
      <c r="A25" s="356">
        <v>16</v>
      </c>
      <c r="B25" s="1296"/>
      <c r="C25" s="1297"/>
      <c r="D25" s="1297"/>
      <c r="E25" s="348"/>
      <c r="F25" s="343"/>
      <c r="G25" s="340"/>
      <c r="H25" s="344"/>
      <c r="I25" s="326">
        <f t="shared" si="2"/>
      </c>
      <c r="J25" s="345"/>
      <c r="K25" s="326">
        <f t="shared" si="3"/>
      </c>
      <c r="L25" s="333">
        <f t="shared" si="0"/>
      </c>
      <c r="M25" s="1088">
        <f t="shared" si="1"/>
      </c>
      <c r="N25" s="1077">
        <v>16</v>
      </c>
      <c r="O25" s="1098">
        <v>8</v>
      </c>
    </row>
    <row r="26" spans="1:15" ht="30.75" customHeight="1">
      <c r="A26" s="355">
        <v>17</v>
      </c>
      <c r="B26" s="1296"/>
      <c r="C26" s="1297"/>
      <c r="D26" s="1297"/>
      <c r="E26" s="348"/>
      <c r="F26" s="343"/>
      <c r="G26" s="353"/>
      <c r="H26" s="344"/>
      <c r="I26" s="326">
        <f t="shared" si="2"/>
      </c>
      <c r="J26" s="345"/>
      <c r="K26" s="326">
        <f t="shared" si="3"/>
      </c>
      <c r="L26" s="333">
        <f t="shared" si="0"/>
      </c>
      <c r="M26" s="1088">
        <f t="shared" si="1"/>
      </c>
      <c r="N26" s="1078">
        <v>17</v>
      </c>
      <c r="O26" s="1099">
        <v>8</v>
      </c>
    </row>
    <row r="27" spans="1:15" ht="30.75" customHeight="1">
      <c r="A27" s="356">
        <v>18</v>
      </c>
      <c r="B27" s="1296"/>
      <c r="C27" s="1297"/>
      <c r="D27" s="1297"/>
      <c r="E27" s="345"/>
      <c r="F27" s="345"/>
      <c r="G27" s="575"/>
      <c r="H27" s="345"/>
      <c r="I27" s="326">
        <f t="shared" si="2"/>
      </c>
      <c r="J27" s="345"/>
      <c r="K27" s="326">
        <f t="shared" si="3"/>
      </c>
      <c r="L27" s="333">
        <f t="shared" si="0"/>
      </c>
      <c r="M27" s="1088">
        <f t="shared" si="1"/>
      </c>
      <c r="N27" s="1077">
        <v>18</v>
      </c>
      <c r="O27" s="1098">
        <v>8</v>
      </c>
    </row>
    <row r="28" spans="1:15" ht="30.75" customHeight="1">
      <c r="A28" s="355">
        <v>19</v>
      </c>
      <c r="B28" s="1296"/>
      <c r="C28" s="1297"/>
      <c r="D28" s="1297"/>
      <c r="E28" s="345"/>
      <c r="F28" s="345"/>
      <c r="G28" s="575"/>
      <c r="H28" s="345"/>
      <c r="I28" s="326">
        <f t="shared" si="2"/>
      </c>
      <c r="J28" s="345"/>
      <c r="K28" s="326">
        <f t="shared" si="3"/>
      </c>
      <c r="L28" s="333">
        <f t="shared" si="0"/>
      </c>
      <c r="M28" s="1088">
        <f t="shared" si="1"/>
      </c>
      <c r="N28" s="1078">
        <v>19</v>
      </c>
      <c r="O28" s="1099">
        <v>8</v>
      </c>
    </row>
    <row r="29" spans="1:15" ht="30.75" customHeight="1" thickBot="1">
      <c r="A29" s="1058">
        <v>20</v>
      </c>
      <c r="B29" s="1298"/>
      <c r="C29" s="1299"/>
      <c r="D29" s="1299"/>
      <c r="E29" s="1079"/>
      <c r="F29" s="1079"/>
      <c r="G29" s="1080"/>
      <c r="H29" s="1079"/>
      <c r="I29" s="1081">
        <f t="shared" si="2"/>
      </c>
      <c r="J29" s="1079"/>
      <c r="K29" s="1081">
        <f t="shared" si="3"/>
      </c>
      <c r="L29" s="1082">
        <f t="shared" si="0"/>
      </c>
      <c r="M29" s="1089">
        <f t="shared" si="1"/>
      </c>
      <c r="N29" s="1083">
        <v>20</v>
      </c>
      <c r="O29" s="1100">
        <v>8</v>
      </c>
    </row>
    <row r="30" spans="1:15" ht="21" customHeight="1" thickBot="1">
      <c r="A30" s="1300" t="s">
        <v>27</v>
      </c>
      <c r="B30" s="1301"/>
      <c r="C30" s="1301"/>
      <c r="D30" s="1301"/>
      <c r="E30" s="1301"/>
      <c r="F30" s="1301"/>
      <c r="G30" s="1301"/>
      <c r="H30" s="1301"/>
      <c r="I30" s="1301"/>
      <c r="J30" s="1035"/>
      <c r="K30" s="29">
        <f>SUM(K10:K29)</f>
        <v>540000</v>
      </c>
      <c r="L30" s="29">
        <f>SUM(L10:L29)</f>
        <v>500000</v>
      </c>
      <c r="M30" s="36">
        <f>SUM(M10:M29)</f>
        <v>500000</v>
      </c>
      <c r="N30" s="350"/>
      <c r="O30" s="350"/>
    </row>
    <row r="31" spans="1:14" ht="13.5" customHeight="1">
      <c r="A31" s="5"/>
      <c r="N31" s="349"/>
    </row>
    <row r="32" spans="2:14" ht="13.5" customHeight="1">
      <c r="B32" s="558" t="s">
        <v>35</v>
      </c>
      <c r="D32" s="7"/>
      <c r="E32" s="19" t="s">
        <v>201</v>
      </c>
      <c r="N32" s="349"/>
    </row>
    <row r="33" spans="5:16" ht="13.5" customHeight="1">
      <c r="E33" s="19" t="s">
        <v>202</v>
      </c>
      <c r="N33" s="351"/>
      <c r="P33" s="19"/>
    </row>
    <row r="34" spans="2:16" ht="13.5" customHeight="1">
      <c r="B34" s="558" t="s">
        <v>36</v>
      </c>
      <c r="E34" s="19" t="s">
        <v>203</v>
      </c>
      <c r="P34" s="19"/>
    </row>
    <row r="35" spans="2:16" ht="13.5" customHeight="1">
      <c r="B35" s="558" t="s">
        <v>37</v>
      </c>
      <c r="E35" s="19" t="s">
        <v>204</v>
      </c>
      <c r="P35" s="19"/>
    </row>
    <row r="36" spans="1:16" s="19" customFormat="1" ht="13.5">
      <c r="A36" s="4"/>
      <c r="B36" s="558"/>
      <c r="C36" s="558"/>
      <c r="D36" s="558"/>
      <c r="E36" s="8"/>
      <c r="G36" s="558"/>
      <c r="H36" s="558"/>
      <c r="I36" s="558"/>
      <c r="J36" s="558"/>
      <c r="K36" s="558"/>
      <c r="L36" s="558"/>
      <c r="M36" s="558"/>
      <c r="N36" s="35"/>
      <c r="O36" s="4"/>
      <c r="P36" s="558"/>
    </row>
    <row r="37" spans="1:16" s="19" customFormat="1" ht="13.5">
      <c r="A37" s="4"/>
      <c r="B37" s="558"/>
      <c r="C37" s="558"/>
      <c r="D37" s="558"/>
      <c r="E37" s="8"/>
      <c r="G37" s="558"/>
      <c r="H37" s="558"/>
      <c r="I37" s="558"/>
      <c r="J37" s="558"/>
      <c r="K37" s="558"/>
      <c r="L37" s="558"/>
      <c r="M37" s="558"/>
      <c r="N37" s="35"/>
      <c r="O37" s="4"/>
      <c r="P37" s="558"/>
    </row>
    <row r="38" spans="1:16" s="19" customFormat="1" ht="13.5">
      <c r="A38" s="4"/>
      <c r="B38" s="558"/>
      <c r="C38" s="558"/>
      <c r="D38" s="558"/>
      <c r="E38" s="8"/>
      <c r="G38" s="558"/>
      <c r="H38" s="558"/>
      <c r="I38" s="558"/>
      <c r="J38" s="558"/>
      <c r="K38" s="558"/>
      <c r="L38" s="558"/>
      <c r="M38" s="558"/>
      <c r="N38" s="35"/>
      <c r="O38" s="4"/>
      <c r="P38" s="558"/>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theme="1" tint="0.34999001026153564"/>
    <pageSetUpPr fitToPage="1"/>
  </sheetPr>
  <dimension ref="A1:R36"/>
  <sheetViews>
    <sheetView showGridLines="0" view="pageBreakPreview" zoomScale="98" zoomScaleNormal="85" zoomScaleSheetLayoutView="98" zoomScalePageLayoutView="0" workbookViewId="0" topLeftCell="A1">
      <selection activeCell="A1" sqref="A1:E1"/>
    </sheetView>
  </sheetViews>
  <sheetFormatPr defaultColWidth="9.140625" defaultRowHeight="15"/>
  <cols>
    <col min="1" max="1" width="3.140625" style="4" customWidth="1"/>
    <col min="2" max="3" width="2.57421875" style="558" customWidth="1"/>
    <col min="4" max="4" width="5.57421875" style="558" customWidth="1"/>
    <col min="5" max="5" width="14.421875" style="8" customWidth="1"/>
    <col min="6" max="6" width="16.00390625" style="19" customWidth="1"/>
    <col min="7" max="7" width="8.7109375" style="23" bestFit="1" customWidth="1"/>
    <col min="8" max="8" width="4.421875" style="35" bestFit="1" customWidth="1"/>
    <col min="9" max="9" width="13.00390625" style="23" customWidth="1"/>
    <col min="10" max="10" width="12.8515625" style="23" customWidth="1"/>
    <col min="11" max="13" width="14.140625" style="23" bestFit="1" customWidth="1"/>
    <col min="14" max="14" width="2.8515625" style="4" customWidth="1"/>
    <col min="15" max="15" width="4.57421875" style="4" customWidth="1"/>
    <col min="16" max="16" width="9.00390625" style="4" customWidth="1"/>
    <col min="17" max="17" width="12.421875" style="3" bestFit="1" customWidth="1"/>
    <col min="18" max="18" width="12.7109375" style="3" bestFit="1" customWidth="1"/>
    <col min="19" max="16384" width="9.00390625" style="558" customWidth="1"/>
  </cols>
  <sheetData>
    <row r="1" spans="1:6" ht="13.5" customHeight="1">
      <c r="A1" s="1304" t="s">
        <v>29</v>
      </c>
      <c r="B1" s="1304"/>
      <c r="C1" s="1304"/>
      <c r="D1" s="1304"/>
      <c r="E1" s="1304"/>
      <c r="F1" s="4"/>
    </row>
    <row r="2" spans="1:14" ht="13.5" customHeight="1">
      <c r="A2" s="5"/>
      <c r="B2" s="5"/>
      <c r="C2" s="5"/>
      <c r="D2" s="5"/>
      <c r="E2" s="6"/>
      <c r="F2" s="4"/>
      <c r="N2" s="5"/>
    </row>
    <row r="3" spans="1:14" ht="13.5" customHeight="1">
      <c r="A3" s="5"/>
      <c r="B3" s="5" t="s">
        <v>239</v>
      </c>
      <c r="C3" s="592" t="s">
        <v>34</v>
      </c>
      <c r="D3" s="5"/>
      <c r="E3" s="6"/>
      <c r="F3" s="593" t="s">
        <v>28</v>
      </c>
      <c r="N3" s="5"/>
    </row>
    <row r="4" spans="1:14" ht="13.5" customHeight="1">
      <c r="A4" s="5"/>
      <c r="B4" s="5"/>
      <c r="C4" s="5"/>
      <c r="D4" s="5"/>
      <c r="E4" s="6"/>
      <c r="F4" s="593" t="s">
        <v>45</v>
      </c>
      <c r="N4" s="5"/>
    </row>
    <row r="5" spans="1:15" ht="13.5" customHeight="1">
      <c r="A5" s="5"/>
      <c r="B5" s="5"/>
      <c r="C5" s="5"/>
      <c r="D5" s="5"/>
      <c r="E5" s="6"/>
      <c r="F5" s="4"/>
      <c r="M5" s="23" t="s">
        <v>38</v>
      </c>
      <c r="N5" s="5"/>
      <c r="O5" s="541"/>
    </row>
    <row r="6" spans="1:14" ht="13.5" customHeight="1">
      <c r="A6" s="5"/>
      <c r="F6" s="4"/>
      <c r="I6" s="9" t="s">
        <v>200</v>
      </c>
      <c r="J6" s="25" t="str">
        <f>'使い方'!E6</f>
        <v>Ｂ金属株式会社</v>
      </c>
      <c r="K6" s="26"/>
      <c r="N6" s="5"/>
    </row>
    <row r="7" spans="1:14" ht="13.5" customHeight="1" thickBot="1">
      <c r="A7" s="5"/>
      <c r="F7" s="4"/>
      <c r="N7" s="5"/>
    </row>
    <row r="8" spans="1:15" ht="27" customHeight="1">
      <c r="A8" s="1305" t="s">
        <v>13</v>
      </c>
      <c r="B8" s="1307" t="s">
        <v>14</v>
      </c>
      <c r="C8" s="1307"/>
      <c r="D8" s="1308"/>
      <c r="E8" s="12" t="s">
        <v>15</v>
      </c>
      <c r="F8" s="13" t="s">
        <v>16</v>
      </c>
      <c r="G8" s="13" t="s">
        <v>17</v>
      </c>
      <c r="H8" s="13" t="s">
        <v>18</v>
      </c>
      <c r="I8" s="13" t="s">
        <v>7</v>
      </c>
      <c r="J8" s="13" t="s">
        <v>7</v>
      </c>
      <c r="K8" s="1309" t="s">
        <v>19</v>
      </c>
      <c r="L8" s="1308"/>
      <c r="M8" s="1034" t="s">
        <v>20</v>
      </c>
      <c r="N8" s="1310" t="s">
        <v>13</v>
      </c>
      <c r="O8" s="1312" t="s">
        <v>238</v>
      </c>
    </row>
    <row r="9" spans="1:15" ht="42" customHeight="1" thickBot="1">
      <c r="A9" s="1306"/>
      <c r="B9" s="1061" t="s">
        <v>21</v>
      </c>
      <c r="C9" s="1061" t="s">
        <v>22</v>
      </c>
      <c r="D9" s="1062" t="s">
        <v>23</v>
      </c>
      <c r="E9" s="1063"/>
      <c r="F9" s="1064"/>
      <c r="G9" s="1065"/>
      <c r="H9" s="1065"/>
      <c r="I9" s="1065" t="s">
        <v>24</v>
      </c>
      <c r="J9" s="1065" t="s">
        <v>44</v>
      </c>
      <c r="K9" s="1065" t="s">
        <v>25</v>
      </c>
      <c r="L9" s="1066" t="s">
        <v>42</v>
      </c>
      <c r="M9" s="1066" t="s">
        <v>26</v>
      </c>
      <c r="N9" s="1311"/>
      <c r="O9" s="1313"/>
    </row>
    <row r="10" spans="1:18" ht="30.75" customHeight="1">
      <c r="A10" s="355">
        <v>1</v>
      </c>
      <c r="B10" s="1302"/>
      <c r="C10" s="1303"/>
      <c r="D10" s="1303"/>
      <c r="E10" s="576" t="s">
        <v>402</v>
      </c>
      <c r="F10" s="329" t="s">
        <v>403</v>
      </c>
      <c r="G10" s="1072">
        <v>1</v>
      </c>
      <c r="H10" s="1073" t="s">
        <v>487</v>
      </c>
      <c r="I10" s="1074">
        <f>IF(G10="","",ROUNDDOWN(J10*(1+O10/100),0))</f>
        <v>11880000</v>
      </c>
      <c r="J10" s="1075">
        <v>11000000</v>
      </c>
      <c r="K10" s="1074">
        <f>IF(I10="","",ROUNDDOWN(L10*(1+O10/100),0))</f>
        <v>11880000</v>
      </c>
      <c r="L10" s="1074">
        <f>IF(J10="","",ROUNDDOWN(J10*G10,0))</f>
        <v>11000000</v>
      </c>
      <c r="M10" s="1087">
        <f>L10</f>
        <v>11000000</v>
      </c>
      <c r="N10" s="1076">
        <v>1</v>
      </c>
      <c r="O10" s="1097">
        <v>8</v>
      </c>
      <c r="P10" s="558"/>
      <c r="Q10" s="558"/>
      <c r="R10" s="558"/>
    </row>
    <row r="11" spans="1:18" ht="30.75" customHeight="1">
      <c r="A11" s="356">
        <v>2</v>
      </c>
      <c r="B11" s="1296"/>
      <c r="C11" s="1297"/>
      <c r="D11" s="1297"/>
      <c r="E11" s="352"/>
      <c r="F11" s="330"/>
      <c r="G11" s="340"/>
      <c r="H11" s="354"/>
      <c r="I11" s="326">
        <f aca="true" t="shared" si="0" ref="I11:I29">IF(G11="","",ROUNDDOWN(J11*(1+O11/100),0))</f>
      </c>
      <c r="J11" s="345"/>
      <c r="K11" s="326">
        <f aca="true" t="shared" si="1" ref="K11:K29">IF(I11="","",ROUNDDOWN(L11*(1+O11/100),0))</f>
      </c>
      <c r="L11" s="333">
        <f aca="true" t="shared" si="2" ref="L11:L29">IF(J11="","",ROUNDDOWN(J11*G11,0))</f>
      </c>
      <c r="M11" s="1088">
        <f aca="true" t="shared" si="3" ref="M11:M29">L11</f>
      </c>
      <c r="N11" s="1077">
        <v>2</v>
      </c>
      <c r="O11" s="1098">
        <v>8</v>
      </c>
      <c r="R11" s="93"/>
    </row>
    <row r="12" spans="1:18" ht="30.75" customHeight="1">
      <c r="A12" s="355">
        <v>3</v>
      </c>
      <c r="B12" s="1296"/>
      <c r="C12" s="1297"/>
      <c r="D12" s="1297"/>
      <c r="E12" s="342"/>
      <c r="F12" s="343"/>
      <c r="G12" s="340"/>
      <c r="H12" s="344"/>
      <c r="I12" s="326">
        <f t="shared" si="0"/>
      </c>
      <c r="J12" s="345"/>
      <c r="K12" s="326">
        <f t="shared" si="1"/>
      </c>
      <c r="L12" s="333">
        <f t="shared" si="2"/>
      </c>
      <c r="M12" s="1088">
        <f t="shared" si="3"/>
      </c>
      <c r="N12" s="1078">
        <v>3</v>
      </c>
      <c r="O12" s="1099">
        <v>8</v>
      </c>
      <c r="P12" s="3"/>
      <c r="R12" s="93"/>
    </row>
    <row r="13" spans="1:18" s="16" customFormat="1" ht="30.75" customHeight="1">
      <c r="A13" s="356">
        <v>4</v>
      </c>
      <c r="B13" s="1296"/>
      <c r="C13" s="1297"/>
      <c r="D13" s="1297"/>
      <c r="E13" s="342"/>
      <c r="F13" s="343"/>
      <c r="G13" s="353"/>
      <c r="H13" s="344"/>
      <c r="I13" s="326">
        <f t="shared" si="0"/>
      </c>
      <c r="J13" s="345"/>
      <c r="K13" s="326">
        <f t="shared" si="1"/>
      </c>
      <c r="L13" s="333">
        <f t="shared" si="2"/>
      </c>
      <c r="M13" s="1088">
        <f t="shared" si="3"/>
      </c>
      <c r="N13" s="1077">
        <v>4</v>
      </c>
      <c r="O13" s="1098">
        <v>8</v>
      </c>
      <c r="P13" s="3"/>
      <c r="Q13" s="3"/>
      <c r="R13" s="93"/>
    </row>
    <row r="14" spans="1:18" ht="30.75" customHeight="1">
      <c r="A14" s="355">
        <v>5</v>
      </c>
      <c r="B14" s="1296"/>
      <c r="C14" s="1297"/>
      <c r="D14" s="1297"/>
      <c r="E14" s="342"/>
      <c r="F14" s="343"/>
      <c r="G14" s="340"/>
      <c r="H14" s="344"/>
      <c r="I14" s="326">
        <f t="shared" si="0"/>
      </c>
      <c r="J14" s="345"/>
      <c r="K14" s="326">
        <f t="shared" si="1"/>
      </c>
      <c r="L14" s="333">
        <f t="shared" si="2"/>
      </c>
      <c r="M14" s="1088">
        <f t="shared" si="3"/>
      </c>
      <c r="N14" s="1078">
        <v>5</v>
      </c>
      <c r="O14" s="1099">
        <v>8</v>
      </c>
      <c r="P14" s="3"/>
      <c r="R14" s="93"/>
    </row>
    <row r="15" spans="1:16" ht="30.75" customHeight="1">
      <c r="A15" s="356">
        <v>6</v>
      </c>
      <c r="B15" s="1296"/>
      <c r="C15" s="1297"/>
      <c r="D15" s="1297"/>
      <c r="E15" s="347"/>
      <c r="F15" s="343"/>
      <c r="G15" s="340"/>
      <c r="H15" s="344"/>
      <c r="I15" s="326">
        <f t="shared" si="0"/>
      </c>
      <c r="J15" s="345"/>
      <c r="K15" s="326">
        <f t="shared" si="1"/>
      </c>
      <c r="L15" s="333">
        <f t="shared" si="2"/>
      </c>
      <c r="M15" s="1088">
        <f t="shared" si="3"/>
      </c>
      <c r="N15" s="1077">
        <v>6</v>
      </c>
      <c r="O15" s="1098">
        <v>8</v>
      </c>
      <c r="P15" s="3"/>
    </row>
    <row r="16" spans="1:16" ht="30.75" customHeight="1">
      <c r="A16" s="355">
        <v>7</v>
      </c>
      <c r="B16" s="1296"/>
      <c r="C16" s="1297"/>
      <c r="D16" s="1297"/>
      <c r="E16" s="348"/>
      <c r="F16" s="343"/>
      <c r="G16" s="353"/>
      <c r="H16" s="344"/>
      <c r="I16" s="326">
        <f t="shared" si="0"/>
      </c>
      <c r="J16" s="345"/>
      <c r="K16" s="326">
        <f t="shared" si="1"/>
      </c>
      <c r="L16" s="333">
        <f t="shared" si="2"/>
      </c>
      <c r="M16" s="1088">
        <f t="shared" si="3"/>
      </c>
      <c r="N16" s="1078">
        <v>7</v>
      </c>
      <c r="O16" s="1099">
        <v>8</v>
      </c>
      <c r="P16" s="3"/>
    </row>
    <row r="17" spans="1:18" s="16" customFormat="1" ht="30.75" customHeight="1">
      <c r="A17" s="356">
        <v>8</v>
      </c>
      <c r="B17" s="1296"/>
      <c r="C17" s="1297"/>
      <c r="D17" s="1297"/>
      <c r="E17" s="348"/>
      <c r="F17" s="343"/>
      <c r="G17" s="340"/>
      <c r="H17" s="344"/>
      <c r="I17" s="326">
        <f t="shared" si="0"/>
      </c>
      <c r="J17" s="345"/>
      <c r="K17" s="326">
        <f t="shared" si="1"/>
      </c>
      <c r="L17" s="333">
        <f t="shared" si="2"/>
      </c>
      <c r="M17" s="1088">
        <f t="shared" si="3"/>
      </c>
      <c r="N17" s="1077">
        <v>8</v>
      </c>
      <c r="O17" s="1098">
        <v>8</v>
      </c>
      <c r="P17" s="50"/>
      <c r="Q17" s="307"/>
      <c r="R17" s="307"/>
    </row>
    <row r="18" spans="1:15" ht="30.75" customHeight="1">
      <c r="A18" s="355">
        <v>9</v>
      </c>
      <c r="B18" s="1296"/>
      <c r="C18" s="1297"/>
      <c r="D18" s="1297"/>
      <c r="E18" s="348"/>
      <c r="F18" s="343"/>
      <c r="G18" s="340"/>
      <c r="H18" s="344"/>
      <c r="I18" s="326">
        <f t="shared" si="0"/>
      </c>
      <c r="J18" s="345"/>
      <c r="K18" s="326">
        <f t="shared" si="1"/>
      </c>
      <c r="L18" s="333">
        <f t="shared" si="2"/>
      </c>
      <c r="M18" s="1088">
        <f t="shared" si="3"/>
      </c>
      <c r="N18" s="1078">
        <v>9</v>
      </c>
      <c r="O18" s="1099">
        <v>8</v>
      </c>
    </row>
    <row r="19" spans="1:15" ht="30.75" customHeight="1">
      <c r="A19" s="356">
        <v>10</v>
      </c>
      <c r="B19" s="1296"/>
      <c r="C19" s="1297"/>
      <c r="D19" s="1297"/>
      <c r="E19" s="348"/>
      <c r="F19" s="343"/>
      <c r="G19" s="353"/>
      <c r="H19" s="344"/>
      <c r="I19" s="326">
        <f t="shared" si="0"/>
      </c>
      <c r="J19" s="345"/>
      <c r="K19" s="326">
        <f t="shared" si="1"/>
      </c>
      <c r="L19" s="333">
        <f t="shared" si="2"/>
      </c>
      <c r="M19" s="1088">
        <f t="shared" si="3"/>
      </c>
      <c r="N19" s="1077">
        <v>10</v>
      </c>
      <c r="O19" s="1098">
        <v>8</v>
      </c>
    </row>
    <row r="20" spans="1:15" ht="30.75" customHeight="1">
      <c r="A20" s="355">
        <v>11</v>
      </c>
      <c r="B20" s="1296"/>
      <c r="C20" s="1297"/>
      <c r="D20" s="1297"/>
      <c r="E20" s="348"/>
      <c r="F20" s="343"/>
      <c r="G20" s="340"/>
      <c r="H20" s="344"/>
      <c r="I20" s="326">
        <f t="shared" si="0"/>
      </c>
      <c r="J20" s="345"/>
      <c r="K20" s="326">
        <f t="shared" si="1"/>
      </c>
      <c r="L20" s="333">
        <f t="shared" si="2"/>
      </c>
      <c r="M20" s="1088">
        <f t="shared" si="3"/>
      </c>
      <c r="N20" s="1078">
        <v>11</v>
      </c>
      <c r="O20" s="1099">
        <v>8</v>
      </c>
    </row>
    <row r="21" spans="1:15" ht="30.75" customHeight="1">
      <c r="A21" s="356">
        <v>12</v>
      </c>
      <c r="B21" s="1296"/>
      <c r="C21" s="1297"/>
      <c r="D21" s="1297"/>
      <c r="E21" s="348"/>
      <c r="F21" s="343"/>
      <c r="G21" s="340"/>
      <c r="H21" s="344"/>
      <c r="I21" s="326">
        <f t="shared" si="0"/>
      </c>
      <c r="J21" s="345"/>
      <c r="K21" s="326">
        <f t="shared" si="1"/>
      </c>
      <c r="L21" s="333">
        <f t="shared" si="2"/>
      </c>
      <c r="M21" s="1088">
        <f t="shared" si="3"/>
      </c>
      <c r="N21" s="1077">
        <v>12</v>
      </c>
      <c r="O21" s="1098">
        <v>8</v>
      </c>
    </row>
    <row r="22" spans="1:15" ht="30.75" customHeight="1">
      <c r="A22" s="355">
        <v>13</v>
      </c>
      <c r="B22" s="1296"/>
      <c r="C22" s="1297"/>
      <c r="D22" s="1297"/>
      <c r="E22" s="348"/>
      <c r="F22" s="343"/>
      <c r="G22" s="353"/>
      <c r="H22" s="344"/>
      <c r="I22" s="326">
        <f t="shared" si="0"/>
      </c>
      <c r="J22" s="345"/>
      <c r="K22" s="326">
        <f t="shared" si="1"/>
      </c>
      <c r="L22" s="333">
        <f t="shared" si="2"/>
      </c>
      <c r="M22" s="1088">
        <f t="shared" si="3"/>
      </c>
      <c r="N22" s="1078">
        <v>13</v>
      </c>
      <c r="O22" s="1099">
        <v>8</v>
      </c>
    </row>
    <row r="23" spans="1:15" ht="30.75" customHeight="1">
      <c r="A23" s="356">
        <v>14</v>
      </c>
      <c r="B23" s="1296"/>
      <c r="C23" s="1297"/>
      <c r="D23" s="1297"/>
      <c r="E23" s="348"/>
      <c r="F23" s="343"/>
      <c r="G23" s="340"/>
      <c r="H23" s="344"/>
      <c r="I23" s="326">
        <f t="shared" si="0"/>
      </c>
      <c r="J23" s="345"/>
      <c r="K23" s="326">
        <f t="shared" si="1"/>
      </c>
      <c r="L23" s="333">
        <f t="shared" si="2"/>
      </c>
      <c r="M23" s="1088">
        <f t="shared" si="3"/>
      </c>
      <c r="N23" s="1077">
        <v>14</v>
      </c>
      <c r="O23" s="1098">
        <v>8</v>
      </c>
    </row>
    <row r="24" spans="1:15" ht="30.75" customHeight="1">
      <c r="A24" s="355">
        <v>15</v>
      </c>
      <c r="B24" s="1296"/>
      <c r="C24" s="1297"/>
      <c r="D24" s="1297"/>
      <c r="E24" s="348"/>
      <c r="F24" s="343"/>
      <c r="G24" s="353"/>
      <c r="H24" s="344"/>
      <c r="I24" s="326">
        <f t="shared" si="0"/>
      </c>
      <c r="J24" s="345"/>
      <c r="K24" s="326">
        <f t="shared" si="1"/>
      </c>
      <c r="L24" s="333">
        <f t="shared" si="2"/>
      </c>
      <c r="M24" s="1088">
        <f t="shared" si="3"/>
      </c>
      <c r="N24" s="1078">
        <v>15</v>
      </c>
      <c r="O24" s="1099">
        <v>8</v>
      </c>
    </row>
    <row r="25" spans="1:15" ht="30.75" customHeight="1">
      <c r="A25" s="356">
        <v>16</v>
      </c>
      <c r="B25" s="1296"/>
      <c r="C25" s="1297"/>
      <c r="D25" s="1297"/>
      <c r="E25" s="348"/>
      <c r="F25" s="343"/>
      <c r="G25" s="340"/>
      <c r="H25" s="344"/>
      <c r="I25" s="326">
        <f t="shared" si="0"/>
      </c>
      <c r="J25" s="345"/>
      <c r="K25" s="326">
        <f t="shared" si="1"/>
      </c>
      <c r="L25" s="333">
        <f t="shared" si="2"/>
      </c>
      <c r="M25" s="1088">
        <f t="shared" si="3"/>
      </c>
      <c r="N25" s="1077">
        <v>16</v>
      </c>
      <c r="O25" s="1098">
        <v>8</v>
      </c>
    </row>
    <row r="26" spans="1:15" ht="30.75" customHeight="1">
      <c r="A26" s="355">
        <v>17</v>
      </c>
      <c r="B26" s="1296"/>
      <c r="C26" s="1297"/>
      <c r="D26" s="1297"/>
      <c r="E26" s="348"/>
      <c r="F26" s="343"/>
      <c r="G26" s="353"/>
      <c r="H26" s="344"/>
      <c r="I26" s="326">
        <f t="shared" si="0"/>
      </c>
      <c r="J26" s="345"/>
      <c r="K26" s="326">
        <f t="shared" si="1"/>
      </c>
      <c r="L26" s="333">
        <f t="shared" si="2"/>
      </c>
      <c r="M26" s="1088">
        <f t="shared" si="3"/>
      </c>
      <c r="N26" s="1078">
        <v>17</v>
      </c>
      <c r="O26" s="1099">
        <v>8</v>
      </c>
    </row>
    <row r="27" spans="1:15" ht="30.75" customHeight="1">
      <c r="A27" s="356">
        <v>18</v>
      </c>
      <c r="B27" s="1296"/>
      <c r="C27" s="1297"/>
      <c r="D27" s="1297"/>
      <c r="E27" s="345"/>
      <c r="F27" s="345"/>
      <c r="G27" s="575"/>
      <c r="H27" s="345"/>
      <c r="I27" s="326">
        <f t="shared" si="0"/>
      </c>
      <c r="J27" s="345"/>
      <c r="K27" s="326">
        <f t="shared" si="1"/>
      </c>
      <c r="L27" s="333">
        <f t="shared" si="2"/>
      </c>
      <c r="M27" s="1088">
        <f t="shared" si="3"/>
      </c>
      <c r="N27" s="1077">
        <v>18</v>
      </c>
      <c r="O27" s="1098">
        <v>8</v>
      </c>
    </row>
    <row r="28" spans="1:15" ht="30.75" customHeight="1">
      <c r="A28" s="355">
        <v>19</v>
      </c>
      <c r="B28" s="1296"/>
      <c r="C28" s="1297"/>
      <c r="D28" s="1297"/>
      <c r="E28" s="345"/>
      <c r="F28" s="345"/>
      <c r="G28" s="575"/>
      <c r="H28" s="345"/>
      <c r="I28" s="326">
        <f t="shared" si="0"/>
      </c>
      <c r="J28" s="345"/>
      <c r="K28" s="326">
        <f t="shared" si="1"/>
      </c>
      <c r="L28" s="333">
        <f t="shared" si="2"/>
      </c>
      <c r="M28" s="1088">
        <f t="shared" si="3"/>
      </c>
      <c r="N28" s="1078">
        <v>19</v>
      </c>
      <c r="O28" s="1099">
        <v>8</v>
      </c>
    </row>
    <row r="29" spans="1:15" ht="30.75" customHeight="1" thickBot="1">
      <c r="A29" s="1058">
        <v>20</v>
      </c>
      <c r="B29" s="1298"/>
      <c r="C29" s="1299"/>
      <c r="D29" s="1299"/>
      <c r="E29" s="1079"/>
      <c r="F29" s="1079"/>
      <c r="G29" s="1080"/>
      <c r="H29" s="1079"/>
      <c r="I29" s="1081">
        <f t="shared" si="0"/>
      </c>
      <c r="J29" s="1079"/>
      <c r="K29" s="1081">
        <f t="shared" si="1"/>
      </c>
      <c r="L29" s="1082">
        <f t="shared" si="2"/>
      </c>
      <c r="M29" s="1089">
        <f t="shared" si="3"/>
      </c>
      <c r="N29" s="1083">
        <v>20</v>
      </c>
      <c r="O29" s="1100">
        <v>8</v>
      </c>
    </row>
    <row r="30" spans="1:18" ht="21" customHeight="1" thickBot="1">
      <c r="A30" s="1300" t="s">
        <v>27</v>
      </c>
      <c r="B30" s="1301"/>
      <c r="C30" s="1301"/>
      <c r="D30" s="1301"/>
      <c r="E30" s="1301"/>
      <c r="F30" s="1301"/>
      <c r="G30" s="1301"/>
      <c r="H30" s="1301"/>
      <c r="I30" s="1301"/>
      <c r="J30" s="1035"/>
      <c r="K30" s="29">
        <f>SUM(K10:K29)</f>
        <v>11880000</v>
      </c>
      <c r="L30" s="29">
        <f>SUM(L10:L29)</f>
        <v>11000000</v>
      </c>
      <c r="M30" s="36">
        <f>SUM(M10:M29)</f>
        <v>11000000</v>
      </c>
      <c r="N30" s="350"/>
      <c r="Q30" s="93"/>
      <c r="R30" s="93"/>
    </row>
    <row r="31" spans="1:14" ht="13.5" customHeight="1">
      <c r="A31" s="5"/>
      <c r="N31" s="5"/>
    </row>
    <row r="32" spans="2:14" ht="13.5" customHeight="1">
      <c r="B32" s="558" t="s">
        <v>35</v>
      </c>
      <c r="D32" s="7"/>
      <c r="E32" s="19" t="s">
        <v>201</v>
      </c>
      <c r="G32" s="558"/>
      <c r="H32" s="558"/>
      <c r="I32" s="558"/>
      <c r="M32" s="359"/>
      <c r="N32" s="5"/>
    </row>
    <row r="33" spans="1:18" s="19" customFormat="1" ht="13.5" customHeight="1">
      <c r="A33" s="4"/>
      <c r="B33" s="558"/>
      <c r="C33" s="558"/>
      <c r="D33" s="558"/>
      <c r="E33" s="19" t="s">
        <v>202</v>
      </c>
      <c r="G33" s="558"/>
      <c r="H33" s="558"/>
      <c r="I33" s="558"/>
      <c r="J33" s="23"/>
      <c r="K33" s="23"/>
      <c r="L33" s="23"/>
      <c r="N33" s="33"/>
      <c r="O33" s="4"/>
      <c r="P33" s="4"/>
      <c r="Q33" s="22"/>
      <c r="R33" s="22"/>
    </row>
    <row r="34" spans="1:18" s="19" customFormat="1" ht="13.5" customHeight="1">
      <c r="A34" s="4"/>
      <c r="B34" s="558" t="s">
        <v>36</v>
      </c>
      <c r="C34" s="558"/>
      <c r="D34" s="558"/>
      <c r="E34" s="19" t="s">
        <v>203</v>
      </c>
      <c r="G34" s="558"/>
      <c r="H34" s="558"/>
      <c r="I34" s="558"/>
      <c r="J34" s="23"/>
      <c r="K34" s="23"/>
      <c r="L34" s="23"/>
      <c r="M34" s="359"/>
      <c r="N34" s="4"/>
      <c r="O34" s="4"/>
      <c r="P34" s="4"/>
      <c r="Q34" s="22"/>
      <c r="R34" s="22"/>
    </row>
    <row r="35" spans="1:18" s="19" customFormat="1" ht="13.5" customHeight="1">
      <c r="A35" s="4"/>
      <c r="B35" s="558" t="s">
        <v>37</v>
      </c>
      <c r="C35" s="558"/>
      <c r="D35" s="558"/>
      <c r="E35" s="19" t="s">
        <v>204</v>
      </c>
      <c r="G35" s="558"/>
      <c r="H35" s="558"/>
      <c r="I35" s="558"/>
      <c r="J35" s="23"/>
      <c r="K35" s="23"/>
      <c r="L35" s="23"/>
      <c r="M35" s="359"/>
      <c r="N35" s="4"/>
      <c r="O35" s="4"/>
      <c r="P35" s="4"/>
      <c r="Q35" s="22"/>
      <c r="R35" s="22"/>
    </row>
    <row r="36" ht="13.5">
      <c r="M36" s="322"/>
    </row>
  </sheetData>
  <sheetProtection sheet="1"/>
  <mergeCells count="27">
    <mergeCell ref="B25:D25"/>
    <mergeCell ref="B26:D26"/>
    <mergeCell ref="B27:D27"/>
    <mergeCell ref="B28:D28"/>
    <mergeCell ref="B29:D29"/>
    <mergeCell ref="B19:D19"/>
    <mergeCell ref="B20:D20"/>
    <mergeCell ref="B21:D21"/>
    <mergeCell ref="B22:D22"/>
    <mergeCell ref="B23:D23"/>
    <mergeCell ref="B24:D24"/>
    <mergeCell ref="A1:E1"/>
    <mergeCell ref="A8:A9"/>
    <mergeCell ref="B8:D8"/>
    <mergeCell ref="B12:D12"/>
    <mergeCell ref="B13:D13"/>
    <mergeCell ref="B14:D14"/>
    <mergeCell ref="K8:L8"/>
    <mergeCell ref="N8:N9"/>
    <mergeCell ref="O8:O9"/>
    <mergeCell ref="B10:D10"/>
    <mergeCell ref="B11:D11"/>
    <mergeCell ref="A30:I30"/>
    <mergeCell ref="B15:D15"/>
    <mergeCell ref="B16:D16"/>
    <mergeCell ref="B17:D17"/>
    <mergeCell ref="B18:D18"/>
  </mergeCells>
  <dataValidations count="3">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1:P35"/>
  <sheetViews>
    <sheetView showGridLines="0" view="pageBreakPreview" zoomScale="87" zoomScaleNormal="85" zoomScaleSheetLayoutView="87" zoomScalePageLayoutView="0" workbookViewId="0" topLeftCell="A1">
      <selection activeCell="A1" sqref="A1:E1"/>
    </sheetView>
  </sheetViews>
  <sheetFormatPr defaultColWidth="9.140625" defaultRowHeight="15"/>
  <cols>
    <col min="1" max="1" width="3.140625" style="558" customWidth="1"/>
    <col min="2" max="3" width="2.57421875" style="558" customWidth="1"/>
    <col min="4" max="4" width="5.00390625" style="558" customWidth="1"/>
    <col min="5" max="5" width="17.00390625" style="8" customWidth="1"/>
    <col min="6" max="6" width="16.00390625" style="19" customWidth="1"/>
    <col min="7" max="7" width="9.421875" style="558" bestFit="1" customWidth="1"/>
    <col min="8" max="8" width="4.421875" style="558" bestFit="1" customWidth="1"/>
    <col min="9" max="10" width="10.8515625" style="558" customWidth="1"/>
    <col min="11" max="11" width="12.421875" style="558" customWidth="1"/>
    <col min="12" max="12" width="11.8515625" style="558" customWidth="1"/>
    <col min="13" max="13" width="11.421875" style="558" customWidth="1"/>
    <col min="14" max="14" width="3.57421875" style="4" customWidth="1"/>
    <col min="15" max="15" width="3.8515625" style="4" customWidth="1"/>
    <col min="16" max="16" width="3.57421875" style="4" customWidth="1"/>
    <col min="17" max="16384" width="9.00390625" style="558" customWidth="1"/>
  </cols>
  <sheetData>
    <row r="1" spans="1:6" ht="13.5" customHeight="1">
      <c r="A1" s="1304" t="s">
        <v>29</v>
      </c>
      <c r="B1" s="1304"/>
      <c r="C1" s="1304"/>
      <c r="D1" s="1304"/>
      <c r="E1" s="1304"/>
      <c r="F1" s="4"/>
    </row>
    <row r="2" spans="1:16" ht="13.5" customHeight="1">
      <c r="A2" s="5"/>
      <c r="B2" s="5"/>
      <c r="C2" s="5"/>
      <c r="D2" s="5"/>
      <c r="E2" s="6"/>
      <c r="F2" s="4"/>
      <c r="N2" s="5"/>
      <c r="P2" s="5"/>
    </row>
    <row r="3" spans="1:16" ht="13.5" customHeight="1">
      <c r="A3" s="5"/>
      <c r="B3" s="5" t="s">
        <v>30</v>
      </c>
      <c r="C3" s="585" t="s">
        <v>34</v>
      </c>
      <c r="D3" s="5"/>
      <c r="E3" s="6"/>
      <c r="F3" s="584" t="s">
        <v>28</v>
      </c>
      <c r="N3" s="5"/>
      <c r="P3" s="5"/>
    </row>
    <row r="4" spans="1:16" ht="13.5" customHeight="1">
      <c r="A4" s="5"/>
      <c r="B4" s="5"/>
      <c r="C4" s="5"/>
      <c r="D4" s="5"/>
      <c r="E4" s="6"/>
      <c r="F4" s="584" t="s">
        <v>63</v>
      </c>
      <c r="N4" s="5"/>
      <c r="P4" s="5"/>
    </row>
    <row r="5" spans="1:16" ht="13.5" customHeight="1">
      <c r="A5" s="5"/>
      <c r="B5" s="5"/>
      <c r="C5" s="5"/>
      <c r="D5" s="5"/>
      <c r="E5" s="6"/>
      <c r="F5" s="4"/>
      <c r="M5" s="558" t="s">
        <v>38</v>
      </c>
      <c r="N5" s="5"/>
      <c r="O5" s="541"/>
      <c r="P5" s="5"/>
    </row>
    <row r="6" spans="1:16" ht="13.5" customHeight="1">
      <c r="A6" s="7"/>
      <c r="F6" s="4"/>
      <c r="I6" s="9" t="s">
        <v>200</v>
      </c>
      <c r="J6" s="20" t="str">
        <f>'使い方'!E6</f>
        <v>Ｂ金属株式会社</v>
      </c>
      <c r="K6" s="10"/>
      <c r="N6" s="5"/>
      <c r="P6" s="5"/>
    </row>
    <row r="7" spans="1:16" ht="13.5" customHeight="1" thickBot="1">
      <c r="A7" s="7"/>
      <c r="F7" s="4"/>
      <c r="I7" s="11"/>
      <c r="J7" s="11"/>
      <c r="N7" s="5"/>
      <c r="P7" s="5"/>
    </row>
    <row r="8" spans="1:16" ht="27" customHeight="1">
      <c r="A8" s="1305" t="s">
        <v>13</v>
      </c>
      <c r="B8" s="1307" t="s">
        <v>14</v>
      </c>
      <c r="C8" s="1307"/>
      <c r="D8" s="1308"/>
      <c r="E8" s="12" t="s">
        <v>15</v>
      </c>
      <c r="F8" s="13" t="s">
        <v>16</v>
      </c>
      <c r="G8" s="13" t="s">
        <v>17</v>
      </c>
      <c r="H8" s="13" t="s">
        <v>18</v>
      </c>
      <c r="I8" s="13" t="s">
        <v>7</v>
      </c>
      <c r="J8" s="13" t="s">
        <v>7</v>
      </c>
      <c r="K8" s="1309" t="s">
        <v>19</v>
      </c>
      <c r="L8" s="1308"/>
      <c r="M8" s="1034" t="s">
        <v>20</v>
      </c>
      <c r="N8" s="1310" t="s">
        <v>13</v>
      </c>
      <c r="O8" s="1312" t="s">
        <v>238</v>
      </c>
      <c r="P8" s="95"/>
    </row>
    <row r="9" spans="1:16" ht="42" customHeight="1" thickBot="1">
      <c r="A9" s="1306"/>
      <c r="B9" s="1061" t="s">
        <v>21</v>
      </c>
      <c r="C9" s="1061" t="s">
        <v>22</v>
      </c>
      <c r="D9" s="1062" t="s">
        <v>23</v>
      </c>
      <c r="E9" s="1063"/>
      <c r="F9" s="1064"/>
      <c r="G9" s="1065"/>
      <c r="H9" s="1065"/>
      <c r="I9" s="1065" t="s">
        <v>24</v>
      </c>
      <c r="J9" s="1065" t="s">
        <v>44</v>
      </c>
      <c r="K9" s="1065" t="s">
        <v>25</v>
      </c>
      <c r="L9" s="1066" t="s">
        <v>42</v>
      </c>
      <c r="M9" s="1066" t="s">
        <v>26</v>
      </c>
      <c r="N9" s="1311"/>
      <c r="O9" s="1313"/>
      <c r="P9" s="95"/>
    </row>
    <row r="10" spans="1:16" ht="30.75" customHeight="1">
      <c r="A10" s="355">
        <v>1</v>
      </c>
      <c r="B10" s="1302"/>
      <c r="C10" s="1303"/>
      <c r="D10" s="1303"/>
      <c r="E10" s="576" t="s">
        <v>423</v>
      </c>
      <c r="F10" s="329" t="s">
        <v>424</v>
      </c>
      <c r="G10" s="1072">
        <v>10</v>
      </c>
      <c r="H10" s="1073" t="s">
        <v>190</v>
      </c>
      <c r="I10" s="1074">
        <f>IF(G10="","",ROUNDDOWN(J10*(1+O10/100),0))</f>
        <v>32400</v>
      </c>
      <c r="J10" s="1075">
        <v>30000</v>
      </c>
      <c r="K10" s="1074">
        <f>IF(I10="","",ROUNDDOWN(L10*(1+O10/100),0))</f>
        <v>324000</v>
      </c>
      <c r="L10" s="1074">
        <f aca="true" t="shared" si="0" ref="L10:L29">IF(J10="","",ROUNDDOWN(J10*G10,0))</f>
        <v>300000</v>
      </c>
      <c r="M10" s="1087">
        <f aca="true" t="shared" si="1" ref="M10:M29">L10</f>
        <v>300000</v>
      </c>
      <c r="N10" s="1076">
        <v>1</v>
      </c>
      <c r="O10" s="1097">
        <v>8</v>
      </c>
      <c r="P10" s="558"/>
    </row>
    <row r="11" spans="1:16" ht="30.75" customHeight="1">
      <c r="A11" s="356">
        <v>2</v>
      </c>
      <c r="B11" s="1296"/>
      <c r="C11" s="1297"/>
      <c r="D11" s="1297"/>
      <c r="E11" s="352"/>
      <c r="F11" s="330"/>
      <c r="G11" s="340"/>
      <c r="H11" s="354"/>
      <c r="I11" s="326">
        <f aca="true" t="shared" si="2" ref="I11:I29">IF(G11="","",ROUNDDOWN(J11*(1+O11/100),0))</f>
      </c>
      <c r="J11" s="345"/>
      <c r="K11" s="326">
        <f aca="true" t="shared" si="3" ref="K11:K29">IF(I11="","",ROUNDDOWN(L11*(1+O11/100),0))</f>
      </c>
      <c r="L11" s="333">
        <f t="shared" si="0"/>
      </c>
      <c r="M11" s="1088">
        <f t="shared" si="1"/>
      </c>
      <c r="N11" s="1077">
        <v>2</v>
      </c>
      <c r="O11" s="1098">
        <v>8</v>
      </c>
      <c r="P11" s="95"/>
    </row>
    <row r="12" spans="1:16" ht="30.75" customHeight="1">
      <c r="A12" s="355">
        <v>3</v>
      </c>
      <c r="B12" s="1296"/>
      <c r="C12" s="1297"/>
      <c r="D12" s="1297"/>
      <c r="E12" s="342"/>
      <c r="F12" s="343"/>
      <c r="G12" s="340"/>
      <c r="H12" s="344"/>
      <c r="I12" s="326">
        <f t="shared" si="2"/>
      </c>
      <c r="J12" s="345"/>
      <c r="K12" s="326">
        <f t="shared" si="3"/>
      </c>
      <c r="L12" s="333">
        <f t="shared" si="0"/>
      </c>
      <c r="M12" s="1088">
        <f t="shared" si="1"/>
      </c>
      <c r="N12" s="1078">
        <v>3</v>
      </c>
      <c r="O12" s="1099">
        <v>8</v>
      </c>
      <c r="P12" s="95"/>
    </row>
    <row r="13" spans="1:16" s="16" customFormat="1" ht="30.75" customHeight="1">
      <c r="A13" s="356">
        <v>4</v>
      </c>
      <c r="B13" s="1296"/>
      <c r="C13" s="1297"/>
      <c r="D13" s="1297"/>
      <c r="E13" s="342"/>
      <c r="F13" s="343"/>
      <c r="G13" s="353"/>
      <c r="H13" s="344"/>
      <c r="I13" s="326">
        <f t="shared" si="2"/>
      </c>
      <c r="J13" s="345"/>
      <c r="K13" s="326">
        <f t="shared" si="3"/>
      </c>
      <c r="L13" s="333">
        <f t="shared" si="0"/>
      </c>
      <c r="M13" s="1088">
        <f t="shared" si="1"/>
      </c>
      <c r="N13" s="1077">
        <v>4</v>
      </c>
      <c r="O13" s="1098">
        <v>8</v>
      </c>
      <c r="P13" s="75"/>
    </row>
    <row r="14" spans="1:16" s="16" customFormat="1" ht="30.75" customHeight="1">
      <c r="A14" s="355">
        <v>5</v>
      </c>
      <c r="B14" s="1296"/>
      <c r="C14" s="1297"/>
      <c r="D14" s="1297"/>
      <c r="E14" s="342"/>
      <c r="F14" s="343"/>
      <c r="G14" s="340"/>
      <c r="H14" s="344"/>
      <c r="I14" s="326">
        <f t="shared" si="2"/>
      </c>
      <c r="J14" s="345"/>
      <c r="K14" s="326">
        <f t="shared" si="3"/>
      </c>
      <c r="L14" s="333">
        <f t="shared" si="0"/>
      </c>
      <c r="M14" s="1088">
        <f t="shared" si="1"/>
      </c>
      <c r="N14" s="1078">
        <v>5</v>
      </c>
      <c r="O14" s="1099">
        <v>8</v>
      </c>
      <c r="P14" s="75"/>
    </row>
    <row r="15" spans="1:16" ht="30.75" customHeight="1">
      <c r="A15" s="356">
        <v>6</v>
      </c>
      <c r="B15" s="1296"/>
      <c r="C15" s="1297"/>
      <c r="D15" s="1297"/>
      <c r="E15" s="347"/>
      <c r="F15" s="343"/>
      <c r="G15" s="340"/>
      <c r="H15" s="344"/>
      <c r="I15" s="326">
        <f t="shared" si="2"/>
      </c>
      <c r="J15" s="345"/>
      <c r="K15" s="326">
        <f t="shared" si="3"/>
      </c>
      <c r="L15" s="333">
        <f t="shared" si="0"/>
      </c>
      <c r="M15" s="1088">
        <f t="shared" si="1"/>
      </c>
      <c r="N15" s="1077">
        <v>6</v>
      </c>
      <c r="O15" s="1098">
        <v>8</v>
      </c>
      <c r="P15" s="95"/>
    </row>
    <row r="16" spans="1:16" ht="30.75" customHeight="1">
      <c r="A16" s="355">
        <v>7</v>
      </c>
      <c r="B16" s="1296"/>
      <c r="C16" s="1297"/>
      <c r="D16" s="1297"/>
      <c r="E16" s="348"/>
      <c r="F16" s="343"/>
      <c r="G16" s="353"/>
      <c r="H16" s="344"/>
      <c r="I16" s="326">
        <f t="shared" si="2"/>
      </c>
      <c r="J16" s="345"/>
      <c r="K16" s="326">
        <f t="shared" si="3"/>
      </c>
      <c r="L16" s="333">
        <f t="shared" si="0"/>
      </c>
      <c r="M16" s="1088">
        <f t="shared" si="1"/>
      </c>
      <c r="N16" s="1078">
        <v>7</v>
      </c>
      <c r="O16" s="1099">
        <v>8</v>
      </c>
      <c r="P16" s="95"/>
    </row>
    <row r="17" spans="1:16" ht="30.75" customHeight="1">
      <c r="A17" s="356">
        <v>8</v>
      </c>
      <c r="B17" s="1296"/>
      <c r="C17" s="1297"/>
      <c r="D17" s="1297"/>
      <c r="E17" s="348"/>
      <c r="F17" s="343"/>
      <c r="G17" s="340"/>
      <c r="H17" s="344"/>
      <c r="I17" s="326">
        <f t="shared" si="2"/>
      </c>
      <c r="J17" s="345"/>
      <c r="K17" s="326">
        <f t="shared" si="3"/>
      </c>
      <c r="L17" s="333">
        <f t="shared" si="0"/>
      </c>
      <c r="M17" s="1088">
        <f t="shared" si="1"/>
      </c>
      <c r="N17" s="1077">
        <v>8</v>
      </c>
      <c r="O17" s="1098">
        <v>8</v>
      </c>
      <c r="P17" s="95"/>
    </row>
    <row r="18" spans="1:16" ht="30.75" customHeight="1">
      <c r="A18" s="355">
        <v>9</v>
      </c>
      <c r="B18" s="1296"/>
      <c r="C18" s="1297"/>
      <c r="D18" s="1297"/>
      <c r="E18" s="348"/>
      <c r="F18" s="343"/>
      <c r="G18" s="340"/>
      <c r="H18" s="344"/>
      <c r="I18" s="326">
        <f t="shared" si="2"/>
      </c>
      <c r="J18" s="345"/>
      <c r="K18" s="326">
        <f t="shared" si="3"/>
      </c>
      <c r="L18" s="333">
        <f t="shared" si="0"/>
      </c>
      <c r="M18" s="1088">
        <f t="shared" si="1"/>
      </c>
      <c r="N18" s="1078">
        <v>9</v>
      </c>
      <c r="O18" s="1099">
        <v>8</v>
      </c>
      <c r="P18" s="95"/>
    </row>
    <row r="19" spans="1:16" ht="30.75" customHeight="1">
      <c r="A19" s="356">
        <v>10</v>
      </c>
      <c r="B19" s="1296"/>
      <c r="C19" s="1297"/>
      <c r="D19" s="1297"/>
      <c r="E19" s="348"/>
      <c r="F19" s="343"/>
      <c r="G19" s="353"/>
      <c r="H19" s="344"/>
      <c r="I19" s="326">
        <f t="shared" si="2"/>
      </c>
      <c r="J19" s="345"/>
      <c r="K19" s="326">
        <f t="shared" si="3"/>
      </c>
      <c r="L19" s="333">
        <f t="shared" si="0"/>
      </c>
      <c r="M19" s="1088">
        <f t="shared" si="1"/>
      </c>
      <c r="N19" s="1077">
        <v>10</v>
      </c>
      <c r="O19" s="1098">
        <v>8</v>
      </c>
      <c r="P19" s="95"/>
    </row>
    <row r="20" spans="1:16" ht="30.75" customHeight="1">
      <c r="A20" s="355">
        <v>11</v>
      </c>
      <c r="B20" s="1296"/>
      <c r="C20" s="1297"/>
      <c r="D20" s="1297"/>
      <c r="E20" s="348"/>
      <c r="F20" s="343"/>
      <c r="G20" s="340"/>
      <c r="H20" s="344"/>
      <c r="I20" s="326">
        <f t="shared" si="2"/>
      </c>
      <c r="J20" s="345"/>
      <c r="K20" s="326">
        <f t="shared" si="3"/>
      </c>
      <c r="L20" s="333">
        <f t="shared" si="0"/>
      </c>
      <c r="M20" s="1088">
        <f t="shared" si="1"/>
      </c>
      <c r="N20" s="1078">
        <v>11</v>
      </c>
      <c r="O20" s="1099">
        <v>8</v>
      </c>
      <c r="P20" s="95"/>
    </row>
    <row r="21" spans="1:16" ht="30.75" customHeight="1">
      <c r="A21" s="356">
        <v>12</v>
      </c>
      <c r="B21" s="1296"/>
      <c r="C21" s="1297"/>
      <c r="D21" s="1297"/>
      <c r="E21" s="348"/>
      <c r="F21" s="343"/>
      <c r="G21" s="340"/>
      <c r="H21" s="344"/>
      <c r="I21" s="326">
        <f t="shared" si="2"/>
      </c>
      <c r="J21" s="345"/>
      <c r="K21" s="326">
        <f t="shared" si="3"/>
      </c>
      <c r="L21" s="333">
        <f t="shared" si="0"/>
      </c>
      <c r="M21" s="1088">
        <f t="shared" si="1"/>
      </c>
      <c r="N21" s="1077">
        <v>12</v>
      </c>
      <c r="O21" s="1098">
        <v>8</v>
      </c>
      <c r="P21" s="95"/>
    </row>
    <row r="22" spans="1:16" ht="30.75" customHeight="1">
      <c r="A22" s="355">
        <v>13</v>
      </c>
      <c r="B22" s="1296"/>
      <c r="C22" s="1297"/>
      <c r="D22" s="1297"/>
      <c r="E22" s="348"/>
      <c r="F22" s="343"/>
      <c r="G22" s="353"/>
      <c r="H22" s="344"/>
      <c r="I22" s="326">
        <f t="shared" si="2"/>
      </c>
      <c r="J22" s="345"/>
      <c r="K22" s="326">
        <f t="shared" si="3"/>
      </c>
      <c r="L22" s="333">
        <f t="shared" si="0"/>
      </c>
      <c r="M22" s="1088">
        <f t="shared" si="1"/>
      </c>
      <c r="N22" s="1078">
        <v>13</v>
      </c>
      <c r="O22" s="1099">
        <v>8</v>
      </c>
      <c r="P22" s="95"/>
    </row>
    <row r="23" spans="1:16" ht="30.75" customHeight="1">
      <c r="A23" s="356">
        <v>14</v>
      </c>
      <c r="B23" s="1296"/>
      <c r="C23" s="1297"/>
      <c r="D23" s="1297"/>
      <c r="E23" s="348"/>
      <c r="F23" s="343"/>
      <c r="G23" s="340"/>
      <c r="H23" s="344"/>
      <c r="I23" s="326">
        <f t="shared" si="2"/>
      </c>
      <c r="J23" s="345"/>
      <c r="K23" s="326">
        <f t="shared" si="3"/>
      </c>
      <c r="L23" s="333">
        <f t="shared" si="0"/>
      </c>
      <c r="M23" s="1088">
        <f t="shared" si="1"/>
      </c>
      <c r="N23" s="1077">
        <v>14</v>
      </c>
      <c r="O23" s="1098">
        <v>8</v>
      </c>
      <c r="P23" s="95"/>
    </row>
    <row r="24" spans="1:16" ht="30.75" customHeight="1">
      <c r="A24" s="355">
        <v>15</v>
      </c>
      <c r="B24" s="1296"/>
      <c r="C24" s="1297"/>
      <c r="D24" s="1297"/>
      <c r="E24" s="348"/>
      <c r="F24" s="343"/>
      <c r="G24" s="353"/>
      <c r="H24" s="344"/>
      <c r="I24" s="326">
        <f t="shared" si="2"/>
      </c>
      <c r="J24" s="345"/>
      <c r="K24" s="326">
        <f t="shared" si="3"/>
      </c>
      <c r="L24" s="333">
        <f t="shared" si="0"/>
      </c>
      <c r="M24" s="1088">
        <f t="shared" si="1"/>
      </c>
      <c r="N24" s="1078">
        <v>15</v>
      </c>
      <c r="O24" s="1099">
        <v>8</v>
      </c>
      <c r="P24" s="95"/>
    </row>
    <row r="25" spans="1:16" ht="30.75" customHeight="1">
      <c r="A25" s="356">
        <v>16</v>
      </c>
      <c r="B25" s="1296"/>
      <c r="C25" s="1297"/>
      <c r="D25" s="1297"/>
      <c r="E25" s="348"/>
      <c r="F25" s="343"/>
      <c r="G25" s="340"/>
      <c r="H25" s="344"/>
      <c r="I25" s="326">
        <f t="shared" si="2"/>
      </c>
      <c r="J25" s="345"/>
      <c r="K25" s="326">
        <f t="shared" si="3"/>
      </c>
      <c r="L25" s="333">
        <f t="shared" si="0"/>
      </c>
      <c r="M25" s="1088">
        <f t="shared" si="1"/>
      </c>
      <c r="N25" s="1077">
        <v>16</v>
      </c>
      <c r="O25" s="1098">
        <v>8</v>
      </c>
      <c r="P25" s="95"/>
    </row>
    <row r="26" spans="1:16" ht="30.75" customHeight="1">
      <c r="A26" s="355">
        <v>17</v>
      </c>
      <c r="B26" s="1296"/>
      <c r="C26" s="1297"/>
      <c r="D26" s="1297"/>
      <c r="E26" s="348"/>
      <c r="F26" s="343"/>
      <c r="G26" s="353"/>
      <c r="H26" s="344"/>
      <c r="I26" s="326">
        <f t="shared" si="2"/>
      </c>
      <c r="J26" s="345"/>
      <c r="K26" s="326">
        <f t="shared" si="3"/>
      </c>
      <c r="L26" s="333">
        <f t="shared" si="0"/>
      </c>
      <c r="M26" s="1088">
        <f t="shared" si="1"/>
      </c>
      <c r="N26" s="1078">
        <v>17</v>
      </c>
      <c r="O26" s="1099">
        <v>8</v>
      </c>
      <c r="P26" s="95"/>
    </row>
    <row r="27" spans="1:16" ht="30.75" customHeight="1">
      <c r="A27" s="356">
        <v>18</v>
      </c>
      <c r="B27" s="1296"/>
      <c r="C27" s="1297"/>
      <c r="D27" s="1297"/>
      <c r="E27" s="345"/>
      <c r="F27" s="345"/>
      <c r="G27" s="575"/>
      <c r="H27" s="345"/>
      <c r="I27" s="326">
        <f t="shared" si="2"/>
      </c>
      <c r="J27" s="345"/>
      <c r="K27" s="326">
        <f t="shared" si="3"/>
      </c>
      <c r="L27" s="333">
        <f t="shared" si="0"/>
      </c>
      <c r="M27" s="1088">
        <f t="shared" si="1"/>
      </c>
      <c r="N27" s="1077">
        <v>18</v>
      </c>
      <c r="O27" s="1098">
        <v>8</v>
      </c>
      <c r="P27" s="95"/>
    </row>
    <row r="28" spans="1:16" ht="30.75" customHeight="1">
      <c r="A28" s="355">
        <v>19</v>
      </c>
      <c r="B28" s="1296"/>
      <c r="C28" s="1297"/>
      <c r="D28" s="1297"/>
      <c r="E28" s="345"/>
      <c r="F28" s="345"/>
      <c r="G28" s="575"/>
      <c r="H28" s="345"/>
      <c r="I28" s="326">
        <f t="shared" si="2"/>
      </c>
      <c r="J28" s="345"/>
      <c r="K28" s="326">
        <f t="shared" si="3"/>
      </c>
      <c r="L28" s="333">
        <f t="shared" si="0"/>
      </c>
      <c r="M28" s="1088">
        <f t="shared" si="1"/>
      </c>
      <c r="N28" s="1078">
        <v>19</v>
      </c>
      <c r="O28" s="1099">
        <v>8</v>
      </c>
      <c r="P28" s="95"/>
    </row>
    <row r="29" spans="1:16" ht="30.75" customHeight="1" thickBot="1">
      <c r="A29" s="1058">
        <v>20</v>
      </c>
      <c r="B29" s="1298"/>
      <c r="C29" s="1299"/>
      <c r="D29" s="1299"/>
      <c r="E29" s="1079"/>
      <c r="F29" s="1079"/>
      <c r="G29" s="1080"/>
      <c r="H29" s="1079"/>
      <c r="I29" s="1081">
        <f t="shared" si="2"/>
      </c>
      <c r="J29" s="1079"/>
      <c r="K29" s="1081">
        <f t="shared" si="3"/>
      </c>
      <c r="L29" s="1082">
        <f t="shared" si="0"/>
      </c>
      <c r="M29" s="1089">
        <f t="shared" si="1"/>
      </c>
      <c r="N29" s="1083">
        <v>20</v>
      </c>
      <c r="O29" s="1100">
        <v>8</v>
      </c>
      <c r="P29" s="95"/>
    </row>
    <row r="30" spans="1:16" ht="21" customHeight="1" thickBot="1">
      <c r="A30" s="1300" t="s">
        <v>27</v>
      </c>
      <c r="B30" s="1301"/>
      <c r="C30" s="1301"/>
      <c r="D30" s="1301"/>
      <c r="E30" s="1301"/>
      <c r="F30" s="1301"/>
      <c r="G30" s="1301"/>
      <c r="H30" s="1301"/>
      <c r="I30" s="1301"/>
      <c r="J30" s="1035"/>
      <c r="K30" s="29">
        <f>SUM(K10:K29)</f>
        <v>324000</v>
      </c>
      <c r="L30" s="29">
        <f>SUM(L10:L29)</f>
        <v>300000</v>
      </c>
      <c r="M30" s="36">
        <f>SUM(M10:M29)</f>
        <v>300000</v>
      </c>
      <c r="N30" s="350"/>
      <c r="P30" s="32"/>
    </row>
    <row r="31" spans="1:16" ht="13.5" customHeight="1">
      <c r="A31" s="7"/>
      <c r="N31" s="5"/>
      <c r="P31" s="5"/>
    </row>
    <row r="32" spans="2:16" ht="13.5" customHeight="1">
      <c r="B32" s="558" t="s">
        <v>35</v>
      </c>
      <c r="D32" s="7"/>
      <c r="E32" s="19" t="s">
        <v>201</v>
      </c>
      <c r="N32" s="5"/>
      <c r="P32" s="5"/>
    </row>
    <row r="33" spans="1:16" s="19" customFormat="1" ht="13.5" customHeight="1">
      <c r="A33" s="558"/>
      <c r="B33" s="558"/>
      <c r="C33" s="558"/>
      <c r="D33" s="558"/>
      <c r="E33" s="19" t="s">
        <v>202</v>
      </c>
      <c r="G33" s="558"/>
      <c r="H33" s="558"/>
      <c r="I33" s="558"/>
      <c r="J33" s="558"/>
      <c r="K33" s="558"/>
      <c r="L33" s="558"/>
      <c r="M33" s="558"/>
      <c r="N33" s="33"/>
      <c r="O33" s="4"/>
      <c r="P33" s="33"/>
    </row>
    <row r="34" spans="1:16" s="19" customFormat="1" ht="13.5" customHeight="1">
      <c r="A34" s="558"/>
      <c r="B34" s="558" t="s">
        <v>36</v>
      </c>
      <c r="C34" s="558"/>
      <c r="D34" s="558"/>
      <c r="E34" s="19" t="s">
        <v>203</v>
      </c>
      <c r="G34" s="558"/>
      <c r="H34" s="558"/>
      <c r="I34" s="558"/>
      <c r="J34" s="558"/>
      <c r="K34" s="558"/>
      <c r="L34" s="558"/>
      <c r="M34" s="558"/>
      <c r="N34" s="4"/>
      <c r="O34" s="4"/>
      <c r="P34" s="4"/>
    </row>
    <row r="35" spans="1:16" s="19" customFormat="1" ht="13.5" customHeight="1">
      <c r="A35" s="558"/>
      <c r="B35" s="558" t="s">
        <v>37</v>
      </c>
      <c r="C35" s="558"/>
      <c r="D35" s="558"/>
      <c r="E35" s="19" t="s">
        <v>204</v>
      </c>
      <c r="G35" s="558"/>
      <c r="H35" s="558"/>
      <c r="I35" s="558"/>
      <c r="J35" s="558"/>
      <c r="K35" s="558"/>
      <c r="L35" s="558"/>
      <c r="M35" s="558"/>
      <c r="N35" s="4"/>
      <c r="O35" s="4"/>
      <c r="P35" s="4"/>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P35"/>
  <sheetViews>
    <sheetView showGridLines="0" view="pageBreakPreview" zoomScale="87" zoomScaleNormal="85" zoomScaleSheetLayoutView="87" workbookViewId="0" topLeftCell="A1">
      <selection activeCell="A1" sqref="A1:E1"/>
    </sheetView>
  </sheetViews>
  <sheetFormatPr defaultColWidth="9.140625" defaultRowHeight="15"/>
  <cols>
    <col min="1" max="1" width="3.140625" style="602" customWidth="1"/>
    <col min="2" max="3" width="2.57421875" style="602" customWidth="1"/>
    <col min="4" max="4" width="4.421875" style="602" customWidth="1"/>
    <col min="5" max="5" width="16.00390625" style="8" customWidth="1"/>
    <col min="6" max="6" width="11.421875" style="19" customWidth="1"/>
    <col min="7" max="7" width="9.7109375" style="602" bestFit="1" customWidth="1"/>
    <col min="8" max="8" width="5.00390625" style="602" bestFit="1" customWidth="1"/>
    <col min="9" max="9" width="11.421875" style="602" customWidth="1"/>
    <col min="10" max="10" width="10.57421875" style="359" customWidth="1"/>
    <col min="11" max="11" width="12.8515625" style="602" customWidth="1"/>
    <col min="12" max="12" width="13.57421875" style="602" customWidth="1"/>
    <col min="13" max="13" width="13.00390625" style="602" customWidth="1"/>
    <col min="14" max="14" width="3.421875" style="4" customWidth="1"/>
    <col min="15" max="15" width="4.140625" style="4" customWidth="1"/>
    <col min="16" max="16384" width="9.00390625" style="602" customWidth="1"/>
  </cols>
  <sheetData>
    <row r="1" spans="1:6" ht="13.5" customHeight="1">
      <c r="A1" s="1304" t="s">
        <v>29</v>
      </c>
      <c r="B1" s="1304"/>
      <c r="C1" s="1304"/>
      <c r="D1" s="1304"/>
      <c r="E1" s="1304"/>
      <c r="F1" s="4"/>
    </row>
    <row r="2" spans="1:14" ht="13.5" customHeight="1">
      <c r="A2" s="5"/>
      <c r="B2" s="5"/>
      <c r="C2" s="5"/>
      <c r="D2" s="5"/>
      <c r="E2" s="6"/>
      <c r="F2" s="4"/>
      <c r="N2" s="5"/>
    </row>
    <row r="3" spans="1:14" ht="13.5" customHeight="1">
      <c r="A3" s="5"/>
      <c r="B3" s="5" t="s">
        <v>30</v>
      </c>
      <c r="C3" s="599" t="s">
        <v>34</v>
      </c>
      <c r="D3" s="5"/>
      <c r="E3" s="6"/>
      <c r="F3" s="600" t="s">
        <v>28</v>
      </c>
      <c r="N3" s="5"/>
    </row>
    <row r="4" spans="1:14" ht="13.5" customHeight="1">
      <c r="A4" s="5"/>
      <c r="B4" s="5"/>
      <c r="C4" s="5"/>
      <c r="D4" s="5"/>
      <c r="E4" s="6"/>
      <c r="F4" s="600" t="s">
        <v>67</v>
      </c>
      <c r="N4" s="5"/>
    </row>
    <row r="5" spans="1:15" ht="13.5" customHeight="1">
      <c r="A5" s="5"/>
      <c r="B5" s="5"/>
      <c r="C5" s="5"/>
      <c r="D5" s="5"/>
      <c r="E5" s="6"/>
      <c r="F5" s="4"/>
      <c r="M5" s="602" t="s">
        <v>38</v>
      </c>
      <c r="N5" s="5"/>
      <c r="O5" s="541"/>
    </row>
    <row r="6" spans="1:14" ht="13.5" customHeight="1">
      <c r="A6" s="7"/>
      <c r="F6" s="4"/>
      <c r="I6" s="9" t="s">
        <v>200</v>
      </c>
      <c r="J6" s="360" t="str">
        <f>'使い方'!E6</f>
        <v>Ｂ金属株式会社</v>
      </c>
      <c r="K6" s="10"/>
      <c r="N6" s="5"/>
    </row>
    <row r="7" spans="1:14" ht="13.5" customHeight="1" thickBot="1">
      <c r="A7" s="7"/>
      <c r="F7" s="4"/>
      <c r="I7" s="11"/>
      <c r="J7" s="361"/>
      <c r="N7" s="5"/>
    </row>
    <row r="8" spans="1:15" ht="27" customHeight="1">
      <c r="A8" s="1305" t="s">
        <v>13</v>
      </c>
      <c r="B8" s="1307" t="s">
        <v>14</v>
      </c>
      <c r="C8" s="1307"/>
      <c r="D8" s="1308"/>
      <c r="E8" s="12" t="s">
        <v>15</v>
      </c>
      <c r="F8" s="13" t="s">
        <v>16</v>
      </c>
      <c r="G8" s="13" t="s">
        <v>17</v>
      </c>
      <c r="H8" s="13" t="s">
        <v>18</v>
      </c>
      <c r="I8" s="13" t="s">
        <v>7</v>
      </c>
      <c r="J8" s="13" t="s">
        <v>7</v>
      </c>
      <c r="K8" s="1309" t="s">
        <v>19</v>
      </c>
      <c r="L8" s="1308"/>
      <c r="M8" s="1034" t="s">
        <v>20</v>
      </c>
      <c r="N8" s="1310" t="s">
        <v>13</v>
      </c>
      <c r="O8" s="1312" t="s">
        <v>238</v>
      </c>
    </row>
    <row r="9" spans="1:15" ht="42" customHeight="1" thickBot="1">
      <c r="A9" s="1306"/>
      <c r="B9" s="1061" t="s">
        <v>21</v>
      </c>
      <c r="C9" s="1061" t="s">
        <v>22</v>
      </c>
      <c r="D9" s="1062" t="s">
        <v>23</v>
      </c>
      <c r="E9" s="1063"/>
      <c r="F9" s="1064"/>
      <c r="G9" s="1065"/>
      <c r="H9" s="1065"/>
      <c r="I9" s="1065" t="s">
        <v>24</v>
      </c>
      <c r="J9" s="1065" t="s">
        <v>44</v>
      </c>
      <c r="K9" s="1065" t="s">
        <v>25</v>
      </c>
      <c r="L9" s="1066" t="s">
        <v>42</v>
      </c>
      <c r="M9" s="1066" t="s">
        <v>26</v>
      </c>
      <c r="N9" s="1311"/>
      <c r="O9" s="1313"/>
    </row>
    <row r="10" spans="1:15" ht="30.75" customHeight="1">
      <c r="A10" s="355">
        <v>1</v>
      </c>
      <c r="B10" s="1302"/>
      <c r="C10" s="1303"/>
      <c r="D10" s="1303"/>
      <c r="E10" s="576" t="s">
        <v>425</v>
      </c>
      <c r="F10" s="329" t="s">
        <v>426</v>
      </c>
      <c r="G10" s="1072">
        <v>5</v>
      </c>
      <c r="H10" s="1073" t="s">
        <v>488</v>
      </c>
      <c r="I10" s="1074">
        <f>IF(G10="","",ROUNDDOWN(J10*(1+O10/100),0))</f>
        <v>108000</v>
      </c>
      <c r="J10" s="1075">
        <v>100000</v>
      </c>
      <c r="K10" s="1074">
        <f>IF(I10="","",ROUNDDOWN(L10*(1+O10/100),0))</f>
        <v>540000</v>
      </c>
      <c r="L10" s="1074">
        <f aca="true" t="shared" si="0" ref="L10:L29">IF(J10="","",ROUNDDOWN(J10*G10,0))</f>
        <v>500000</v>
      </c>
      <c r="M10" s="1087">
        <f aca="true" t="shared" si="1" ref="M10:M29">L10</f>
        <v>500000</v>
      </c>
      <c r="N10" s="1076">
        <v>1</v>
      </c>
      <c r="O10" s="1097">
        <v>8</v>
      </c>
    </row>
    <row r="11" spans="1:15" ht="30.75" customHeight="1">
      <c r="A11" s="356">
        <v>2</v>
      </c>
      <c r="B11" s="1296"/>
      <c r="C11" s="1297"/>
      <c r="D11" s="1297"/>
      <c r="E11" s="352"/>
      <c r="F11" s="330"/>
      <c r="G11" s="340"/>
      <c r="H11" s="354"/>
      <c r="I11" s="326">
        <f aca="true" t="shared" si="2" ref="I11:I29">IF(G11="","",ROUNDDOWN(J11*(1+O11/100),0))</f>
      </c>
      <c r="J11" s="345"/>
      <c r="K11" s="326">
        <f aca="true" t="shared" si="3" ref="K11:K29">IF(I11="","",ROUNDDOWN(L11*(1+O11/100),0))</f>
      </c>
      <c r="L11" s="333">
        <f t="shared" si="0"/>
      </c>
      <c r="M11" s="1088">
        <f t="shared" si="1"/>
      </c>
      <c r="N11" s="1077">
        <v>2</v>
      </c>
      <c r="O11" s="1098">
        <v>8</v>
      </c>
    </row>
    <row r="12" spans="1:15" ht="30.75" customHeight="1">
      <c r="A12" s="355">
        <v>3</v>
      </c>
      <c r="B12" s="1296"/>
      <c r="C12" s="1297"/>
      <c r="D12" s="1297"/>
      <c r="E12" s="342"/>
      <c r="F12" s="343"/>
      <c r="G12" s="340"/>
      <c r="H12" s="344"/>
      <c r="I12" s="326">
        <f t="shared" si="2"/>
      </c>
      <c r="J12" s="345"/>
      <c r="K12" s="326">
        <f t="shared" si="3"/>
      </c>
      <c r="L12" s="333">
        <f t="shared" si="0"/>
      </c>
      <c r="M12" s="1088">
        <f t="shared" si="1"/>
      </c>
      <c r="N12" s="1078">
        <v>3</v>
      </c>
      <c r="O12" s="1099">
        <v>8</v>
      </c>
    </row>
    <row r="13" spans="1:15" s="16" customFormat="1" ht="30.75" customHeight="1">
      <c r="A13" s="356">
        <v>4</v>
      </c>
      <c r="B13" s="1296"/>
      <c r="C13" s="1297"/>
      <c r="D13" s="1297"/>
      <c r="E13" s="342"/>
      <c r="F13" s="343"/>
      <c r="G13" s="353"/>
      <c r="H13" s="344"/>
      <c r="I13" s="326">
        <f t="shared" si="2"/>
      </c>
      <c r="J13" s="345"/>
      <c r="K13" s="326">
        <f t="shared" si="3"/>
      </c>
      <c r="L13" s="333">
        <f t="shared" si="0"/>
      </c>
      <c r="M13" s="1088">
        <f t="shared" si="1"/>
      </c>
      <c r="N13" s="1077">
        <v>4</v>
      </c>
      <c r="O13" s="1098">
        <v>8</v>
      </c>
    </row>
    <row r="14" spans="1:15" s="16" customFormat="1" ht="30.75" customHeight="1">
      <c r="A14" s="355">
        <v>5</v>
      </c>
      <c r="B14" s="1296"/>
      <c r="C14" s="1297"/>
      <c r="D14" s="1297"/>
      <c r="E14" s="342"/>
      <c r="F14" s="343"/>
      <c r="G14" s="340"/>
      <c r="H14" s="344"/>
      <c r="I14" s="326">
        <f t="shared" si="2"/>
      </c>
      <c r="J14" s="345"/>
      <c r="K14" s="326">
        <f t="shared" si="3"/>
      </c>
      <c r="L14" s="333">
        <f t="shared" si="0"/>
      </c>
      <c r="M14" s="1088">
        <f t="shared" si="1"/>
      </c>
      <c r="N14" s="1078">
        <v>5</v>
      </c>
      <c r="O14" s="1099">
        <v>8</v>
      </c>
    </row>
    <row r="15" spans="1:15" ht="30.75" customHeight="1">
      <c r="A15" s="356">
        <v>6</v>
      </c>
      <c r="B15" s="1296"/>
      <c r="C15" s="1297"/>
      <c r="D15" s="1297"/>
      <c r="E15" s="347"/>
      <c r="F15" s="343"/>
      <c r="G15" s="340"/>
      <c r="H15" s="344"/>
      <c r="I15" s="326">
        <f t="shared" si="2"/>
      </c>
      <c r="J15" s="345"/>
      <c r="K15" s="326">
        <f t="shared" si="3"/>
      </c>
      <c r="L15" s="333">
        <f t="shared" si="0"/>
      </c>
      <c r="M15" s="1088">
        <f t="shared" si="1"/>
      </c>
      <c r="N15" s="1077">
        <v>6</v>
      </c>
      <c r="O15" s="1098">
        <v>8</v>
      </c>
    </row>
    <row r="16" spans="1:15" ht="30.75" customHeight="1">
      <c r="A16" s="355">
        <v>7</v>
      </c>
      <c r="B16" s="1296"/>
      <c r="C16" s="1297"/>
      <c r="D16" s="1297"/>
      <c r="E16" s="348"/>
      <c r="F16" s="343"/>
      <c r="G16" s="353"/>
      <c r="H16" s="344"/>
      <c r="I16" s="326">
        <f t="shared" si="2"/>
      </c>
      <c r="J16" s="345"/>
      <c r="K16" s="326">
        <f t="shared" si="3"/>
      </c>
      <c r="L16" s="333">
        <f t="shared" si="0"/>
      </c>
      <c r="M16" s="1088">
        <f t="shared" si="1"/>
      </c>
      <c r="N16" s="1078">
        <v>7</v>
      </c>
      <c r="O16" s="1099">
        <v>8</v>
      </c>
    </row>
    <row r="17" spans="1:15" ht="30.75" customHeight="1">
      <c r="A17" s="356">
        <v>8</v>
      </c>
      <c r="B17" s="1296"/>
      <c r="C17" s="1297"/>
      <c r="D17" s="1297"/>
      <c r="E17" s="348"/>
      <c r="F17" s="343"/>
      <c r="G17" s="340"/>
      <c r="H17" s="344"/>
      <c r="I17" s="326">
        <f t="shared" si="2"/>
      </c>
      <c r="J17" s="345"/>
      <c r="K17" s="326">
        <f t="shared" si="3"/>
      </c>
      <c r="L17" s="333">
        <f t="shared" si="0"/>
      </c>
      <c r="M17" s="1088">
        <f t="shared" si="1"/>
      </c>
      <c r="N17" s="1077">
        <v>8</v>
      </c>
      <c r="O17" s="1098">
        <v>8</v>
      </c>
    </row>
    <row r="18" spans="1:15" ht="30.75" customHeight="1">
      <c r="A18" s="355">
        <v>9</v>
      </c>
      <c r="B18" s="1296"/>
      <c r="C18" s="1297"/>
      <c r="D18" s="1297"/>
      <c r="E18" s="348"/>
      <c r="F18" s="343"/>
      <c r="G18" s="340"/>
      <c r="H18" s="344"/>
      <c r="I18" s="326">
        <f t="shared" si="2"/>
      </c>
      <c r="J18" s="345"/>
      <c r="K18" s="326">
        <f t="shared" si="3"/>
      </c>
      <c r="L18" s="333">
        <f t="shared" si="0"/>
      </c>
      <c r="M18" s="1088">
        <f t="shared" si="1"/>
      </c>
      <c r="N18" s="1078">
        <v>9</v>
      </c>
      <c r="O18" s="1099">
        <v>8</v>
      </c>
    </row>
    <row r="19" spans="1:15" ht="30.75" customHeight="1">
      <c r="A19" s="356">
        <v>10</v>
      </c>
      <c r="B19" s="1296"/>
      <c r="C19" s="1297"/>
      <c r="D19" s="1297"/>
      <c r="E19" s="348"/>
      <c r="F19" s="343"/>
      <c r="G19" s="353"/>
      <c r="H19" s="344"/>
      <c r="I19" s="326">
        <f t="shared" si="2"/>
      </c>
      <c r="J19" s="345"/>
      <c r="K19" s="326">
        <f t="shared" si="3"/>
      </c>
      <c r="L19" s="333">
        <f t="shared" si="0"/>
      </c>
      <c r="M19" s="1088">
        <f t="shared" si="1"/>
      </c>
      <c r="N19" s="1077">
        <v>10</v>
      </c>
      <c r="O19" s="1098">
        <v>8</v>
      </c>
    </row>
    <row r="20" spans="1:16" ht="30.75" customHeight="1">
      <c r="A20" s="355">
        <v>11</v>
      </c>
      <c r="B20" s="1296"/>
      <c r="C20" s="1297"/>
      <c r="D20" s="1297"/>
      <c r="E20" s="348"/>
      <c r="F20" s="343"/>
      <c r="G20" s="340"/>
      <c r="H20" s="344"/>
      <c r="I20" s="326">
        <f t="shared" si="2"/>
      </c>
      <c r="J20" s="345"/>
      <c r="K20" s="326">
        <f t="shared" si="3"/>
      </c>
      <c r="L20" s="333">
        <f t="shared" si="0"/>
      </c>
      <c r="M20" s="1088">
        <f t="shared" si="1"/>
      </c>
      <c r="N20" s="1078">
        <v>11</v>
      </c>
      <c r="O20" s="1099">
        <v>8</v>
      </c>
      <c r="P20" s="3"/>
    </row>
    <row r="21" spans="1:15" ht="30.75" customHeight="1">
      <c r="A21" s="356">
        <v>12</v>
      </c>
      <c r="B21" s="1296"/>
      <c r="C21" s="1297"/>
      <c r="D21" s="1297"/>
      <c r="E21" s="348"/>
      <c r="F21" s="343"/>
      <c r="G21" s="340"/>
      <c r="H21" s="344"/>
      <c r="I21" s="326">
        <f t="shared" si="2"/>
      </c>
      <c r="J21" s="345"/>
      <c r="K21" s="326">
        <f t="shared" si="3"/>
      </c>
      <c r="L21" s="333">
        <f t="shared" si="0"/>
      </c>
      <c r="M21" s="1088">
        <f t="shared" si="1"/>
      </c>
      <c r="N21" s="1077">
        <v>12</v>
      </c>
      <c r="O21" s="1098">
        <v>8</v>
      </c>
    </row>
    <row r="22" spans="1:15" ht="30.75" customHeight="1">
      <c r="A22" s="355">
        <v>13</v>
      </c>
      <c r="B22" s="1296"/>
      <c r="C22" s="1297"/>
      <c r="D22" s="1297"/>
      <c r="E22" s="348"/>
      <c r="F22" s="343"/>
      <c r="G22" s="353"/>
      <c r="H22" s="344"/>
      <c r="I22" s="326">
        <f t="shared" si="2"/>
      </c>
      <c r="J22" s="345"/>
      <c r="K22" s="326">
        <f t="shared" si="3"/>
      </c>
      <c r="L22" s="333">
        <f t="shared" si="0"/>
      </c>
      <c r="M22" s="1088">
        <f t="shared" si="1"/>
      </c>
      <c r="N22" s="1078">
        <v>13</v>
      </c>
      <c r="O22" s="1099">
        <v>8</v>
      </c>
    </row>
    <row r="23" spans="1:15" ht="30.75" customHeight="1">
      <c r="A23" s="356">
        <v>14</v>
      </c>
      <c r="B23" s="1296"/>
      <c r="C23" s="1297"/>
      <c r="D23" s="1297"/>
      <c r="E23" s="348"/>
      <c r="F23" s="343"/>
      <c r="G23" s="340"/>
      <c r="H23" s="344"/>
      <c r="I23" s="326">
        <f t="shared" si="2"/>
      </c>
      <c r="J23" s="345"/>
      <c r="K23" s="326">
        <f t="shared" si="3"/>
      </c>
      <c r="L23" s="333">
        <f t="shared" si="0"/>
      </c>
      <c r="M23" s="1088">
        <f t="shared" si="1"/>
      </c>
      <c r="N23" s="1077">
        <v>14</v>
      </c>
      <c r="O23" s="1098">
        <v>8</v>
      </c>
    </row>
    <row r="24" spans="1:15" ht="30.75" customHeight="1">
      <c r="A24" s="355">
        <v>15</v>
      </c>
      <c r="B24" s="1296"/>
      <c r="C24" s="1297"/>
      <c r="D24" s="1297"/>
      <c r="E24" s="348"/>
      <c r="F24" s="343"/>
      <c r="G24" s="353"/>
      <c r="H24" s="344"/>
      <c r="I24" s="326">
        <f t="shared" si="2"/>
      </c>
      <c r="J24" s="345"/>
      <c r="K24" s="326">
        <f t="shared" si="3"/>
      </c>
      <c r="L24" s="333">
        <f t="shared" si="0"/>
      </c>
      <c r="M24" s="1088">
        <f t="shared" si="1"/>
      </c>
      <c r="N24" s="1078">
        <v>15</v>
      </c>
      <c r="O24" s="1099">
        <v>8</v>
      </c>
    </row>
    <row r="25" spans="1:15" ht="30.75" customHeight="1">
      <c r="A25" s="356">
        <v>16</v>
      </c>
      <c r="B25" s="1296"/>
      <c r="C25" s="1297"/>
      <c r="D25" s="1297"/>
      <c r="E25" s="348"/>
      <c r="F25" s="343"/>
      <c r="G25" s="340"/>
      <c r="H25" s="344"/>
      <c r="I25" s="326">
        <f t="shared" si="2"/>
      </c>
      <c r="J25" s="345"/>
      <c r="K25" s="326">
        <f t="shared" si="3"/>
      </c>
      <c r="L25" s="333">
        <f t="shared" si="0"/>
      </c>
      <c r="M25" s="1088">
        <f t="shared" si="1"/>
      </c>
      <c r="N25" s="1077">
        <v>16</v>
      </c>
      <c r="O25" s="1098">
        <v>8</v>
      </c>
    </row>
    <row r="26" spans="1:15" ht="30.75" customHeight="1">
      <c r="A26" s="355">
        <v>17</v>
      </c>
      <c r="B26" s="1296"/>
      <c r="C26" s="1297"/>
      <c r="D26" s="1297"/>
      <c r="E26" s="348"/>
      <c r="F26" s="343"/>
      <c r="G26" s="353"/>
      <c r="H26" s="344"/>
      <c r="I26" s="326">
        <f t="shared" si="2"/>
      </c>
      <c r="J26" s="345"/>
      <c r="K26" s="326">
        <f t="shared" si="3"/>
      </c>
      <c r="L26" s="333">
        <f t="shared" si="0"/>
      </c>
      <c r="M26" s="1088">
        <f t="shared" si="1"/>
      </c>
      <c r="N26" s="1078">
        <v>17</v>
      </c>
      <c r="O26" s="1099">
        <v>8</v>
      </c>
    </row>
    <row r="27" spans="1:15" ht="30.75" customHeight="1">
      <c r="A27" s="356">
        <v>18</v>
      </c>
      <c r="B27" s="1296"/>
      <c r="C27" s="1297"/>
      <c r="D27" s="1297"/>
      <c r="E27" s="345"/>
      <c r="F27" s="345"/>
      <c r="G27" s="575"/>
      <c r="H27" s="345"/>
      <c r="I27" s="326">
        <f t="shared" si="2"/>
      </c>
      <c r="J27" s="345"/>
      <c r="K27" s="326">
        <f t="shared" si="3"/>
      </c>
      <c r="L27" s="333">
        <f t="shared" si="0"/>
      </c>
      <c r="M27" s="1088">
        <f t="shared" si="1"/>
      </c>
      <c r="N27" s="1077">
        <v>18</v>
      </c>
      <c r="O27" s="1098">
        <v>8</v>
      </c>
    </row>
    <row r="28" spans="1:15" ht="30.75" customHeight="1">
      <c r="A28" s="355">
        <v>19</v>
      </c>
      <c r="B28" s="1296"/>
      <c r="C28" s="1297"/>
      <c r="D28" s="1297"/>
      <c r="E28" s="345"/>
      <c r="F28" s="345"/>
      <c r="G28" s="575"/>
      <c r="H28" s="345"/>
      <c r="I28" s="326">
        <f t="shared" si="2"/>
      </c>
      <c r="J28" s="345"/>
      <c r="K28" s="326">
        <f t="shared" si="3"/>
      </c>
      <c r="L28" s="333">
        <f t="shared" si="0"/>
      </c>
      <c r="M28" s="1088">
        <f t="shared" si="1"/>
      </c>
      <c r="N28" s="1078">
        <v>19</v>
      </c>
      <c r="O28" s="1099">
        <v>8</v>
      </c>
    </row>
    <row r="29" spans="1:15" ht="30.75" customHeight="1" thickBot="1">
      <c r="A29" s="1058">
        <v>20</v>
      </c>
      <c r="B29" s="1298"/>
      <c r="C29" s="1299"/>
      <c r="D29" s="1299"/>
      <c r="E29" s="1079"/>
      <c r="F29" s="1079"/>
      <c r="G29" s="1080"/>
      <c r="H29" s="1079"/>
      <c r="I29" s="1081">
        <f t="shared" si="2"/>
      </c>
      <c r="J29" s="1079"/>
      <c r="K29" s="1081">
        <f t="shared" si="3"/>
      </c>
      <c r="L29" s="1082">
        <f t="shared" si="0"/>
      </c>
      <c r="M29" s="1089">
        <f t="shared" si="1"/>
      </c>
      <c r="N29" s="1083">
        <v>20</v>
      </c>
      <c r="O29" s="1100">
        <v>8</v>
      </c>
    </row>
    <row r="30" spans="1:14" ht="21" customHeight="1" thickBot="1">
      <c r="A30" s="1300" t="s">
        <v>27</v>
      </c>
      <c r="B30" s="1301"/>
      <c r="C30" s="1301"/>
      <c r="D30" s="1301"/>
      <c r="E30" s="1301"/>
      <c r="F30" s="1301"/>
      <c r="G30" s="1301"/>
      <c r="H30" s="1301"/>
      <c r="I30" s="1301"/>
      <c r="J30" s="1035"/>
      <c r="K30" s="29">
        <f>SUM(K10:K29)</f>
        <v>540000</v>
      </c>
      <c r="L30" s="29">
        <f>SUM(L10:L29)</f>
        <v>500000</v>
      </c>
      <c r="M30" s="36">
        <f>SUM(M10:M29)</f>
        <v>500000</v>
      </c>
      <c r="N30" s="350"/>
    </row>
    <row r="31" spans="1:14" ht="13.5" customHeight="1">
      <c r="A31" s="7"/>
      <c r="N31" s="5"/>
    </row>
    <row r="32" spans="2:14" ht="13.5" customHeight="1">
      <c r="B32" s="602" t="s">
        <v>35</v>
      </c>
      <c r="D32" s="7"/>
      <c r="E32" s="19" t="s">
        <v>201</v>
      </c>
      <c r="N32" s="5"/>
    </row>
    <row r="33" spans="1:15" s="19" customFormat="1" ht="13.5" customHeight="1">
      <c r="A33" s="602"/>
      <c r="B33" s="602"/>
      <c r="C33" s="602"/>
      <c r="D33" s="602"/>
      <c r="E33" s="19" t="s">
        <v>202</v>
      </c>
      <c r="G33" s="602"/>
      <c r="H33" s="602"/>
      <c r="I33" s="602"/>
      <c r="J33" s="359"/>
      <c r="K33" s="602"/>
      <c r="L33" s="602"/>
      <c r="M33" s="602"/>
      <c r="N33" s="33"/>
      <c r="O33" s="4"/>
    </row>
    <row r="34" spans="1:15" s="19" customFormat="1" ht="13.5" customHeight="1">
      <c r="A34" s="602"/>
      <c r="B34" s="602" t="s">
        <v>36</v>
      </c>
      <c r="C34" s="602"/>
      <c r="D34" s="602"/>
      <c r="E34" s="19" t="s">
        <v>203</v>
      </c>
      <c r="G34" s="602"/>
      <c r="H34" s="602"/>
      <c r="I34" s="602"/>
      <c r="J34" s="359"/>
      <c r="K34" s="602"/>
      <c r="L34" s="602"/>
      <c r="M34" s="602"/>
      <c r="N34" s="4"/>
      <c r="O34" s="4"/>
    </row>
    <row r="35" spans="1:15" s="19" customFormat="1" ht="13.5" customHeight="1">
      <c r="A35" s="602"/>
      <c r="B35" s="602" t="s">
        <v>37</v>
      </c>
      <c r="C35" s="602"/>
      <c r="D35" s="602"/>
      <c r="E35" s="19" t="s">
        <v>204</v>
      </c>
      <c r="G35" s="602"/>
      <c r="H35" s="602"/>
      <c r="I35" s="602"/>
      <c r="J35" s="359"/>
      <c r="K35" s="602"/>
      <c r="L35" s="602"/>
      <c r="M35" s="602"/>
      <c r="N35" s="4"/>
      <c r="O35" s="4"/>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O35"/>
  <sheetViews>
    <sheetView showGridLines="0" view="pageBreakPreview" zoomScaleNormal="85" zoomScaleSheetLayoutView="100" workbookViewId="0" topLeftCell="A1">
      <selection activeCell="A1" sqref="A1:E1"/>
    </sheetView>
  </sheetViews>
  <sheetFormatPr defaultColWidth="9.140625" defaultRowHeight="15"/>
  <cols>
    <col min="1" max="1" width="3.140625" style="558" customWidth="1"/>
    <col min="2" max="2" width="2.57421875" style="558" customWidth="1"/>
    <col min="3" max="3" width="2.8515625" style="558" customWidth="1"/>
    <col min="4" max="4" width="3.28125" style="558" customWidth="1"/>
    <col min="5" max="5" width="14.57421875" style="19" customWidth="1"/>
    <col min="6" max="6" width="14.8515625" style="19" customWidth="1"/>
    <col min="7" max="7" width="7.57421875" style="558" customWidth="1"/>
    <col min="8" max="8" width="4.421875" style="558" bestFit="1" customWidth="1"/>
    <col min="9" max="9" width="11.00390625" style="558" customWidth="1"/>
    <col min="10" max="10" width="11.140625" style="558" customWidth="1"/>
    <col min="11" max="11" width="11.8515625" style="558" customWidth="1"/>
    <col min="12" max="12" width="12.00390625" style="558" customWidth="1"/>
    <col min="13" max="13" width="12.28125" style="558" bestFit="1" customWidth="1"/>
    <col min="14" max="14" width="4.140625" style="4" customWidth="1"/>
    <col min="15" max="15" width="4.57421875" style="4" customWidth="1"/>
    <col min="16" max="16384" width="9.00390625" style="558" customWidth="1"/>
  </cols>
  <sheetData>
    <row r="1" spans="1:6" ht="13.5" customHeight="1">
      <c r="A1" s="1304" t="s">
        <v>29</v>
      </c>
      <c r="B1" s="1304"/>
      <c r="C1" s="1304"/>
      <c r="D1" s="1304"/>
      <c r="E1" s="1304"/>
      <c r="F1" s="4"/>
    </row>
    <row r="2" spans="1:14" ht="13.5" customHeight="1">
      <c r="A2" s="5"/>
      <c r="B2" s="5"/>
      <c r="C2" s="5"/>
      <c r="D2" s="5"/>
      <c r="E2" s="585"/>
      <c r="F2" s="4"/>
      <c r="N2" s="5"/>
    </row>
    <row r="3" spans="1:14" ht="13.5" customHeight="1">
      <c r="A3" s="5"/>
      <c r="B3" s="5" t="s">
        <v>30</v>
      </c>
      <c r="C3" s="585" t="s">
        <v>34</v>
      </c>
      <c r="D3" s="5"/>
      <c r="E3" s="585"/>
      <c r="F3" s="584" t="s">
        <v>28</v>
      </c>
      <c r="N3" s="5"/>
    </row>
    <row r="4" spans="1:14" ht="13.5" customHeight="1">
      <c r="A4" s="5"/>
      <c r="B4" s="5"/>
      <c r="C4" s="5"/>
      <c r="D4" s="5"/>
      <c r="E4" s="585"/>
      <c r="F4" s="584" t="s">
        <v>64</v>
      </c>
      <c r="N4" s="5"/>
    </row>
    <row r="5" spans="1:15" ht="13.5" customHeight="1">
      <c r="A5" s="5"/>
      <c r="B5" s="5"/>
      <c r="C5" s="5"/>
      <c r="D5" s="5"/>
      <c r="E5" s="585"/>
      <c r="F5" s="4"/>
      <c r="M5" s="558" t="s">
        <v>38</v>
      </c>
      <c r="N5" s="5"/>
      <c r="O5" s="541"/>
    </row>
    <row r="6" spans="1:14" ht="13.5" customHeight="1">
      <c r="A6" s="7"/>
      <c r="F6" s="4"/>
      <c r="I6" s="9"/>
      <c r="J6" s="10"/>
      <c r="K6" s="9" t="s">
        <v>200</v>
      </c>
      <c r="L6" s="20" t="str">
        <f>'使い方'!E6</f>
        <v>Ｂ金属株式会社</v>
      </c>
      <c r="N6" s="5"/>
    </row>
    <row r="7" spans="1:14" ht="13.5" customHeight="1" thickBot="1">
      <c r="A7" s="7"/>
      <c r="F7" s="4"/>
      <c r="I7" s="11"/>
      <c r="J7" s="11"/>
      <c r="N7" s="5"/>
    </row>
    <row r="8" spans="1:15" ht="27" customHeight="1">
      <c r="A8" s="1305" t="s">
        <v>13</v>
      </c>
      <c r="B8" s="1307" t="s">
        <v>14</v>
      </c>
      <c r="C8" s="1307"/>
      <c r="D8" s="1308"/>
      <c r="E8" s="13" t="s">
        <v>15</v>
      </c>
      <c r="F8" s="13" t="s">
        <v>16</v>
      </c>
      <c r="G8" s="13" t="s">
        <v>17</v>
      </c>
      <c r="H8" s="13" t="s">
        <v>18</v>
      </c>
      <c r="I8" s="13" t="s">
        <v>7</v>
      </c>
      <c r="J8" s="13" t="s">
        <v>7</v>
      </c>
      <c r="K8" s="1309" t="s">
        <v>19</v>
      </c>
      <c r="L8" s="1308"/>
      <c r="M8" s="1034" t="s">
        <v>20</v>
      </c>
      <c r="N8" s="1310" t="s">
        <v>13</v>
      </c>
      <c r="O8" s="1312" t="s">
        <v>238</v>
      </c>
    </row>
    <row r="9" spans="1:15" ht="42" customHeight="1" thickBot="1">
      <c r="A9" s="1306"/>
      <c r="B9" s="1061" t="s">
        <v>21</v>
      </c>
      <c r="C9" s="1061" t="s">
        <v>22</v>
      </c>
      <c r="D9" s="1062" t="s">
        <v>23</v>
      </c>
      <c r="E9" s="1067"/>
      <c r="F9" s="1064"/>
      <c r="G9" s="1065"/>
      <c r="H9" s="1065"/>
      <c r="I9" s="1065" t="s">
        <v>24</v>
      </c>
      <c r="J9" s="1065" t="s">
        <v>44</v>
      </c>
      <c r="K9" s="1065" t="s">
        <v>25</v>
      </c>
      <c r="L9" s="1066" t="s">
        <v>42</v>
      </c>
      <c r="M9" s="1066" t="s">
        <v>26</v>
      </c>
      <c r="N9" s="1311"/>
      <c r="O9" s="1313"/>
    </row>
    <row r="10" spans="1:15" ht="30.75" customHeight="1">
      <c r="A10" s="14">
        <v>1</v>
      </c>
      <c r="B10" s="1302"/>
      <c r="C10" s="1303"/>
      <c r="D10" s="1303"/>
      <c r="E10" s="578" t="s">
        <v>427</v>
      </c>
      <c r="F10" s="578" t="s">
        <v>428</v>
      </c>
      <c r="G10" s="1072">
        <v>1</v>
      </c>
      <c r="H10" s="1073" t="s">
        <v>360</v>
      </c>
      <c r="I10" s="1074">
        <f>IF(G10="","",ROUNDDOWN(J10*(1+O10/100),0))</f>
        <v>648000</v>
      </c>
      <c r="J10" s="1075">
        <v>600000</v>
      </c>
      <c r="K10" s="1074">
        <f>IF(I10="","",ROUNDDOWN(L10*(1+O10/100),0))</f>
        <v>648000</v>
      </c>
      <c r="L10" s="1074">
        <f aca="true" t="shared" si="0" ref="L10:L29">IF(J10="","",ROUNDDOWN(J10*G10,0))</f>
        <v>600000</v>
      </c>
      <c r="M10" s="1087">
        <f aca="true" t="shared" si="1" ref="M10:M29">L10</f>
        <v>600000</v>
      </c>
      <c r="N10" s="1076">
        <v>1</v>
      </c>
      <c r="O10" s="1097">
        <v>8</v>
      </c>
    </row>
    <row r="11" spans="1:15" ht="30.75" customHeight="1">
      <c r="A11" s="15">
        <v>2</v>
      </c>
      <c r="B11" s="1296"/>
      <c r="C11" s="1297"/>
      <c r="D11" s="1297"/>
      <c r="E11" s="328"/>
      <c r="F11" s="17"/>
      <c r="G11" s="353"/>
      <c r="H11" s="354"/>
      <c r="I11" s="326">
        <f aca="true" t="shared" si="2" ref="I11:I29">IF(G11="","",ROUNDDOWN(J11*(1+O11/100),0))</f>
      </c>
      <c r="J11" s="363"/>
      <c r="K11" s="326">
        <f aca="true" t="shared" si="3" ref="K11:K29">IF(I11="","",ROUNDDOWN(L11*(1+O11/100),0))</f>
      </c>
      <c r="L11" s="326">
        <f t="shared" si="0"/>
      </c>
      <c r="M11" s="1088">
        <f t="shared" si="1"/>
      </c>
      <c r="N11" s="1077">
        <v>2</v>
      </c>
      <c r="O11" s="1098">
        <v>8</v>
      </c>
    </row>
    <row r="12" spans="1:15" ht="30.75" customHeight="1">
      <c r="A12" s="15">
        <v>3</v>
      </c>
      <c r="B12" s="1296"/>
      <c r="C12" s="1297"/>
      <c r="D12" s="1297"/>
      <c r="E12" s="328"/>
      <c r="F12" s="17"/>
      <c r="G12" s="353"/>
      <c r="H12" s="354"/>
      <c r="I12" s="326">
        <f t="shared" si="2"/>
      </c>
      <c r="J12" s="363"/>
      <c r="K12" s="326">
        <f t="shared" si="3"/>
      </c>
      <c r="L12" s="326">
        <f t="shared" si="0"/>
      </c>
      <c r="M12" s="1088">
        <f t="shared" si="1"/>
      </c>
      <c r="N12" s="1078">
        <v>3</v>
      </c>
      <c r="O12" s="1099">
        <v>8</v>
      </c>
    </row>
    <row r="13" spans="1:15" ht="30.75" customHeight="1">
      <c r="A13" s="15">
        <v>4</v>
      </c>
      <c r="B13" s="1296"/>
      <c r="C13" s="1297"/>
      <c r="D13" s="1297"/>
      <c r="E13" s="328"/>
      <c r="F13" s="17"/>
      <c r="G13" s="353"/>
      <c r="H13" s="354"/>
      <c r="I13" s="326">
        <f t="shared" si="2"/>
      </c>
      <c r="J13" s="363"/>
      <c r="K13" s="326">
        <f t="shared" si="3"/>
      </c>
      <c r="L13" s="326">
        <f t="shared" si="0"/>
      </c>
      <c r="M13" s="1088">
        <f t="shared" si="1"/>
      </c>
      <c r="N13" s="1077">
        <v>4</v>
      </c>
      <c r="O13" s="1098">
        <v>8</v>
      </c>
    </row>
    <row r="14" spans="1:15" ht="30.75" customHeight="1">
      <c r="A14" s="15">
        <v>5</v>
      </c>
      <c r="B14" s="1296"/>
      <c r="C14" s="1297"/>
      <c r="D14" s="1297"/>
      <c r="E14" s="17"/>
      <c r="F14" s="17"/>
      <c r="G14" s="353"/>
      <c r="H14" s="354"/>
      <c r="I14" s="326">
        <f t="shared" si="2"/>
      </c>
      <c r="J14" s="363"/>
      <c r="K14" s="326">
        <f t="shared" si="3"/>
      </c>
      <c r="L14" s="326">
        <f t="shared" si="0"/>
      </c>
      <c r="M14" s="1088">
        <f t="shared" si="1"/>
      </c>
      <c r="N14" s="1078">
        <v>5</v>
      </c>
      <c r="O14" s="1099">
        <v>8</v>
      </c>
    </row>
    <row r="15" spans="1:15" ht="30.75" customHeight="1">
      <c r="A15" s="15">
        <v>6</v>
      </c>
      <c r="B15" s="1296"/>
      <c r="C15" s="1297"/>
      <c r="D15" s="1297"/>
      <c r="E15" s="17"/>
      <c r="F15" s="17"/>
      <c r="G15" s="353"/>
      <c r="H15" s="354"/>
      <c r="I15" s="326">
        <f t="shared" si="2"/>
      </c>
      <c r="J15" s="363"/>
      <c r="K15" s="326">
        <f t="shared" si="3"/>
      </c>
      <c r="L15" s="326">
        <f t="shared" si="0"/>
      </c>
      <c r="M15" s="1088">
        <f t="shared" si="1"/>
      </c>
      <c r="N15" s="1077">
        <v>6</v>
      </c>
      <c r="O15" s="1098">
        <v>8</v>
      </c>
    </row>
    <row r="16" spans="1:15" ht="30.75" customHeight="1">
      <c r="A16" s="15">
        <v>7</v>
      </c>
      <c r="B16" s="1296"/>
      <c r="C16" s="1297"/>
      <c r="D16" s="1297"/>
      <c r="E16" s="17"/>
      <c r="F16" s="21"/>
      <c r="G16" s="353"/>
      <c r="H16" s="354"/>
      <c r="I16" s="326">
        <f t="shared" si="2"/>
      </c>
      <c r="J16" s="363"/>
      <c r="K16" s="326">
        <f t="shared" si="3"/>
      </c>
      <c r="L16" s="326">
        <f t="shared" si="0"/>
      </c>
      <c r="M16" s="1088">
        <f t="shared" si="1"/>
      </c>
      <c r="N16" s="1078">
        <v>7</v>
      </c>
      <c r="O16" s="1099">
        <v>8</v>
      </c>
    </row>
    <row r="17" spans="1:15" ht="30.75" customHeight="1">
      <c r="A17" s="15">
        <v>8</v>
      </c>
      <c r="B17" s="1296"/>
      <c r="C17" s="1297"/>
      <c r="D17" s="1297"/>
      <c r="E17" s="328"/>
      <c r="F17" s="328"/>
      <c r="G17" s="353"/>
      <c r="H17" s="354"/>
      <c r="I17" s="326">
        <f t="shared" si="2"/>
      </c>
      <c r="J17" s="363"/>
      <c r="K17" s="326">
        <f t="shared" si="3"/>
      </c>
      <c r="L17" s="326">
        <f t="shared" si="0"/>
      </c>
      <c r="M17" s="1088">
        <f t="shared" si="1"/>
      </c>
      <c r="N17" s="1077">
        <v>8</v>
      </c>
      <c r="O17" s="1098">
        <v>8</v>
      </c>
    </row>
    <row r="18" spans="1:15" ht="30.75" customHeight="1">
      <c r="A18" s="15">
        <v>9</v>
      </c>
      <c r="B18" s="1296"/>
      <c r="C18" s="1297"/>
      <c r="D18" s="1297"/>
      <c r="E18" s="17"/>
      <c r="F18" s="17"/>
      <c r="G18" s="353"/>
      <c r="H18" s="354"/>
      <c r="I18" s="326">
        <f t="shared" si="2"/>
      </c>
      <c r="J18" s="363"/>
      <c r="K18" s="326">
        <f t="shared" si="3"/>
      </c>
      <c r="L18" s="326">
        <f t="shared" si="0"/>
      </c>
      <c r="M18" s="1088">
        <f t="shared" si="1"/>
      </c>
      <c r="N18" s="1078">
        <v>9</v>
      </c>
      <c r="O18" s="1099">
        <v>8</v>
      </c>
    </row>
    <row r="19" spans="1:15" ht="30.75" customHeight="1">
      <c r="A19" s="15">
        <v>10</v>
      </c>
      <c r="B19" s="1296"/>
      <c r="C19" s="1297"/>
      <c r="D19" s="1297"/>
      <c r="E19" s="17"/>
      <c r="F19" s="17"/>
      <c r="G19" s="353"/>
      <c r="H19" s="354"/>
      <c r="I19" s="326">
        <f t="shared" si="2"/>
      </c>
      <c r="J19" s="363"/>
      <c r="K19" s="326">
        <f t="shared" si="3"/>
      </c>
      <c r="L19" s="326">
        <f t="shared" si="0"/>
      </c>
      <c r="M19" s="1088">
        <f t="shared" si="1"/>
      </c>
      <c r="N19" s="1077">
        <v>10</v>
      </c>
      <c r="O19" s="1098">
        <v>8</v>
      </c>
    </row>
    <row r="20" spans="1:15" ht="30.75" customHeight="1">
      <c r="A20" s="15">
        <v>11</v>
      </c>
      <c r="B20" s="1296"/>
      <c r="C20" s="1297"/>
      <c r="D20" s="1297"/>
      <c r="E20" s="17"/>
      <c r="F20" s="17"/>
      <c r="G20" s="353"/>
      <c r="H20" s="354"/>
      <c r="I20" s="326">
        <f t="shared" si="2"/>
      </c>
      <c r="J20" s="363"/>
      <c r="K20" s="326">
        <f t="shared" si="3"/>
      </c>
      <c r="L20" s="326">
        <f t="shared" si="0"/>
      </c>
      <c r="M20" s="1088">
        <f t="shared" si="1"/>
      </c>
      <c r="N20" s="1078">
        <v>11</v>
      </c>
      <c r="O20" s="1099">
        <v>8</v>
      </c>
    </row>
    <row r="21" spans="1:15" ht="30.75" customHeight="1">
      <c r="A21" s="15">
        <v>12</v>
      </c>
      <c r="B21" s="1296"/>
      <c r="C21" s="1297"/>
      <c r="D21" s="1297"/>
      <c r="E21" s="17"/>
      <c r="F21" s="17"/>
      <c r="G21" s="353"/>
      <c r="H21" s="354"/>
      <c r="I21" s="326">
        <f t="shared" si="2"/>
      </c>
      <c r="J21" s="363"/>
      <c r="K21" s="326">
        <f t="shared" si="3"/>
      </c>
      <c r="L21" s="326">
        <f t="shared" si="0"/>
      </c>
      <c r="M21" s="1088">
        <f t="shared" si="1"/>
      </c>
      <c r="N21" s="1077">
        <v>12</v>
      </c>
      <c r="O21" s="1098">
        <v>8</v>
      </c>
    </row>
    <row r="22" spans="1:15" ht="30.75" customHeight="1">
      <c r="A22" s="15">
        <v>13</v>
      </c>
      <c r="B22" s="1296"/>
      <c r="C22" s="1297"/>
      <c r="D22" s="1297"/>
      <c r="E22" s="17"/>
      <c r="F22" s="17"/>
      <c r="G22" s="353"/>
      <c r="H22" s="354"/>
      <c r="I22" s="326">
        <f t="shared" si="2"/>
      </c>
      <c r="J22" s="363"/>
      <c r="K22" s="326">
        <f t="shared" si="3"/>
      </c>
      <c r="L22" s="326">
        <f t="shared" si="0"/>
      </c>
      <c r="M22" s="1088">
        <f t="shared" si="1"/>
      </c>
      <c r="N22" s="1078">
        <v>13</v>
      </c>
      <c r="O22" s="1099">
        <v>8</v>
      </c>
    </row>
    <row r="23" spans="1:15" ht="30.75" customHeight="1">
      <c r="A23" s="15">
        <v>14</v>
      </c>
      <c r="B23" s="1296"/>
      <c r="C23" s="1297"/>
      <c r="D23" s="1297"/>
      <c r="E23" s="577"/>
      <c r="F23" s="17"/>
      <c r="G23" s="353"/>
      <c r="H23" s="354"/>
      <c r="I23" s="326">
        <f t="shared" si="2"/>
      </c>
      <c r="J23" s="363"/>
      <c r="K23" s="326">
        <f t="shared" si="3"/>
      </c>
      <c r="L23" s="326">
        <f t="shared" si="0"/>
      </c>
      <c r="M23" s="1088">
        <f t="shared" si="1"/>
      </c>
      <c r="N23" s="1077">
        <v>14</v>
      </c>
      <c r="O23" s="1098">
        <v>8</v>
      </c>
    </row>
    <row r="24" spans="1:15" ht="30.75" customHeight="1">
      <c r="A24" s="15">
        <v>15</v>
      </c>
      <c r="B24" s="1296"/>
      <c r="C24" s="1297"/>
      <c r="D24" s="1297"/>
      <c r="E24" s="577"/>
      <c r="F24" s="17"/>
      <c r="G24" s="353"/>
      <c r="H24" s="354"/>
      <c r="I24" s="326">
        <f t="shared" si="2"/>
      </c>
      <c r="J24" s="363"/>
      <c r="K24" s="326">
        <f t="shared" si="3"/>
      </c>
      <c r="L24" s="326">
        <f t="shared" si="0"/>
      </c>
      <c r="M24" s="1088">
        <f t="shared" si="1"/>
      </c>
      <c r="N24" s="1078">
        <v>15</v>
      </c>
      <c r="O24" s="1099">
        <v>8</v>
      </c>
    </row>
    <row r="25" spans="1:15" ht="30.75" customHeight="1">
      <c r="A25" s="15">
        <v>16</v>
      </c>
      <c r="B25" s="1296"/>
      <c r="C25" s="1297"/>
      <c r="D25" s="1297"/>
      <c r="E25" s="17"/>
      <c r="F25" s="17"/>
      <c r="G25" s="353"/>
      <c r="H25" s="354"/>
      <c r="I25" s="326">
        <f t="shared" si="2"/>
      </c>
      <c r="J25" s="363"/>
      <c r="K25" s="326">
        <f t="shared" si="3"/>
      </c>
      <c r="L25" s="326">
        <f t="shared" si="0"/>
      </c>
      <c r="M25" s="1088">
        <f t="shared" si="1"/>
      </c>
      <c r="N25" s="1077">
        <v>16</v>
      </c>
      <c r="O25" s="1098">
        <v>8</v>
      </c>
    </row>
    <row r="26" spans="1:15" ht="30.75" customHeight="1">
      <c r="A26" s="15">
        <v>17</v>
      </c>
      <c r="B26" s="1296"/>
      <c r="C26" s="1297"/>
      <c r="D26" s="1297"/>
      <c r="E26" s="17"/>
      <c r="F26" s="17"/>
      <c r="G26" s="353"/>
      <c r="H26" s="354"/>
      <c r="I26" s="326">
        <f t="shared" si="2"/>
      </c>
      <c r="J26" s="363"/>
      <c r="K26" s="326">
        <f t="shared" si="3"/>
      </c>
      <c r="L26" s="326">
        <f t="shared" si="0"/>
      </c>
      <c r="M26" s="1088">
        <f t="shared" si="1"/>
      </c>
      <c r="N26" s="1078">
        <v>17</v>
      </c>
      <c r="O26" s="1099">
        <v>8</v>
      </c>
    </row>
    <row r="27" spans="1:15" ht="30.75" customHeight="1">
      <c r="A27" s="15">
        <v>18</v>
      </c>
      <c r="B27" s="1296"/>
      <c r="C27" s="1297"/>
      <c r="D27" s="1297"/>
      <c r="E27" s="17"/>
      <c r="F27" s="17"/>
      <c r="G27" s="353"/>
      <c r="H27" s="354"/>
      <c r="I27" s="326">
        <f t="shared" si="2"/>
      </c>
      <c r="J27" s="363"/>
      <c r="K27" s="326">
        <f t="shared" si="3"/>
      </c>
      <c r="L27" s="326">
        <f t="shared" si="0"/>
      </c>
      <c r="M27" s="1088">
        <f t="shared" si="1"/>
      </c>
      <c r="N27" s="1077">
        <v>18</v>
      </c>
      <c r="O27" s="1098">
        <v>8</v>
      </c>
    </row>
    <row r="28" spans="1:15" ht="30.75" customHeight="1">
      <c r="A28" s="15">
        <v>19</v>
      </c>
      <c r="B28" s="1296"/>
      <c r="C28" s="1297"/>
      <c r="D28" s="1297"/>
      <c r="E28" s="577"/>
      <c r="F28" s="17"/>
      <c r="G28" s="353"/>
      <c r="H28" s="354"/>
      <c r="I28" s="326">
        <f t="shared" si="2"/>
      </c>
      <c r="J28" s="363"/>
      <c r="K28" s="326">
        <f t="shared" si="3"/>
      </c>
      <c r="L28" s="326">
        <f t="shared" si="0"/>
      </c>
      <c r="M28" s="1088">
        <f t="shared" si="1"/>
      </c>
      <c r="N28" s="1078">
        <v>19</v>
      </c>
      <c r="O28" s="1099">
        <v>8</v>
      </c>
    </row>
    <row r="29" spans="1:15" ht="30.75" customHeight="1" thickBot="1">
      <c r="A29" s="1059">
        <v>20</v>
      </c>
      <c r="B29" s="1298"/>
      <c r="C29" s="1299"/>
      <c r="D29" s="1299"/>
      <c r="E29" s="579"/>
      <c r="F29" s="579"/>
      <c r="G29" s="1084"/>
      <c r="H29" s="1085"/>
      <c r="I29" s="1081">
        <f t="shared" si="2"/>
      </c>
      <c r="J29" s="1086"/>
      <c r="K29" s="1081">
        <f t="shared" si="3"/>
      </c>
      <c r="L29" s="1081">
        <f t="shared" si="0"/>
      </c>
      <c r="M29" s="1089">
        <f t="shared" si="1"/>
      </c>
      <c r="N29" s="1083">
        <v>20</v>
      </c>
      <c r="O29" s="1100">
        <v>8</v>
      </c>
    </row>
    <row r="30" spans="1:14" ht="21" customHeight="1" thickBot="1">
      <c r="A30" s="1314" t="s">
        <v>27</v>
      </c>
      <c r="B30" s="1315"/>
      <c r="C30" s="1315"/>
      <c r="D30" s="1315"/>
      <c r="E30" s="1315"/>
      <c r="F30" s="1315"/>
      <c r="G30" s="1315"/>
      <c r="H30" s="1315"/>
      <c r="I30" s="1315"/>
      <c r="J30" s="1036"/>
      <c r="K30" s="29">
        <f>SUM(K10:K29)</f>
        <v>648000</v>
      </c>
      <c r="L30" s="29">
        <f>SUM(L10:L29)</f>
        <v>600000</v>
      </c>
      <c r="M30" s="36">
        <f>SUM(M10:M29)</f>
        <v>600000</v>
      </c>
      <c r="N30" s="32"/>
    </row>
    <row r="31" spans="1:14" ht="13.5" customHeight="1">
      <c r="A31" s="7"/>
      <c r="N31" s="5"/>
    </row>
    <row r="32" spans="1:14" ht="13.5" customHeight="1">
      <c r="A32" s="7"/>
      <c r="B32" s="558" t="s">
        <v>35</v>
      </c>
      <c r="D32" s="7"/>
      <c r="E32" s="19" t="s">
        <v>201</v>
      </c>
      <c r="N32" s="5"/>
    </row>
    <row r="33" ht="13.5" customHeight="1">
      <c r="E33" s="19" t="s">
        <v>202</v>
      </c>
    </row>
    <row r="34" spans="2:5" ht="13.5" customHeight="1">
      <c r="B34" s="558" t="s">
        <v>36</v>
      </c>
      <c r="E34" s="19" t="s">
        <v>203</v>
      </c>
    </row>
    <row r="35" spans="2:5" ht="13.5" customHeight="1">
      <c r="B35" s="558" t="s">
        <v>37</v>
      </c>
      <c r="E35" s="19" t="s">
        <v>204</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mono26</cp:lastModifiedBy>
  <cp:lastPrinted>2014-07-07T20:13:56Z</cp:lastPrinted>
  <dcterms:created xsi:type="dcterms:W3CDTF">2013-05-03T10:01:41Z</dcterms:created>
  <dcterms:modified xsi:type="dcterms:W3CDTF">2014-07-11T08:06:52Z</dcterms:modified>
  <cp:category/>
  <cp:version/>
  <cp:contentType/>
  <cp:contentStatus/>
</cp:coreProperties>
</file>